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saCSV" sheetId="1" r:id="rId4"/>
  </sheets>
  <definedNames>
    <definedName hidden="1" localSheetId="0" name="_xlnm._FilterDatabase">GlosaCSV!$A$1:$CO$11442</definedName>
  </definedNames>
  <calcPr/>
</workbook>
</file>

<file path=xl/sharedStrings.xml><?xml version="1.0" encoding="utf-8"?>
<sst xmlns="http://schemas.openxmlformats.org/spreadsheetml/2006/main" count="71573" uniqueCount="20591">
  <si>
    <t>orden</t>
  </si>
  <si>
    <t>file</t>
  </si>
  <si>
    <t>language</t>
  </si>
  <si>
    <t>word</t>
  </si>
  <si>
    <t>IPA</t>
  </si>
  <si>
    <t>escrito en quechua</t>
  </si>
  <si>
    <t>translation to spanish</t>
  </si>
  <si>
    <t>translation to english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</si>
  <si>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</si>
  <si>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</si>
  <si>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</si>
  <si>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</si>
  <si>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</si>
  <si>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</si>
  <si>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</si>
  <si>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</si>
  <si>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</si>
  <si>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</si>
  <si>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</si>
  <si>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</si>
  <si>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</si>
  <si>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</si>
  <si>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</si>
  <si>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</si>
  <si>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</si>
  <si>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</si>
  <si>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</si>
  <si>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</si>
  <si>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</si>
  <si>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</si>
  <si>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</si>
  <si>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</si>
  <si>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</si>
  <si>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</si>
  <si>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</si>
  <si>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</si>
  <si>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</si>
  <si>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</si>
  <si>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</si>
  <si>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</si>
  <si>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</si>
  <si>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</si>
  <si>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</si>
  <si>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</si>
  <si>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</si>
  <si>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</si>
  <si>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</si>
  <si>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</si>
  <si>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</si>
  <si>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</si>
  <si>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</si>
  <si>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</si>
  <si>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</si>
  <si>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</si>
  <si>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</si>
  <si>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</si>
  <si>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</si>
  <si>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</si>
  <si>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</si>
  <si>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</si>
  <si>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</si>
  <si>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</si>
  <si>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</si>
  <si>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</si>
  <si>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</si>
  <si>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</si>
  <si>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</si>
  <si>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</si>
  <si>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</si>
  <si>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</si>
  <si>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</si>
  <si>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</si>
  <si>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</si>
  <si>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</si>
  <si>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</si>
  <si>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</si>
  <si>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</si>
  <si>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</si>
  <si>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</si>
  <si>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</si>
  <si>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</si>
  <si>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</si>
  <si>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</si>
  <si>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</si>
  <si>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</si>
  <si>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</si>
  <si>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</si>
  <si>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</si>
  <si>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</si>
  <si>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</si>
  <si>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</si>
  <si>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fi.csv</t>
  </si>
  <si>
    <t>fin</t>
  </si>
  <si>
    <t>ha</t>
  </si>
  <si>
    <t>/hɑ/</t>
  </si>
  <si>
    <t>hour_angle</t>
  </si>
  <si>
    <t>HA</t>
  </si>
  <si>
    <t>hi</t>
  </si>
  <si>
    <t>/hi/</t>
  </si>
  <si>
    <t>Hawaii</t>
  </si>
  <si>
    <t>Hawai'i</t>
  </si>
  <si>
    <t>Aloha_State</t>
  </si>
  <si>
    <t>HI</t>
  </si>
  <si>
    <t>hip</t>
  </si>
  <si>
    <t>/hip/</t>
  </si>
  <si>
    <t>hus</t>
  </si>
  <si>
    <t>/hus/</t>
  </si>
  <si>
    <t>Huss</t>
  </si>
  <si>
    <t>John_Huss</t>
  </si>
  <si>
    <t>Hus</t>
  </si>
  <si>
    <t>Jan_Hus</t>
  </si>
  <si>
    <t>hä</t>
  </si>
  <si>
    <t>/hæ/</t>
  </si>
  <si>
    <t>hän</t>
  </si>
  <si>
    <t>/hæn/</t>
  </si>
  <si>
    <t>han</t>
  </si>
  <si>
    <t>in</t>
  </si>
  <si>
    <t>/in/</t>
  </si>
  <si>
    <t>Indiana</t>
  </si>
  <si>
    <t>Hoosier_State</t>
  </si>
  <si>
    <t>IN</t>
  </si>
  <si>
    <t>indium</t>
  </si>
  <si>
    <t>In</t>
  </si>
  <si>
    <t>atomic_number_49</t>
  </si>
  <si>
    <t>ja</t>
  </si>
  <si>
    <t>/jɑ/</t>
  </si>
  <si>
    <t>ya</t>
  </si>
  <si>
    <t>kas</t>
  </si>
  <si>
    <t>/kɑs/</t>
  </si>
  <si>
    <t>kis</t>
  </si>
  <si>
    <t>/kis/</t>
  </si>
  <si>
    <t>kun</t>
  </si>
  <si>
    <t>/kun/</t>
  </si>
  <si>
    <t>lux</t>
  </si>
  <si>
    <t>/lux/</t>
  </si>
  <si>
    <t>luk</t>
  </si>
  <si>
    <t>ma</t>
  </si>
  <si>
    <t>/mɑ/</t>
  </si>
  <si>
    <t>Master_of_Arts</t>
  </si>
  <si>
    <t>MA</t>
  </si>
  <si>
    <t>Artium_Magister</t>
  </si>
  <si>
    <t>AM</t>
  </si>
  <si>
    <t>Massachusetts</t>
  </si>
  <si>
    <t>Bay_State</t>
  </si>
  <si>
    <t>Old_Colony</t>
  </si>
  <si>
    <t>milliampere</t>
  </si>
  <si>
    <t>mA</t>
  </si>
  <si>
    <t>Monday</t>
  </si>
  <si>
    <t>Mon</t>
  </si>
  <si>
    <t>mi</t>
  </si>
  <si>
    <t>/mi/</t>
  </si>
  <si>
    <t>Secret_Intelligence_Service</t>
  </si>
  <si>
    <t>MI</t>
  </si>
  <si>
    <t>Military_Intelligence_Section_6</t>
  </si>
  <si>
    <t>Security_Service</t>
  </si>
  <si>
    <t>Military_Intelligence_Section_5</t>
  </si>
  <si>
    <t>Michigan</t>
  </si>
  <si>
    <t>Wolverine_State</t>
  </si>
  <si>
    <t>Great_Lakes_State</t>
  </si>
  <si>
    <t>mil</t>
  </si>
  <si>
    <t>mile</t>
  </si>
  <si>
    <t>statute_mile</t>
  </si>
  <si>
    <t>stat_mi</t>
  </si>
  <si>
    <t>land_mile</t>
  </si>
  <si>
    <t>international_mile</t>
  </si>
  <si>
    <t>nautical_mile</t>
  </si>
  <si>
    <t>naut_mi</t>
  </si>
  <si>
    <t>knot</t>
  </si>
  <si>
    <t>international_nautical_mile</t>
  </si>
  <si>
    <t>air_mile</t>
  </si>
  <si>
    <t>mä</t>
  </si>
  <si>
    <t>/mæ/</t>
  </si>
  <si>
    <t>pas</t>
  </si>
  <si>
    <t>/pɑs/</t>
  </si>
  <si>
    <t>pus</t>
  </si>
  <si>
    <t>/pus/</t>
  </si>
  <si>
    <t>Pus</t>
  </si>
  <si>
    <t>Pansa</t>
  </si>
  <si>
    <t>sa</t>
  </si>
  <si>
    <t>/sɑ/</t>
  </si>
  <si>
    <t>SA</t>
  </si>
  <si>
    <t>Sturmabteilung</t>
  </si>
  <si>
    <t>Storm_Troops</t>
  </si>
  <si>
    <t>sun</t>
  </si>
  <si>
    <t>/sun/</t>
  </si>
  <si>
    <t>sus</t>
  </si>
  <si>
    <t>/sus/</t>
  </si>
  <si>
    <t>sä</t>
  </si>
  <si>
    <t>/sæ/</t>
  </si>
  <si>
    <t>fr_QC.csv</t>
  </si>
  <si>
    <t>fra</t>
  </si>
  <si>
    <t>a</t>
  </si>
  <si>
    <t>/a/</t>
  </si>
  <si>
    <t>repel</t>
  </si>
  <si>
    <t>repulse</t>
  </si>
  <si>
    <t>workaholic</t>
  </si>
  <si>
    <t>ampere</t>
  </si>
  <si>
    <t>amp</t>
  </si>
  <si>
    <t>A</t>
  </si>
  <si>
    <t>à</t>
  </si>
  <si>
    <t>ripen</t>
  </si>
  <si>
    <t>mature</t>
  </si>
  <si>
    <t>Associate_in_Nursing</t>
  </si>
  <si>
    <t>AN</t>
  </si>
  <si>
    <t>at</t>
  </si>
  <si>
    <t>à-coup</t>
  </si>
  <si>
    <t>/aku/</t>
  </si>
  <si>
    <t>aku</t>
  </si>
  <si>
    <t>jerk</t>
  </si>
  <si>
    <t>jerking</t>
  </si>
  <si>
    <t>jolt</t>
  </si>
  <si>
    <t>saccade</t>
  </si>
  <si>
    <t>fits_and_starts</t>
  </si>
  <si>
    <t>turbulence</t>
  </si>
  <si>
    <t>upheaval</t>
  </si>
  <si>
    <t>Sturm_und_Drang</t>
  </si>
  <si>
    <t>à-coups</t>
  </si>
  <si>
    <t>à-pic</t>
  </si>
  <si>
    <t>/apɪk/</t>
  </si>
  <si>
    <t>apik</t>
  </si>
  <si>
    <t>accouchai</t>
  </si>
  <si>
    <t>/akʊʃa/</t>
  </si>
  <si>
    <t>akusha</t>
  </si>
  <si>
    <t>accouchaient</t>
  </si>
  <si>
    <t>accouchais</t>
  </si>
  <si>
    <t>accouchait</t>
  </si>
  <si>
    <t>accouchâmes</t>
  </si>
  <si>
    <t>/akʊʃam/</t>
  </si>
  <si>
    <t>akusham</t>
  </si>
  <si>
    <t>accouchasse</t>
  </si>
  <si>
    <t>/akʊʃas/</t>
  </si>
  <si>
    <t>akushas</t>
  </si>
  <si>
    <t>accouchassent</t>
  </si>
  <si>
    <t>accouchasses</t>
  </si>
  <si>
    <t>accouche</t>
  </si>
  <si>
    <t>/akʊʃ/</t>
  </si>
  <si>
    <t>akush</t>
  </si>
  <si>
    <t>accouchent</t>
  </si>
  <si>
    <t>accouches</t>
  </si>
  <si>
    <t>achalaient</t>
  </si>
  <si>
    <t>/aʃala/</t>
  </si>
  <si>
    <t>ashala</t>
  </si>
  <si>
    <t>achalais</t>
  </si>
  <si>
    <t>achalait</t>
  </si>
  <si>
    <t>achalâmes</t>
  </si>
  <si>
    <t>/aʃalam/</t>
  </si>
  <si>
    <t>ashalam</t>
  </si>
  <si>
    <t>achalasse</t>
  </si>
  <si>
    <t>/aʃalas/</t>
  </si>
  <si>
    <t>ashalas</t>
  </si>
  <si>
    <t>achalassent</t>
  </si>
  <si>
    <t>achalasses</t>
  </si>
  <si>
    <t>achale</t>
  </si>
  <si>
    <t>/aʃal/</t>
  </si>
  <si>
    <t>ashal</t>
  </si>
  <si>
    <t>achalent</t>
  </si>
  <si>
    <t>achales</t>
  </si>
  <si>
    <t>Achille</t>
  </si>
  <si>
    <t>/aʃɪl/</t>
  </si>
  <si>
    <t>ashil</t>
  </si>
  <si>
    <t>Achilles</t>
  </si>
  <si>
    <t>cad</t>
  </si>
  <si>
    <t>bounder</t>
  </si>
  <si>
    <t>blackguard</t>
  </si>
  <si>
    <t>dog</t>
  </si>
  <si>
    <t>hound</t>
  </si>
  <si>
    <t>heel</t>
  </si>
  <si>
    <t>acquêt</t>
  </si>
  <si>
    <t>/aka/</t>
  </si>
  <si>
    <t>aka</t>
  </si>
  <si>
    <t>acquêts</t>
  </si>
  <si>
    <t>acquis</t>
  </si>
  <si>
    <t>/aki/</t>
  </si>
  <si>
    <t>aki</t>
  </si>
  <si>
    <t>acquired</t>
  </si>
  <si>
    <t>adventitious</t>
  </si>
  <si>
    <t>acquit</t>
  </si>
  <si>
    <t>acquits</t>
  </si>
  <si>
    <t>acquittai</t>
  </si>
  <si>
    <t>/akɪta/</t>
  </si>
  <si>
    <t>akita</t>
  </si>
  <si>
    <t>acquittaient</t>
  </si>
  <si>
    <t>acquittais</t>
  </si>
  <si>
    <t>acquittait</t>
  </si>
  <si>
    <t>acquittâmes</t>
  </si>
  <si>
    <t>/akɪtam/</t>
  </si>
  <si>
    <t>akitam</t>
  </si>
  <si>
    <t>acquittasse</t>
  </si>
  <si>
    <t>/akɪtas/</t>
  </si>
  <si>
    <t>akitas</t>
  </si>
  <si>
    <t>acquittassent</t>
  </si>
  <si>
    <t>acquittasses</t>
  </si>
  <si>
    <t>acre</t>
  </si>
  <si>
    <t>/ak/</t>
  </si>
  <si>
    <t>ak</t>
  </si>
  <si>
    <t>âcre</t>
  </si>
  <si>
    <t>acrimonious</t>
  </si>
  <si>
    <t>bitter</t>
  </si>
  <si>
    <t>bristly</t>
  </si>
  <si>
    <t>prickly</t>
  </si>
  <si>
    <t>splenetic</t>
  </si>
  <si>
    <t>waspish</t>
  </si>
  <si>
    <t>acerb</t>
  </si>
  <si>
    <t>acerbic</t>
  </si>
  <si>
    <t>acid</t>
  </si>
  <si>
    <t>acrid</t>
  </si>
  <si>
    <t>blistering</t>
  </si>
  <si>
    <t>caustic</t>
  </si>
  <si>
    <t>sulfurous</t>
  </si>
  <si>
    <t>sulphurous</t>
  </si>
  <si>
    <t>virulent</t>
  </si>
  <si>
    <t>vitriolic</t>
  </si>
  <si>
    <t>acres</t>
  </si>
  <si>
    <t>âcres</t>
  </si>
  <si>
    <t>acte</t>
  </si>
  <si>
    <t>act</t>
  </si>
  <si>
    <t>deed</t>
  </si>
  <si>
    <t>human_action</t>
  </si>
  <si>
    <t>human_activity</t>
  </si>
  <si>
    <t>enactment</t>
  </si>
  <si>
    <t>deed_of_conveyance</t>
  </si>
  <si>
    <t>title</t>
  </si>
  <si>
    <t>routine</t>
  </si>
  <si>
    <t>number</t>
  </si>
  <si>
    <t>turn</t>
  </si>
  <si>
    <t>bit</t>
  </si>
  <si>
    <t>piece</t>
  </si>
  <si>
    <t>actes</t>
  </si>
  <si>
    <t>agnelâmes</t>
  </si>
  <si>
    <t>/aɲalɑm/</t>
  </si>
  <si>
    <t>añalam</t>
  </si>
  <si>
    <t>agnelle</t>
  </si>
  <si>
    <t>/aɲal/</t>
  </si>
  <si>
    <t>añal</t>
  </si>
  <si>
    <t>agnellent</t>
  </si>
  <si>
    <t>agnelles</t>
  </si>
  <si>
    <t>Agnès</t>
  </si>
  <si>
    <t>/aɲas/</t>
  </si>
  <si>
    <t>añas</t>
  </si>
  <si>
    <t>ah</t>
  </si>
  <si>
    <t>aigle</t>
  </si>
  <si>
    <t>akili</t>
  </si>
  <si>
    <t>eagle</t>
  </si>
  <si>
    <t>bird_of_Jove</t>
  </si>
  <si>
    <t>Aquila</t>
  </si>
  <si>
    <t>genus_Aquila</t>
  </si>
  <si>
    <t>tail</t>
  </si>
  <si>
    <t>aiche</t>
  </si>
  <si>
    <t>/aʃ/</t>
  </si>
  <si>
    <t>ash</t>
  </si>
  <si>
    <t>aiches</t>
  </si>
  <si>
    <t>aie</t>
  </si>
  <si>
    <t>aïe</t>
  </si>
  <si>
    <t>/aj/</t>
  </si>
  <si>
    <t>ay</t>
  </si>
  <si>
    <t>aient</t>
  </si>
  <si>
    <t>aies</t>
  </si>
  <si>
    <t>ail</t>
  </si>
  <si>
    <t>garlic</t>
  </si>
  <si>
    <t>Allium_sativum</t>
  </si>
  <si>
    <t>aile</t>
  </si>
  <si>
    <t>/al/</t>
  </si>
  <si>
    <t>al</t>
  </si>
  <si>
    <t>wing</t>
  </si>
  <si>
    <t>annex</t>
  </si>
  <si>
    <t>annexe</t>
  </si>
  <si>
    <t>extension</t>
  </si>
  <si>
    <t>fender</t>
  </si>
  <si>
    <t>grand_piano</t>
  </si>
  <si>
    <t>grand</t>
  </si>
  <si>
    <t>leaf</t>
  </si>
  <si>
    <t>offstage</t>
  </si>
  <si>
    <t>backstage</t>
  </si>
  <si>
    <t>flank</t>
  </si>
  <si>
    <t>ailes</t>
  </si>
  <si>
    <t>aillai</t>
  </si>
  <si>
    <t>/aja/</t>
  </si>
  <si>
    <t>aya</t>
  </si>
  <si>
    <t>aillaient</t>
  </si>
  <si>
    <t>aillais</t>
  </si>
  <si>
    <t>aillait</t>
  </si>
  <si>
    <t>aillâmes</t>
  </si>
  <si>
    <t>/ajam/</t>
  </si>
  <si>
    <t>ayam</t>
  </si>
  <si>
    <t>aillasse</t>
  </si>
  <si>
    <t>/ajas/</t>
  </si>
  <si>
    <t>ayas</t>
  </si>
  <si>
    <t>aillassent</t>
  </si>
  <si>
    <t>aillasses</t>
  </si>
  <si>
    <t>aille</t>
  </si>
  <si>
    <t>aillent</t>
  </si>
  <si>
    <t>ailles</t>
  </si>
  <si>
    <t>ails</t>
  </si>
  <si>
    <t>aimai</t>
  </si>
  <si>
    <t>/ama/</t>
  </si>
  <si>
    <t>ama</t>
  </si>
  <si>
    <t>aimaient</t>
  </si>
  <si>
    <t>aimais</t>
  </si>
  <si>
    <t>aimait</t>
  </si>
  <si>
    <t>aimâmes</t>
  </si>
  <si>
    <t>/amam/</t>
  </si>
  <si>
    <t>amam</t>
  </si>
  <si>
    <t>aimasse</t>
  </si>
  <si>
    <t>/amas/</t>
  </si>
  <si>
    <t>amas</t>
  </si>
  <si>
    <t>aimassent</t>
  </si>
  <si>
    <t>aimasses</t>
  </si>
  <si>
    <t>aime</t>
  </si>
  <si>
    <t>/am/</t>
  </si>
  <si>
    <t>am</t>
  </si>
  <si>
    <t>aiment</t>
  </si>
  <si>
    <t>aimes</t>
  </si>
  <si>
    <t>aine</t>
  </si>
  <si>
    <t>/an/</t>
  </si>
  <si>
    <t>an</t>
  </si>
  <si>
    <t>groin</t>
  </si>
  <si>
    <t>breakwater</t>
  </si>
  <si>
    <t>groyne</t>
  </si>
  <si>
    <t>mole</t>
  </si>
  <si>
    <t>bulwark</t>
  </si>
  <si>
    <t>seawall</t>
  </si>
  <si>
    <t>jetty</t>
  </si>
  <si>
    <t>inguen</t>
  </si>
  <si>
    <t>aines</t>
  </si>
  <si>
    <t>aînesse</t>
  </si>
  <si>
    <t>/anas/</t>
  </si>
  <si>
    <t>anas</t>
  </si>
  <si>
    <t>aînesses</t>
  </si>
  <si>
    <t>ais</t>
  </si>
  <si>
    <t>aisselle</t>
  </si>
  <si>
    <t>/asal/</t>
  </si>
  <si>
    <t>asal</t>
  </si>
  <si>
    <t>armpit</t>
  </si>
  <si>
    <t>axilla</t>
  </si>
  <si>
    <t>axillary_cavity</t>
  </si>
  <si>
    <t>axillary_fossa</t>
  </si>
  <si>
    <t>aisselles</t>
  </si>
  <si>
    <t>ait</t>
  </si>
  <si>
    <t>seaweed</t>
  </si>
  <si>
    <t>Alabama</t>
  </si>
  <si>
    <t>Heart_of_Dixie</t>
  </si>
  <si>
    <t>Camellia_State</t>
  </si>
  <si>
    <t>AL</t>
  </si>
  <si>
    <t>ale</t>
  </si>
  <si>
    <t>ales</t>
  </si>
  <si>
    <t>alignai</t>
  </si>
  <si>
    <t>/aliɲa/</t>
  </si>
  <si>
    <t>aliña</t>
  </si>
  <si>
    <t>alignaient</t>
  </si>
  <si>
    <t>alignais</t>
  </si>
  <si>
    <t>alignait</t>
  </si>
  <si>
    <t>alignâmes</t>
  </si>
  <si>
    <t>/aliɲam/</t>
  </si>
  <si>
    <t>aliñam</t>
  </si>
  <si>
    <t>alignasse</t>
  </si>
  <si>
    <t>/aliɲas/</t>
  </si>
  <si>
    <t>aliñas</t>
  </si>
  <si>
    <t>alignassent</t>
  </si>
  <si>
    <t>alignasses</t>
  </si>
  <si>
    <t>aligne</t>
  </si>
  <si>
    <t>/aliɲ/</t>
  </si>
  <si>
    <t>aliñ</t>
  </si>
  <si>
    <t>alignent</t>
  </si>
  <si>
    <t>alignes</t>
  </si>
  <si>
    <t>alitai</t>
  </si>
  <si>
    <t>/alɪta/</t>
  </si>
  <si>
    <t>alita</t>
  </si>
  <si>
    <t>alitaient</t>
  </si>
  <si>
    <t>alitais</t>
  </si>
  <si>
    <t>alitait</t>
  </si>
  <si>
    <t>alitâmes</t>
  </si>
  <si>
    <t>/alɪtam/</t>
  </si>
  <si>
    <t>alitam</t>
  </si>
  <si>
    <t>alitasse</t>
  </si>
  <si>
    <t>/alɪtas/</t>
  </si>
  <si>
    <t>alitas</t>
  </si>
  <si>
    <t>alitassent</t>
  </si>
  <si>
    <t>alitasses</t>
  </si>
  <si>
    <t>allai</t>
  </si>
  <si>
    <t>/ala/</t>
  </si>
  <si>
    <t>ala</t>
  </si>
  <si>
    <t>allaient</t>
  </si>
  <si>
    <t>allais</t>
  </si>
  <si>
    <t>allait</t>
  </si>
  <si>
    <t>allâmes</t>
  </si>
  <si>
    <t>/alɑm/</t>
  </si>
  <si>
    <t>alam</t>
  </si>
  <si>
    <t>allasse</t>
  </si>
  <si>
    <t>/alas/</t>
  </si>
  <si>
    <t>alas</t>
  </si>
  <si>
    <t>allassent</t>
  </si>
  <si>
    <t>allasses</t>
  </si>
  <si>
    <t>allèche</t>
  </si>
  <si>
    <t>/alaʃ/</t>
  </si>
  <si>
    <t>alash</t>
  </si>
  <si>
    <t>allèchent</t>
  </si>
  <si>
    <t>allèches</t>
  </si>
  <si>
    <t>allie</t>
  </si>
  <si>
    <t>/ali/</t>
  </si>
  <si>
    <t>ali</t>
  </si>
  <si>
    <t>allient</t>
  </si>
  <si>
    <t>allies</t>
  </si>
  <si>
    <t>alloue</t>
  </si>
  <si>
    <t>/alu/</t>
  </si>
  <si>
    <t>alu</t>
  </si>
  <si>
    <t>allouent</t>
  </si>
  <si>
    <t>alloues</t>
  </si>
  <si>
    <t>amassai</t>
  </si>
  <si>
    <t>/amasa/</t>
  </si>
  <si>
    <t>amasa</t>
  </si>
  <si>
    <t>amassaient</t>
  </si>
  <si>
    <t>amassais</t>
  </si>
  <si>
    <t>amassait</t>
  </si>
  <si>
    <t>amassâmes</t>
  </si>
  <si>
    <t>/amasam/</t>
  </si>
  <si>
    <t>amasam</t>
  </si>
  <si>
    <t>amassasse</t>
  </si>
  <si>
    <t>/amasas/</t>
  </si>
  <si>
    <t>amasas</t>
  </si>
  <si>
    <t>amassassent</t>
  </si>
  <si>
    <t>amassasses</t>
  </si>
  <si>
    <t>amasse</t>
  </si>
  <si>
    <t>amassent</t>
  </si>
  <si>
    <t>amasses</t>
  </si>
  <si>
    <t>âme</t>
  </si>
  <si>
    <t>soul</t>
  </si>
  <si>
    <t>soulfulness</t>
  </si>
  <si>
    <t>psyche</t>
  </si>
  <si>
    <t>amen</t>
  </si>
  <si>
    <t>/aman/</t>
  </si>
  <si>
    <t>aman</t>
  </si>
  <si>
    <t>Amen</t>
  </si>
  <si>
    <t>Amon</t>
  </si>
  <si>
    <t>Amun</t>
  </si>
  <si>
    <t>amène</t>
  </si>
  <si>
    <t>openhearted</t>
  </si>
  <si>
    <t>affable</t>
  </si>
  <si>
    <t>amiable</t>
  </si>
  <si>
    <t>cordial</t>
  </si>
  <si>
    <t>genial</t>
  </si>
  <si>
    <t>amènent</t>
  </si>
  <si>
    <t>amènes</t>
  </si>
  <si>
    <t>âmes</t>
  </si>
  <si>
    <t>ami</t>
  </si>
  <si>
    <t>/ami/</t>
  </si>
  <si>
    <t>Friend</t>
  </si>
  <si>
    <t>Quaker</t>
  </si>
  <si>
    <t>acquaintance</t>
  </si>
  <si>
    <t>friend</t>
  </si>
  <si>
    <t>ally</t>
  </si>
  <si>
    <t>boyfriend</t>
  </si>
  <si>
    <t>fellow</t>
  </si>
  <si>
    <t>beau</t>
  </si>
  <si>
    <t>swain</t>
  </si>
  <si>
    <t>young_man</t>
  </si>
  <si>
    <t>supporter</t>
  </si>
  <si>
    <t>protagonist</t>
  </si>
  <si>
    <t>champion</t>
  </si>
  <si>
    <t>admirer</t>
  </si>
  <si>
    <t>booster</t>
  </si>
  <si>
    <t>amical</t>
  </si>
  <si>
    <t>/amɪkal/</t>
  </si>
  <si>
    <t>amikal</t>
  </si>
  <si>
    <t>amicable</t>
  </si>
  <si>
    <t>amicale</t>
  </si>
  <si>
    <t>amicales</t>
  </si>
  <si>
    <t>amis</t>
  </si>
  <si>
    <t>anal</t>
  </si>
  <si>
    <t>/anal/</t>
  </si>
  <si>
    <t>anal_retentive</t>
  </si>
  <si>
    <t>anale</t>
  </si>
  <si>
    <t>anales</t>
  </si>
  <si>
    <t>analyste</t>
  </si>
  <si>
    <t>/analɪs/</t>
  </si>
  <si>
    <t>analis</t>
  </si>
  <si>
    <t>analyst</t>
  </si>
  <si>
    <t>psychoanalyst</t>
  </si>
  <si>
    <t>analystes</t>
  </si>
  <si>
    <t>anathème</t>
  </si>
  <si>
    <t>/anatam/</t>
  </si>
  <si>
    <t>anatam</t>
  </si>
  <si>
    <t>Bachelor_of_Arts_in_Nursing</t>
  </si>
  <si>
    <t>BAN</t>
  </si>
  <si>
    <t>anathema</t>
  </si>
  <si>
    <t>bete_noire</t>
  </si>
  <si>
    <t>anathèmes</t>
  </si>
  <si>
    <t>âne</t>
  </si>
  <si>
    <t>ass</t>
  </si>
  <si>
    <t>domestic_ass</t>
  </si>
  <si>
    <t>donkey</t>
  </si>
  <si>
    <t>Equus_asinus</t>
  </si>
  <si>
    <t>burro</t>
  </si>
  <si>
    <t>jack</t>
  </si>
  <si>
    <t>jackass</t>
  </si>
  <si>
    <t>mariner</t>
  </si>
  <si>
    <t>seaman</t>
  </si>
  <si>
    <t>tar</t>
  </si>
  <si>
    <t>Jack-tar</t>
  </si>
  <si>
    <t>Jack</t>
  </si>
  <si>
    <t>old_salt</t>
  </si>
  <si>
    <t>seafarer</t>
  </si>
  <si>
    <t>gob</t>
  </si>
  <si>
    <t>sea_dog</t>
  </si>
  <si>
    <t>ânes</t>
  </si>
  <si>
    <t>ânesse</t>
  </si>
  <si>
    <t>jennet</t>
  </si>
  <si>
    <t>jenny</t>
  </si>
  <si>
    <t>jenny_ass</t>
  </si>
  <si>
    <t>Jenny</t>
  </si>
  <si>
    <t>William_Le_Baron_Jenny</t>
  </si>
  <si>
    <t>ânesses</t>
  </si>
  <si>
    <t>animai</t>
  </si>
  <si>
    <t>/anɪma/</t>
  </si>
  <si>
    <t>anima</t>
  </si>
  <si>
    <t>animaient</t>
  </si>
  <si>
    <t>animais</t>
  </si>
  <si>
    <t>animait</t>
  </si>
  <si>
    <t>animal</t>
  </si>
  <si>
    <t>/anɪmal/</t>
  </si>
  <si>
    <t>animate_being</t>
  </si>
  <si>
    <t>beast</t>
  </si>
  <si>
    <t>brute</t>
  </si>
  <si>
    <t>creature</t>
  </si>
  <si>
    <t>fauna</t>
  </si>
  <si>
    <t>Animalia</t>
  </si>
  <si>
    <t>kingdom_Animalia</t>
  </si>
  <si>
    <t>animal_kingdom</t>
  </si>
  <si>
    <t>carnal</t>
  </si>
  <si>
    <t>fleshly</t>
  </si>
  <si>
    <t>sensual</t>
  </si>
  <si>
    <t>animale</t>
  </si>
  <si>
    <t>animales</t>
  </si>
  <si>
    <t>animâmes</t>
  </si>
  <si>
    <t>/anɪmam/</t>
  </si>
  <si>
    <t>animam</t>
  </si>
  <si>
    <t>animasse</t>
  </si>
  <si>
    <t>/anɪmas/</t>
  </si>
  <si>
    <t>animas</t>
  </si>
  <si>
    <t>animassent</t>
  </si>
  <si>
    <t>animasses</t>
  </si>
  <si>
    <t>anime</t>
  </si>
  <si>
    <t>/anɪm/</t>
  </si>
  <si>
    <t>anim</t>
  </si>
  <si>
    <t>animent</t>
  </si>
  <si>
    <t>animes</t>
  </si>
  <si>
    <t>animisme</t>
  </si>
  <si>
    <t>/anɪmɪs/</t>
  </si>
  <si>
    <t>animis</t>
  </si>
  <si>
    <t>animism</t>
  </si>
  <si>
    <t>animismes</t>
  </si>
  <si>
    <t>annal</t>
  </si>
  <si>
    <t>annale</t>
  </si>
  <si>
    <t>annales</t>
  </si>
  <si>
    <t>annaliste</t>
  </si>
  <si>
    <t>annalist</t>
  </si>
  <si>
    <t>annalistes</t>
  </si>
  <si>
    <t>annelâmes</t>
  </si>
  <si>
    <t>/analɑm/</t>
  </si>
  <si>
    <t>analam</t>
  </si>
  <si>
    <t>annelle</t>
  </si>
  <si>
    <t>annellent</t>
  </si>
  <si>
    <t>annelles</t>
  </si>
  <si>
    <t>apache</t>
  </si>
  <si>
    <t>/apaʃ/</t>
  </si>
  <si>
    <t>apash</t>
  </si>
  <si>
    <t>Apache</t>
  </si>
  <si>
    <t>apaches</t>
  </si>
  <si>
    <t>APEC</t>
  </si>
  <si>
    <t>/apak/</t>
  </si>
  <si>
    <t>apak</t>
  </si>
  <si>
    <t>apical</t>
  </si>
  <si>
    <t>/apɪkal/</t>
  </si>
  <si>
    <t>apikal</t>
  </si>
  <si>
    <t>apicale</t>
  </si>
  <si>
    <t>apicales</t>
  </si>
  <si>
    <t>Appalaches</t>
  </si>
  <si>
    <t>/apalaʃ/</t>
  </si>
  <si>
    <t>apalash</t>
  </si>
  <si>
    <t>Appalachians</t>
  </si>
  <si>
    <t>Appalachian_Mountains</t>
  </si>
  <si>
    <t>appâtai</t>
  </si>
  <si>
    <t>/apata/</t>
  </si>
  <si>
    <t>apata</t>
  </si>
  <si>
    <t>appâtaient</t>
  </si>
  <si>
    <t>appâtais</t>
  </si>
  <si>
    <t>appâtait</t>
  </si>
  <si>
    <t>appâtâmes</t>
  </si>
  <si>
    <t>/apatam/</t>
  </si>
  <si>
    <t>apatam</t>
  </si>
  <si>
    <t>appâtasse</t>
  </si>
  <si>
    <t>/apatas/</t>
  </si>
  <si>
    <t>apatas</t>
  </si>
  <si>
    <t>appâtassent</t>
  </si>
  <si>
    <t>appâtasses</t>
  </si>
  <si>
    <t>appel</t>
  </si>
  <si>
    <t>/apal/</t>
  </si>
  <si>
    <t>apal</t>
  </si>
  <si>
    <t>call</t>
  </si>
  <si>
    <t>habit</t>
  </si>
  <si>
    <t>use</t>
  </si>
  <si>
    <t>appeal</t>
  </si>
  <si>
    <t>Call</t>
  </si>
  <si>
    <t>phone_call</t>
  </si>
  <si>
    <t>telephone_call</t>
  </si>
  <si>
    <t>solicitation</t>
  </si>
  <si>
    <t>collection</t>
  </si>
  <si>
    <t>ingathering</t>
  </si>
  <si>
    <t>entreaty</t>
  </si>
  <si>
    <t>prayer</t>
  </si>
  <si>
    <t>appelâmes</t>
  </si>
  <si>
    <t>/apalɑm/</t>
  </si>
  <si>
    <t>apalam</t>
  </si>
  <si>
    <t>appelle</t>
  </si>
  <si>
    <t>appellent</t>
  </si>
  <si>
    <t>appelles</t>
  </si>
  <si>
    <t>appels</t>
  </si>
  <si>
    <t>apte</t>
  </si>
  <si>
    <t>/ap/</t>
  </si>
  <si>
    <t>ap</t>
  </si>
  <si>
    <t>proper</t>
  </si>
  <si>
    <t>right</t>
  </si>
  <si>
    <t>aptes</t>
  </si>
  <si>
    <t>aquitaine</t>
  </si>
  <si>
    <t>/akɪtan/</t>
  </si>
  <si>
    <t>akitan</t>
  </si>
  <si>
    <t>Aquitaine</t>
  </si>
  <si>
    <t>Aquitania</t>
  </si>
  <si>
    <t>assassinai</t>
  </si>
  <si>
    <t>/asasɪna/</t>
  </si>
  <si>
    <t>asasina</t>
  </si>
  <si>
    <t>assassinaient</t>
  </si>
  <si>
    <t>assassinais</t>
  </si>
  <si>
    <t>assassinait</t>
  </si>
  <si>
    <t>assassinâmes</t>
  </si>
  <si>
    <t>/asasɪnam/</t>
  </si>
  <si>
    <t>asasinam</t>
  </si>
  <si>
    <t>assassinasse</t>
  </si>
  <si>
    <t>/asasɪnas/</t>
  </si>
  <si>
    <t>asasinas</t>
  </si>
  <si>
    <t>assassinassent</t>
  </si>
  <si>
    <t>assassinasses</t>
  </si>
  <si>
    <t>assassine</t>
  </si>
  <si>
    <t>/asasɪn/</t>
  </si>
  <si>
    <t>asasin</t>
  </si>
  <si>
    <t>assassinent</t>
  </si>
  <si>
    <t>assassines</t>
  </si>
  <si>
    <t>assèche</t>
  </si>
  <si>
    <t>/asaʃ/</t>
  </si>
  <si>
    <t>asash</t>
  </si>
  <si>
    <t>assèchent</t>
  </si>
  <si>
    <t>assèches</t>
  </si>
  <si>
    <t>assène</t>
  </si>
  <si>
    <t>/asan/</t>
  </si>
  <si>
    <t>asan</t>
  </si>
  <si>
    <t>assènent</t>
  </si>
  <si>
    <t>assènes</t>
  </si>
  <si>
    <t>assignai</t>
  </si>
  <si>
    <t>/asiɲa/</t>
  </si>
  <si>
    <t>asiña</t>
  </si>
  <si>
    <t>assignaient</t>
  </si>
  <si>
    <t>assignais</t>
  </si>
  <si>
    <t>assignait</t>
  </si>
  <si>
    <t>assignâmes</t>
  </si>
  <si>
    <t>/asiɲam/</t>
  </si>
  <si>
    <t>asiñam</t>
  </si>
  <si>
    <t>assignasse</t>
  </si>
  <si>
    <t>/asiɲas/</t>
  </si>
  <si>
    <t>asiñas</t>
  </si>
  <si>
    <t>assignassent</t>
  </si>
  <si>
    <t>assignasses</t>
  </si>
  <si>
    <t>assigne</t>
  </si>
  <si>
    <t>/asiɲ/</t>
  </si>
  <si>
    <t>asiñ</t>
  </si>
  <si>
    <t>assignent</t>
  </si>
  <si>
    <t>assignes</t>
  </si>
  <si>
    <t>assimilai</t>
  </si>
  <si>
    <t>/asɪmɪla/</t>
  </si>
  <si>
    <t>asimila</t>
  </si>
  <si>
    <t>assimilaient</t>
  </si>
  <si>
    <t>assimilais</t>
  </si>
  <si>
    <t>assimilait</t>
  </si>
  <si>
    <t>assimilâmes</t>
  </si>
  <si>
    <t>/asɪmɪlam/</t>
  </si>
  <si>
    <t>asimilam</t>
  </si>
  <si>
    <t>assimilasse</t>
  </si>
  <si>
    <t>/asɪmɪlas/</t>
  </si>
  <si>
    <t>asimilas</t>
  </si>
  <si>
    <t>assimilassent</t>
  </si>
  <si>
    <t>assimilasses</t>
  </si>
  <si>
    <t>assimile</t>
  </si>
  <si>
    <t>/asɪmɪl/</t>
  </si>
  <si>
    <t>asimil</t>
  </si>
  <si>
    <t>assimilent</t>
  </si>
  <si>
    <t>assimiles</t>
  </si>
  <si>
    <t>assis</t>
  </si>
  <si>
    <t>/asi/</t>
  </si>
  <si>
    <t>asi</t>
  </si>
  <si>
    <t>seated</t>
  </si>
  <si>
    <t>sitting</t>
  </si>
  <si>
    <t>assiste</t>
  </si>
  <si>
    <t>/asɪs/</t>
  </si>
  <si>
    <t>asis</t>
  </si>
  <si>
    <t>assistent</t>
  </si>
  <si>
    <t>assistes</t>
  </si>
  <si>
    <t>assoupi</t>
  </si>
  <si>
    <t>/asʊpi/</t>
  </si>
  <si>
    <t>asupi</t>
  </si>
  <si>
    <t>assoupie</t>
  </si>
  <si>
    <t>assoupies</t>
  </si>
  <si>
    <t>assoupîmes</t>
  </si>
  <si>
    <t>/asʊpɪm/</t>
  </si>
  <si>
    <t>asupim</t>
  </si>
  <si>
    <t>assoupis</t>
  </si>
  <si>
    <t>assoupissaient</t>
  </si>
  <si>
    <t>/asʊpɪsa/</t>
  </si>
  <si>
    <t>asupisa</t>
  </si>
  <si>
    <t>assoupissais</t>
  </si>
  <si>
    <t>assoupissait</t>
  </si>
  <si>
    <t>assoupisse</t>
  </si>
  <si>
    <t>/asʊpɪs/</t>
  </si>
  <si>
    <t>asupis</t>
  </si>
  <si>
    <t>assoupissent</t>
  </si>
  <si>
    <t>assoupisses</t>
  </si>
  <si>
    <t>assoupit</t>
  </si>
  <si>
    <t>assoupît</t>
  </si>
  <si>
    <t>asthme</t>
  </si>
  <si>
    <t>/as/</t>
  </si>
  <si>
    <t>as</t>
  </si>
  <si>
    <t>asthma</t>
  </si>
  <si>
    <t>asthma_attack</t>
  </si>
  <si>
    <t>bronchial_asthma</t>
  </si>
  <si>
    <t>shortness_of_breath</t>
  </si>
  <si>
    <t>SOB</t>
  </si>
  <si>
    <t>breathlessness</t>
  </si>
  <si>
    <t>wheeziness</t>
  </si>
  <si>
    <t>asthmes</t>
  </si>
  <si>
    <t>astre</t>
  </si>
  <si>
    <t>celestial_body</t>
  </si>
  <si>
    <t>heavenly_body</t>
  </si>
  <si>
    <t>star</t>
  </si>
  <si>
    <t>astres</t>
  </si>
  <si>
    <t>atèle</t>
  </si>
  <si>
    <t>/atal/</t>
  </si>
  <si>
    <t>atal</t>
  </si>
  <si>
    <t>atèles</t>
  </si>
  <si>
    <t>Athènes</t>
  </si>
  <si>
    <t>/atan/</t>
  </si>
  <si>
    <t>atan</t>
  </si>
  <si>
    <t>Athens</t>
  </si>
  <si>
    <t>Athinai</t>
  </si>
  <si>
    <t>capital_of_Greece</t>
  </si>
  <si>
    <t>Greek_capital</t>
  </si>
  <si>
    <t>atout</t>
  </si>
  <si>
    <t>/atu/</t>
  </si>
  <si>
    <t>atu</t>
  </si>
  <si>
    <t>trump</t>
  </si>
  <si>
    <t>trump_card</t>
  </si>
  <si>
    <t>asset</t>
  </si>
  <si>
    <t>plus</t>
  </si>
  <si>
    <t>advantage</t>
  </si>
  <si>
    <t>atouts</t>
  </si>
  <si>
    <t>ATTAC</t>
  </si>
  <si>
    <t>/atak/</t>
  </si>
  <si>
    <t>atak</t>
  </si>
  <si>
    <t>attachai</t>
  </si>
  <si>
    <t>/ataʃa/</t>
  </si>
  <si>
    <t>atasha</t>
  </si>
  <si>
    <t>attachaient</t>
  </si>
  <si>
    <t>attachais</t>
  </si>
  <si>
    <t>attachait</t>
  </si>
  <si>
    <t>attachâmes</t>
  </si>
  <si>
    <t>/ataʃam/</t>
  </si>
  <si>
    <t>atasham</t>
  </si>
  <si>
    <t>attachasse</t>
  </si>
  <si>
    <t>/ataʃas/</t>
  </si>
  <si>
    <t>atashas</t>
  </si>
  <si>
    <t>attachassent</t>
  </si>
  <si>
    <t>attachasses</t>
  </si>
  <si>
    <t>attache</t>
  </si>
  <si>
    <t>/ataʃ/</t>
  </si>
  <si>
    <t>atash</t>
  </si>
  <si>
    <t>fastener</t>
  </si>
  <si>
    <t>fastening</t>
  </si>
  <si>
    <t>holdfast</t>
  </si>
  <si>
    <t>fixing</t>
  </si>
  <si>
    <t>attachent</t>
  </si>
  <si>
    <t>attaches</t>
  </si>
  <si>
    <t>attaquai</t>
  </si>
  <si>
    <t>/ataka/</t>
  </si>
  <si>
    <t>ataka</t>
  </si>
  <si>
    <t>attaquaient</t>
  </si>
  <si>
    <t>attaquais</t>
  </si>
  <si>
    <t>attaquait</t>
  </si>
  <si>
    <t>attaquâmes</t>
  </si>
  <si>
    <t>/atakam/</t>
  </si>
  <si>
    <t>atakam</t>
  </si>
  <si>
    <t>attaquasse</t>
  </si>
  <si>
    <t>/atakas/</t>
  </si>
  <si>
    <t>atakas</t>
  </si>
  <si>
    <t>attaquassent</t>
  </si>
  <si>
    <t>attaquasses</t>
  </si>
  <si>
    <t>attaque</t>
  </si>
  <si>
    <t>attack</t>
  </si>
  <si>
    <t>tone-beginning</t>
  </si>
  <si>
    <t>assault</t>
  </si>
  <si>
    <t>attempt</t>
  </si>
  <si>
    <t>approach</t>
  </si>
  <si>
    <t>plan_of_attack</t>
  </si>
  <si>
    <t>onslaught</t>
  </si>
  <si>
    <t>onset</t>
  </si>
  <si>
    <t>onrush</t>
  </si>
  <si>
    <t>strike</t>
  </si>
  <si>
    <t>offense</t>
  </si>
  <si>
    <t>offence</t>
  </si>
  <si>
    <t>offensive</t>
  </si>
  <si>
    <t>assail</t>
  </si>
  <si>
    <t>set_on</t>
  </si>
  <si>
    <t>Assault</t>
  </si>
  <si>
    <t>fire</t>
  </si>
  <si>
    <t>flak</t>
  </si>
  <si>
    <t>flack</t>
  </si>
  <si>
    <t>blast</t>
  </si>
  <si>
    <t>oncoming</t>
  </si>
  <si>
    <t>seizure</t>
  </si>
  <si>
    <t>ictus</t>
  </si>
  <si>
    <t>raptus</t>
  </si>
  <si>
    <t>attaquent</t>
  </si>
  <si>
    <t>attaques</t>
  </si>
  <si>
    <t>atteignaient</t>
  </si>
  <si>
    <t>/ataɲa/</t>
  </si>
  <si>
    <t>ataña</t>
  </si>
  <si>
    <t>atteignais</t>
  </si>
  <si>
    <t>atteignait</t>
  </si>
  <si>
    <t>atteigne</t>
  </si>
  <si>
    <t>/ataɲ/</t>
  </si>
  <si>
    <t>atañ</t>
  </si>
  <si>
    <t>atteignent</t>
  </si>
  <si>
    <t>atteignes</t>
  </si>
  <si>
    <t>atteignîmes</t>
  </si>
  <si>
    <t>/ataɲim/</t>
  </si>
  <si>
    <t>atañim</t>
  </si>
  <si>
    <t>atteignis</t>
  </si>
  <si>
    <t>/ataɲi/</t>
  </si>
  <si>
    <t>atañi</t>
  </si>
  <si>
    <t>atteignisse</t>
  </si>
  <si>
    <t>/ataɲis/</t>
  </si>
  <si>
    <t>atañis</t>
  </si>
  <si>
    <t>atteignissent</t>
  </si>
  <si>
    <t>atteignisses</t>
  </si>
  <si>
    <t>atteignit</t>
  </si>
  <si>
    <t>atteignît</t>
  </si>
  <si>
    <t>attelâmes</t>
  </si>
  <si>
    <t>/atalɑm/</t>
  </si>
  <si>
    <t>atalam</t>
  </si>
  <si>
    <t>attelle</t>
  </si>
  <si>
    <t>hame</t>
  </si>
  <si>
    <t>attellent</t>
  </si>
  <si>
    <t>attelles</t>
  </si>
  <si>
    <t>atteste</t>
  </si>
  <si>
    <t>/atas/</t>
  </si>
  <si>
    <t>atas</t>
  </si>
  <si>
    <t>attestent</t>
  </si>
  <si>
    <t>attestes</t>
  </si>
  <si>
    <t>c'</t>
  </si>
  <si>
    <t>/s/</t>
  </si>
  <si>
    <t>s</t>
  </si>
  <si>
    <t>ç'</t>
  </si>
  <si>
    <t>caca</t>
  </si>
  <si>
    <t>/kaka/</t>
  </si>
  <si>
    <t>kaka</t>
  </si>
  <si>
    <t>cachai</t>
  </si>
  <si>
    <t>/kaʃa/</t>
  </si>
  <si>
    <t>kasha</t>
  </si>
  <si>
    <t>cachaient</t>
  </si>
  <si>
    <t>cachais</t>
  </si>
  <si>
    <t>cachait</t>
  </si>
  <si>
    <t>cachâmes</t>
  </si>
  <si>
    <t>/kaʃam/</t>
  </si>
  <si>
    <t>kasham</t>
  </si>
  <si>
    <t>cachasse</t>
  </si>
  <si>
    <t>/kaʃas/</t>
  </si>
  <si>
    <t>kashas</t>
  </si>
  <si>
    <t>cachassent</t>
  </si>
  <si>
    <t>cachasses</t>
  </si>
  <si>
    <t>cache</t>
  </si>
  <si>
    <t>/kaʃ/</t>
  </si>
  <si>
    <t>kash</t>
  </si>
  <si>
    <t>shroud</t>
  </si>
  <si>
    <t>enshroud</t>
  </si>
  <si>
    <t>hide</t>
  </si>
  <si>
    <t>cover</t>
  </si>
  <si>
    <t>bomb_shelter</t>
  </si>
  <si>
    <t>air-raid_shelter</t>
  </si>
  <si>
    <t>bombproof</t>
  </si>
  <si>
    <t>hideaway</t>
  </si>
  <si>
    <t>retreat</t>
  </si>
  <si>
    <t>screen</t>
  </si>
  <si>
    <t>hideout</t>
  </si>
  <si>
    <t>den</t>
  </si>
  <si>
    <t>hiding_place</t>
  </si>
  <si>
    <t>cachent</t>
  </si>
  <si>
    <t>caches</t>
  </si>
  <si>
    <t>cachet</t>
  </si>
  <si>
    <t>seal</t>
  </si>
  <si>
    <t>stamp</t>
  </si>
  <si>
    <t>impression</t>
  </si>
  <si>
    <t>Navy_SEAL</t>
  </si>
  <si>
    <t>SEAL</t>
  </si>
  <si>
    <t>cachets</t>
  </si>
  <si>
    <t>cachou</t>
  </si>
  <si>
    <t>/kaʃu/</t>
  </si>
  <si>
    <t>kashu</t>
  </si>
  <si>
    <t>cachous</t>
  </si>
  <si>
    <t>cacique</t>
  </si>
  <si>
    <t>/kasɪk/</t>
  </si>
  <si>
    <t>kasik</t>
  </si>
  <si>
    <t>caciques</t>
  </si>
  <si>
    <t>cagne</t>
  </si>
  <si>
    <t>/kaɲ/</t>
  </si>
  <si>
    <t>kañ</t>
  </si>
  <si>
    <t>cagnes</t>
  </si>
  <si>
    <t>caillai</t>
  </si>
  <si>
    <t>/kaja/</t>
  </si>
  <si>
    <t>kaya</t>
  </si>
  <si>
    <t>caillaient</t>
  </si>
  <si>
    <t>caillais</t>
  </si>
  <si>
    <t>caillait</t>
  </si>
  <si>
    <t>caillâmes</t>
  </si>
  <si>
    <t>/kajam/</t>
  </si>
  <si>
    <t>kayam</t>
  </si>
  <si>
    <t>caillasse</t>
  </si>
  <si>
    <t>/kajas/</t>
  </si>
  <si>
    <t>kayas</t>
  </si>
  <si>
    <t>caillassent</t>
  </si>
  <si>
    <t>caillasses</t>
  </si>
  <si>
    <t>caille</t>
  </si>
  <si>
    <t>/kaj/</t>
  </si>
  <si>
    <t>kay</t>
  </si>
  <si>
    <t>quail</t>
  </si>
  <si>
    <t>caillent</t>
  </si>
  <si>
    <t>cailles</t>
  </si>
  <si>
    <t>caillou</t>
  </si>
  <si>
    <t>/kaju/</t>
  </si>
  <si>
    <t>kayu</t>
  </si>
  <si>
    <t>pebble</t>
  </si>
  <si>
    <t>Rock</t>
  </si>
  <si>
    <t>John_Rock</t>
  </si>
  <si>
    <t>caisse</t>
  </si>
  <si>
    <t>/kas/</t>
  </si>
  <si>
    <t>box</t>
  </si>
  <si>
    <t>cashbox</t>
  </si>
  <si>
    <t>money_box</t>
  </si>
  <si>
    <t>till</t>
  </si>
  <si>
    <t>cash_register</t>
  </si>
  <si>
    <t>register</t>
  </si>
  <si>
    <t>coffer</t>
  </si>
  <si>
    <t>Treasury</t>
  </si>
  <si>
    <t>First_Lord_of_the_Treasury</t>
  </si>
  <si>
    <t>cash</t>
  </si>
  <si>
    <t>immediate_payment</t>
  </si>
  <si>
    <t>caisses</t>
  </si>
  <si>
    <t>cake</t>
  </si>
  <si>
    <t>/kak/</t>
  </si>
  <si>
    <t>kak</t>
  </si>
  <si>
    <t>fruitcake</t>
  </si>
  <si>
    <t>quick_bread</t>
  </si>
  <si>
    <t>crackpot</t>
  </si>
  <si>
    <t>crank</t>
  </si>
  <si>
    <t>nut</t>
  </si>
  <si>
    <t>nut_case</t>
  </si>
  <si>
    <t>screwball</t>
  </si>
  <si>
    <t>cakes</t>
  </si>
  <si>
    <t>cal</t>
  </si>
  <si>
    <t>/kal/</t>
  </si>
  <si>
    <t>kal</t>
  </si>
  <si>
    <t>callus</t>
  </si>
  <si>
    <t>callosity</t>
  </si>
  <si>
    <t>calai</t>
  </si>
  <si>
    <t>/kala/</t>
  </si>
  <si>
    <t>kala</t>
  </si>
  <si>
    <t>calaient</t>
  </si>
  <si>
    <t>calais</t>
  </si>
  <si>
    <t>Calais</t>
  </si>
  <si>
    <t>calait</t>
  </si>
  <si>
    <t>calâmes</t>
  </si>
  <si>
    <t>/kalam/</t>
  </si>
  <si>
    <t>kalam</t>
  </si>
  <si>
    <t>calamine</t>
  </si>
  <si>
    <t>/kalamɪn/</t>
  </si>
  <si>
    <t>kalamin</t>
  </si>
  <si>
    <t>hemimorphite</t>
  </si>
  <si>
    <t>calamines</t>
  </si>
  <si>
    <t>calasse</t>
  </si>
  <si>
    <t>/kalas/</t>
  </si>
  <si>
    <t>kalas</t>
  </si>
  <si>
    <t>calassent</t>
  </si>
  <si>
    <t>calasses</t>
  </si>
  <si>
    <t>cale</t>
  </si>
  <si>
    <t>cargo_area</t>
  </si>
  <si>
    <t>cargo_deck</t>
  </si>
  <si>
    <t>cargo_hold</t>
  </si>
  <si>
    <t>hold</t>
  </si>
  <si>
    <t>storage_area</t>
  </si>
  <si>
    <t>chock</t>
  </si>
  <si>
    <t>wedge</t>
  </si>
  <si>
    <t>calèche</t>
  </si>
  <si>
    <t>/kalaʃ/</t>
  </si>
  <si>
    <t>kalash</t>
  </si>
  <si>
    <t>calèches</t>
  </si>
  <si>
    <t>calent</t>
  </si>
  <si>
    <t>cales</t>
  </si>
  <si>
    <t>calice</t>
  </si>
  <si>
    <t>/kalɪs/</t>
  </si>
  <si>
    <t>kalis</t>
  </si>
  <si>
    <t>chalice</t>
  </si>
  <si>
    <t>goblet</t>
  </si>
  <si>
    <t>calyx</t>
  </si>
  <si>
    <t>calices</t>
  </si>
  <si>
    <t>câlinai</t>
  </si>
  <si>
    <t>/kalɪna/</t>
  </si>
  <si>
    <t>kalina</t>
  </si>
  <si>
    <t>câlinaient</t>
  </si>
  <si>
    <t>câlinais</t>
  </si>
  <si>
    <t>câlinait</t>
  </si>
  <si>
    <t>câlinâmes</t>
  </si>
  <si>
    <t>/kalɪnam/</t>
  </si>
  <si>
    <t>kalinam</t>
  </si>
  <si>
    <t>câlinasse</t>
  </si>
  <si>
    <t>/kalɪnas/</t>
  </si>
  <si>
    <t>kalinas</t>
  </si>
  <si>
    <t>câlinassent</t>
  </si>
  <si>
    <t>câlinasses</t>
  </si>
  <si>
    <t>câline</t>
  </si>
  <si>
    <t>/kalɪn/</t>
  </si>
  <si>
    <t>kalin</t>
  </si>
  <si>
    <t>câlinent</t>
  </si>
  <si>
    <t>câlines</t>
  </si>
  <si>
    <t>cals</t>
  </si>
  <si>
    <t>camai</t>
  </si>
  <si>
    <t>/kama/</t>
  </si>
  <si>
    <t>kama</t>
  </si>
  <si>
    <t>camaient</t>
  </si>
  <si>
    <t>camais</t>
  </si>
  <si>
    <t>camait</t>
  </si>
  <si>
    <t>camâmes</t>
  </si>
  <si>
    <t>/kamam/</t>
  </si>
  <si>
    <t>kamam</t>
  </si>
  <si>
    <t>camasse</t>
  </si>
  <si>
    <t>/kamas/</t>
  </si>
  <si>
    <t>kamas</t>
  </si>
  <si>
    <t>camassent</t>
  </si>
  <si>
    <t>camasses</t>
  </si>
  <si>
    <t>came</t>
  </si>
  <si>
    <t>/kam/</t>
  </si>
  <si>
    <t>kam</t>
  </si>
  <si>
    <t>cam</t>
  </si>
  <si>
    <t>Cam</t>
  </si>
  <si>
    <t>River_Cam</t>
  </si>
  <si>
    <t>Cam_River</t>
  </si>
  <si>
    <t>cament</t>
  </si>
  <si>
    <t>cames</t>
  </si>
  <si>
    <t>canai</t>
  </si>
  <si>
    <t>/kana/</t>
  </si>
  <si>
    <t>kana</t>
  </si>
  <si>
    <t>canaient</t>
  </si>
  <si>
    <t>canaille</t>
  </si>
  <si>
    <t>/kanaj/</t>
  </si>
  <si>
    <t>kanay</t>
  </si>
  <si>
    <t>rogue</t>
  </si>
  <si>
    <t>knave</t>
  </si>
  <si>
    <t>rascal</t>
  </si>
  <si>
    <t>rapscallion</t>
  </si>
  <si>
    <t>scalawag</t>
  </si>
  <si>
    <t>scallywag</t>
  </si>
  <si>
    <t>varlet</t>
  </si>
  <si>
    <t>villain</t>
  </si>
  <si>
    <t>scoundrel</t>
  </si>
  <si>
    <t>canailles</t>
  </si>
  <si>
    <t>canais</t>
  </si>
  <si>
    <t>canait</t>
  </si>
  <si>
    <t>canal</t>
  </si>
  <si>
    <t>/kanal/</t>
  </si>
  <si>
    <t>kanal</t>
  </si>
  <si>
    <t>canalize</t>
  </si>
  <si>
    <t>canalise</t>
  </si>
  <si>
    <t>duct</t>
  </si>
  <si>
    <t>epithelial_duct</t>
  </si>
  <si>
    <t>channel</t>
  </si>
  <si>
    <t>canâmes</t>
  </si>
  <si>
    <t>/kanam/</t>
  </si>
  <si>
    <t>kanam</t>
  </si>
  <si>
    <t>canaque</t>
  </si>
  <si>
    <t>/kanak/</t>
  </si>
  <si>
    <t>kanak</t>
  </si>
  <si>
    <t>canasse</t>
  </si>
  <si>
    <t>/kanas/</t>
  </si>
  <si>
    <t>kanas</t>
  </si>
  <si>
    <t>canassent</t>
  </si>
  <si>
    <t>canasses</t>
  </si>
  <si>
    <t>Canayenne</t>
  </si>
  <si>
    <t>/kanajan/</t>
  </si>
  <si>
    <t>kanayan</t>
  </si>
  <si>
    <t>Canayennes</t>
  </si>
  <si>
    <t>cane</t>
  </si>
  <si>
    <t>/kan/</t>
  </si>
  <si>
    <t>kan</t>
  </si>
  <si>
    <t>duck</t>
  </si>
  <si>
    <t>dip</t>
  </si>
  <si>
    <t>douse</t>
  </si>
  <si>
    <t>duck's_egg</t>
  </si>
  <si>
    <t>canent</t>
  </si>
  <si>
    <t>canes</t>
  </si>
  <si>
    <t>caniche</t>
  </si>
  <si>
    <t>/kanɪʃ/</t>
  </si>
  <si>
    <t>kanish</t>
  </si>
  <si>
    <t>poodle</t>
  </si>
  <si>
    <t>poodle_dog</t>
  </si>
  <si>
    <t>caniches</t>
  </si>
  <si>
    <t>canine</t>
  </si>
  <si>
    <t>/kanɪn/</t>
  </si>
  <si>
    <t>kanin</t>
  </si>
  <si>
    <t>canid</t>
  </si>
  <si>
    <t>laniary</t>
  </si>
  <si>
    <t>canine_tooth</t>
  </si>
  <si>
    <t>eyetooth</t>
  </si>
  <si>
    <t>eye_tooth</t>
  </si>
  <si>
    <t>dogtooth</t>
  </si>
  <si>
    <t>cuspid</t>
  </si>
  <si>
    <t>canines</t>
  </si>
  <si>
    <t>canisse</t>
  </si>
  <si>
    <t>/kanɪs/</t>
  </si>
  <si>
    <t>kanis</t>
  </si>
  <si>
    <t>canisses</t>
  </si>
  <si>
    <t>cannai</t>
  </si>
  <si>
    <t>cannaient</t>
  </si>
  <si>
    <t>cannais</t>
  </si>
  <si>
    <t>cannait</t>
  </si>
  <si>
    <t>cannâmes</t>
  </si>
  <si>
    <t>cannasse</t>
  </si>
  <si>
    <t>cannassent</t>
  </si>
  <si>
    <t>cannasses</t>
  </si>
  <si>
    <t>canne</t>
  </si>
  <si>
    <t>walking_stick</t>
  </si>
  <si>
    <t>walkingstick</t>
  </si>
  <si>
    <t>stick_insect</t>
  </si>
  <si>
    <t>baton</t>
  </si>
  <si>
    <t>wand</t>
  </si>
  <si>
    <t>fishing_rod</t>
  </si>
  <si>
    <t>fishing_pole</t>
  </si>
  <si>
    <t>reed</t>
  </si>
  <si>
    <t>cannelâmes</t>
  </si>
  <si>
    <t>/kanalɑm/</t>
  </si>
  <si>
    <t>kanalam</t>
  </si>
  <si>
    <t>cannelle</t>
  </si>
  <si>
    <t>cinnamon</t>
  </si>
  <si>
    <t>Ceylon_cinnamon</t>
  </si>
  <si>
    <t>Ceylon_cinnamon_tree</t>
  </si>
  <si>
    <t>Cinnamomum_zeylanicum</t>
  </si>
  <si>
    <t>cinnamon_bark</t>
  </si>
  <si>
    <t>cannellent</t>
  </si>
  <si>
    <t>cannelles</t>
  </si>
  <si>
    <t>cannent</t>
  </si>
  <si>
    <t>cannes</t>
  </si>
  <si>
    <t>Cannes</t>
  </si>
  <si>
    <t>cannisse</t>
  </si>
  <si>
    <t>cannisses</t>
  </si>
  <si>
    <t>cap</t>
  </si>
  <si>
    <t>/kap/</t>
  </si>
  <si>
    <t>kap</t>
  </si>
  <si>
    <t>cape</t>
  </si>
  <si>
    <t>mantle</t>
  </si>
  <si>
    <t>ness</t>
  </si>
  <si>
    <t>promontory</t>
  </si>
  <si>
    <t>headland</t>
  </si>
  <si>
    <t>head</t>
  </si>
  <si>
    <t>foreland</t>
  </si>
  <si>
    <t>Cap</t>
  </si>
  <si>
    <t>capes</t>
  </si>
  <si>
    <t>CAPES</t>
  </si>
  <si>
    <t>/kapas/</t>
  </si>
  <si>
    <t>kapas</t>
  </si>
  <si>
    <t>Capet</t>
  </si>
  <si>
    <t>/kapa/</t>
  </si>
  <si>
    <t>kapa</t>
  </si>
  <si>
    <t>CAPET</t>
  </si>
  <si>
    <t>capitaine</t>
  </si>
  <si>
    <t>/kapɪtan/</t>
  </si>
  <si>
    <t>kapitan</t>
  </si>
  <si>
    <t>captain</t>
  </si>
  <si>
    <t>headwaiter</t>
  </si>
  <si>
    <t>maitre_d'hotel</t>
  </si>
  <si>
    <t>maitre_d'</t>
  </si>
  <si>
    <t>senior_pilot</t>
  </si>
  <si>
    <t>skipper</t>
  </si>
  <si>
    <t>police_captain</t>
  </si>
  <si>
    <t>police_chief</t>
  </si>
  <si>
    <t>chieftain</t>
  </si>
  <si>
    <t>master</t>
  </si>
  <si>
    <t>sea_captain</t>
  </si>
  <si>
    <t>victor</t>
  </si>
  <si>
    <t>superior</t>
  </si>
  <si>
    <t>capitaines</t>
  </si>
  <si>
    <t>capital</t>
  </si>
  <si>
    <t>/kapɪtal/</t>
  </si>
  <si>
    <t>kapital</t>
  </si>
  <si>
    <t>capitalization</t>
  </si>
  <si>
    <t>capitalisation</t>
  </si>
  <si>
    <t>chief</t>
  </si>
  <si>
    <t>main</t>
  </si>
  <si>
    <t>primary</t>
  </si>
  <si>
    <t>principal</t>
  </si>
  <si>
    <t>momentous</t>
  </si>
  <si>
    <t>chapiter</t>
  </si>
  <si>
    <t>Das_Kapital</t>
  </si>
  <si>
    <t>Capital</t>
  </si>
  <si>
    <t>working_capital</t>
  </si>
  <si>
    <t>capitale</t>
  </si>
  <si>
    <t>great</t>
  </si>
  <si>
    <t>majuscule</t>
  </si>
  <si>
    <t>capital_letter</t>
  </si>
  <si>
    <t>uppercase</t>
  </si>
  <si>
    <t>upper-case_letter</t>
  </si>
  <si>
    <t>capitales</t>
  </si>
  <si>
    <t>capitalisme</t>
  </si>
  <si>
    <t>/kapɪtalɪs/</t>
  </si>
  <si>
    <t>kapitalis</t>
  </si>
  <si>
    <t>capitalism</t>
  </si>
  <si>
    <t>capitalist_economy</t>
  </si>
  <si>
    <t>capitalismes</t>
  </si>
  <si>
    <t>capitaliste</t>
  </si>
  <si>
    <t>capitalistic</t>
  </si>
  <si>
    <t>capitalist</t>
  </si>
  <si>
    <t>capitalistes</t>
  </si>
  <si>
    <t>caps</t>
  </si>
  <si>
    <t>capte</t>
  </si>
  <si>
    <t>captent</t>
  </si>
  <si>
    <t>captes</t>
  </si>
  <si>
    <t>caquet</t>
  </si>
  <si>
    <t>caquets</t>
  </si>
  <si>
    <t>casque</t>
  </si>
  <si>
    <t>helmet</t>
  </si>
  <si>
    <t>galea</t>
  </si>
  <si>
    <t>casquent</t>
  </si>
  <si>
    <t>casques</t>
  </si>
  <si>
    <t>cassai</t>
  </si>
  <si>
    <t>/kasa/</t>
  </si>
  <si>
    <t>kasa</t>
  </si>
  <si>
    <t>cassaient</t>
  </si>
  <si>
    <t>cassais</t>
  </si>
  <si>
    <t>cassait</t>
  </si>
  <si>
    <t>cassâmes</t>
  </si>
  <si>
    <t>/kasam/</t>
  </si>
  <si>
    <t>kasam</t>
  </si>
  <si>
    <t>cassasse</t>
  </si>
  <si>
    <t>/kasas/</t>
  </si>
  <si>
    <t>kasas</t>
  </si>
  <si>
    <t>cassassent</t>
  </si>
  <si>
    <t>cassasses</t>
  </si>
  <si>
    <t>casse</t>
  </si>
  <si>
    <t>letter_case</t>
  </si>
  <si>
    <t>cassent</t>
  </si>
  <si>
    <t>casses</t>
  </si>
  <si>
    <t>cassis</t>
  </si>
  <si>
    <t>/kasɪs/</t>
  </si>
  <si>
    <t>kasis</t>
  </si>
  <si>
    <t>black_currant</t>
  </si>
  <si>
    <t>cassoulet</t>
  </si>
  <si>
    <t>/kasʊla/</t>
  </si>
  <si>
    <t>kasula</t>
  </si>
  <si>
    <t>cassoulets</t>
  </si>
  <si>
    <t>caste</t>
  </si>
  <si>
    <t>castes</t>
  </si>
  <si>
    <t>castre</t>
  </si>
  <si>
    <t>castrent</t>
  </si>
  <si>
    <t>castres</t>
  </si>
  <si>
    <t>catalane</t>
  </si>
  <si>
    <t>/katalan/</t>
  </si>
  <si>
    <t>katalan</t>
  </si>
  <si>
    <t>catalanes</t>
  </si>
  <si>
    <t>catelle</t>
  </si>
  <si>
    <t>/katal/</t>
  </si>
  <si>
    <t>katal</t>
  </si>
  <si>
    <t>flag</t>
  </si>
  <si>
    <t>flagstone</t>
  </si>
  <si>
    <t>Cayenne</t>
  </si>
  <si>
    <t>/kajan/</t>
  </si>
  <si>
    <t>kayan</t>
  </si>
  <si>
    <t>ceignaient</t>
  </si>
  <si>
    <t>/saɲa/</t>
  </si>
  <si>
    <t>saña</t>
  </si>
  <si>
    <t>ceignais</t>
  </si>
  <si>
    <t>ceignait</t>
  </si>
  <si>
    <t>ceigne</t>
  </si>
  <si>
    <t>/saɲ/</t>
  </si>
  <si>
    <t>sañ</t>
  </si>
  <si>
    <t>ceignent</t>
  </si>
  <si>
    <t>ceignes</t>
  </si>
  <si>
    <t>ceignîmes</t>
  </si>
  <si>
    <t>/saɲim/</t>
  </si>
  <si>
    <t>sañim</t>
  </si>
  <si>
    <t>ceignis</t>
  </si>
  <si>
    <t>/saɲi/</t>
  </si>
  <si>
    <t>sañi</t>
  </si>
  <si>
    <t>ceignisse</t>
  </si>
  <si>
    <t>/saɲis/</t>
  </si>
  <si>
    <t>sañis</t>
  </si>
  <si>
    <t>ceignissent</t>
  </si>
  <si>
    <t>ceignisses</t>
  </si>
  <si>
    <t>ceignit</t>
  </si>
  <si>
    <t>ceignît</t>
  </si>
  <si>
    <t>cèle</t>
  </si>
  <si>
    <t>/sal/</t>
  </si>
  <si>
    <t>sal</t>
  </si>
  <si>
    <t>cèlent</t>
  </si>
  <si>
    <t>cèles</t>
  </si>
  <si>
    <t>celle</t>
  </si>
  <si>
    <t>celles</t>
  </si>
  <si>
    <t>cène</t>
  </si>
  <si>
    <t>/san/</t>
  </si>
  <si>
    <t>san</t>
  </si>
  <si>
    <t>Last_Supper</t>
  </si>
  <si>
    <t>Lord's_Supper</t>
  </si>
  <si>
    <t>cènes</t>
  </si>
  <si>
    <t>cenne</t>
  </si>
  <si>
    <t>cennes</t>
  </si>
  <si>
    <t>cep</t>
  </si>
  <si>
    <t>/sap/</t>
  </si>
  <si>
    <t>sap</t>
  </si>
  <si>
    <t>vine</t>
  </si>
  <si>
    <t>cèpe</t>
  </si>
  <si>
    <t>Boletus</t>
  </si>
  <si>
    <t>genus_Boletus</t>
  </si>
  <si>
    <t>cèpes</t>
  </si>
  <si>
    <t>ceps</t>
  </si>
  <si>
    <t>ces</t>
  </si>
  <si>
    <t>/sa/</t>
  </si>
  <si>
    <t>cessai</t>
  </si>
  <si>
    <t>/sasa/</t>
  </si>
  <si>
    <t>sasa</t>
  </si>
  <si>
    <t>cessaient</t>
  </si>
  <si>
    <t>cessais</t>
  </si>
  <si>
    <t>cessait</t>
  </si>
  <si>
    <t>cessâmes</t>
  </si>
  <si>
    <t>/sasam/</t>
  </si>
  <si>
    <t>sasam</t>
  </si>
  <si>
    <t>cessasse</t>
  </si>
  <si>
    <t>/sasas/</t>
  </si>
  <si>
    <t>sasas</t>
  </si>
  <si>
    <t>cessassent</t>
  </si>
  <si>
    <t>cessasses</t>
  </si>
  <si>
    <t>cesse</t>
  </si>
  <si>
    <t>/sas/</t>
  </si>
  <si>
    <t>sas</t>
  </si>
  <si>
    <t>cessent</t>
  </si>
  <si>
    <t>cesses</t>
  </si>
  <si>
    <t>chacal</t>
  </si>
  <si>
    <t>/ʃakal/</t>
  </si>
  <si>
    <t>shakal</t>
  </si>
  <si>
    <t>jackal</t>
  </si>
  <si>
    <t>Canis_aureus</t>
  </si>
  <si>
    <t>Sanchez</t>
  </si>
  <si>
    <t>Ilich_Sanchez</t>
  </si>
  <si>
    <t>Ilich_Ramirez_Sanchez</t>
  </si>
  <si>
    <t>Carlos</t>
  </si>
  <si>
    <t>Carlos_the_Jackal</t>
  </si>
  <si>
    <t>Salim</t>
  </si>
  <si>
    <t>Andres_Martinez</t>
  </si>
  <si>
    <t>Taurus</t>
  </si>
  <si>
    <t>Glen_Gebhard</t>
  </si>
  <si>
    <t>Hector_Hevodidbon</t>
  </si>
  <si>
    <t>Michael_Assat</t>
  </si>
  <si>
    <t>chacals</t>
  </si>
  <si>
    <t>chai</t>
  </si>
  <si>
    <t>/ʃa/</t>
  </si>
  <si>
    <t>sha</t>
  </si>
  <si>
    <t>chaînai</t>
  </si>
  <si>
    <t>/ʃana/</t>
  </si>
  <si>
    <t>shana</t>
  </si>
  <si>
    <t>chaînaient</t>
  </si>
  <si>
    <t>chaînais</t>
  </si>
  <si>
    <t>chaînait</t>
  </si>
  <si>
    <t>chaînâmes</t>
  </si>
  <si>
    <t>/ʃanam/</t>
  </si>
  <si>
    <t>shanam</t>
  </si>
  <si>
    <t>chaînasse</t>
  </si>
  <si>
    <t>/ʃanas/</t>
  </si>
  <si>
    <t>shanas</t>
  </si>
  <si>
    <t>chaînassent</t>
  </si>
  <si>
    <t>chaînasses</t>
  </si>
  <si>
    <t>chaîne</t>
  </si>
  <si>
    <t>/ʃan/</t>
  </si>
  <si>
    <t>shan</t>
  </si>
  <si>
    <t>chain</t>
  </si>
  <si>
    <t>string</t>
  </si>
  <si>
    <t>strand</t>
  </si>
  <si>
    <t>television_channel</t>
  </si>
  <si>
    <t>TV_channel</t>
  </si>
  <si>
    <t>irons</t>
  </si>
  <si>
    <t>chains</t>
  </si>
  <si>
    <t>line</t>
  </si>
  <si>
    <t>communication_channel</t>
  </si>
  <si>
    <t>concatenation</t>
  </si>
  <si>
    <t>chemical_chain</t>
  </si>
  <si>
    <t>Chain</t>
  </si>
  <si>
    <t>Ernst_Boris_Chain</t>
  </si>
  <si>
    <t>Sir_Ernst_Boris_Chain</t>
  </si>
  <si>
    <t>chaînent</t>
  </si>
  <si>
    <t>chaînes</t>
  </si>
  <si>
    <t>chais</t>
  </si>
  <si>
    <t>châle</t>
  </si>
  <si>
    <t>/ʃal/</t>
  </si>
  <si>
    <t>shal</t>
  </si>
  <si>
    <t>shawl</t>
  </si>
  <si>
    <t>châles</t>
  </si>
  <si>
    <t>chalet</t>
  </si>
  <si>
    <t>/ʃala/</t>
  </si>
  <si>
    <t>shala</t>
  </si>
  <si>
    <t>chalets</t>
  </si>
  <si>
    <t>châlit</t>
  </si>
  <si>
    <t>/ʃali/</t>
  </si>
  <si>
    <t>shali</t>
  </si>
  <si>
    <t>bedstead</t>
  </si>
  <si>
    <t>bedframe</t>
  </si>
  <si>
    <t>châlits</t>
  </si>
  <si>
    <t>chaloupai</t>
  </si>
  <si>
    <t>/ʃalʊpa/</t>
  </si>
  <si>
    <t>shalupa</t>
  </si>
  <si>
    <t>chaloupaient</t>
  </si>
  <si>
    <t>chaloupais</t>
  </si>
  <si>
    <t>chaloupait</t>
  </si>
  <si>
    <t>chaloupâmes</t>
  </si>
  <si>
    <t>/ʃalʊpam/</t>
  </si>
  <si>
    <t>shalupam</t>
  </si>
  <si>
    <t>chaloupasse</t>
  </si>
  <si>
    <t>/ʃalʊpas/</t>
  </si>
  <si>
    <t>shalupas</t>
  </si>
  <si>
    <t>chaloupassent</t>
  </si>
  <si>
    <t>chaloupasses</t>
  </si>
  <si>
    <t>chaloupe</t>
  </si>
  <si>
    <t>/ʃalʊp/</t>
  </si>
  <si>
    <t>shalup</t>
  </si>
  <si>
    <t>longboat</t>
  </si>
  <si>
    <t>chaloupent</t>
  </si>
  <si>
    <t>chaloupes</t>
  </si>
  <si>
    <t>chamaillai</t>
  </si>
  <si>
    <t>/ʃamaja/</t>
  </si>
  <si>
    <t>shamaya</t>
  </si>
  <si>
    <t>chamaillaient</t>
  </si>
  <si>
    <t>chamaillais</t>
  </si>
  <si>
    <t>chamaillait</t>
  </si>
  <si>
    <t>chamaillâmes</t>
  </si>
  <si>
    <t>/ʃamajam/</t>
  </si>
  <si>
    <t>shamayam</t>
  </si>
  <si>
    <t>chamaillasse</t>
  </si>
  <si>
    <t>/ʃamajas/</t>
  </si>
  <si>
    <t>shamayas</t>
  </si>
  <si>
    <t>chamaillassent</t>
  </si>
  <si>
    <t>chamaillasses</t>
  </si>
  <si>
    <t>chamaille</t>
  </si>
  <si>
    <t>/ʃamaj/</t>
  </si>
  <si>
    <t>shamay</t>
  </si>
  <si>
    <t>chamaillent</t>
  </si>
  <si>
    <t>chamailles</t>
  </si>
  <si>
    <t>chaman</t>
  </si>
  <si>
    <t>/ʃaman/</t>
  </si>
  <si>
    <t>shaman</t>
  </si>
  <si>
    <t>priest-doctor</t>
  </si>
  <si>
    <t>chamanisme</t>
  </si>
  <si>
    <t>/ʃamanɪs/</t>
  </si>
  <si>
    <t>shamanis</t>
  </si>
  <si>
    <t>shamanism</t>
  </si>
  <si>
    <t>Asian_shamanism</t>
  </si>
  <si>
    <t>chamanismes</t>
  </si>
  <si>
    <t>chamelle</t>
  </si>
  <si>
    <t>/ʃamal/</t>
  </si>
  <si>
    <t>shamal</t>
  </si>
  <si>
    <t>chamelles</t>
  </si>
  <si>
    <t>channe</t>
  </si>
  <si>
    <t>chape</t>
  </si>
  <si>
    <t>/ʃap/</t>
  </si>
  <si>
    <t>shap</t>
  </si>
  <si>
    <t>header</t>
  </si>
  <si>
    <t>coping</t>
  </si>
  <si>
    <t>cope</t>
  </si>
  <si>
    <t>chapelle</t>
  </si>
  <si>
    <t>/ʃapal/</t>
  </si>
  <si>
    <t>shapal</t>
  </si>
  <si>
    <t>chapel_service</t>
  </si>
  <si>
    <t>chapel</t>
  </si>
  <si>
    <t>chapelles</t>
  </si>
  <si>
    <t>chapes</t>
  </si>
  <si>
    <t>chaque</t>
  </si>
  <si>
    <t>/ʃak/</t>
  </si>
  <si>
    <t>shak</t>
  </si>
  <si>
    <t>each</t>
  </si>
  <si>
    <t>to_each_one</t>
  </si>
  <si>
    <t>for_each_one</t>
  </si>
  <si>
    <t>from_each_one</t>
  </si>
  <si>
    <t>apiece</t>
  </si>
  <si>
    <t>every</t>
  </si>
  <si>
    <t>chassai</t>
  </si>
  <si>
    <t>/ʃasa/</t>
  </si>
  <si>
    <t>shasa</t>
  </si>
  <si>
    <t>chassaient</t>
  </si>
  <si>
    <t>chassais</t>
  </si>
  <si>
    <t>chassait</t>
  </si>
  <si>
    <t>chassâmes</t>
  </si>
  <si>
    <t>/ʃasam/</t>
  </si>
  <si>
    <t>shasam</t>
  </si>
  <si>
    <t>chassasse</t>
  </si>
  <si>
    <t>/ʃasas/</t>
  </si>
  <si>
    <t>shasas</t>
  </si>
  <si>
    <t>chassassent</t>
  </si>
  <si>
    <t>chassasses</t>
  </si>
  <si>
    <t>chasse</t>
  </si>
  <si>
    <t>/ʃas/</t>
  </si>
  <si>
    <t>shas</t>
  </si>
  <si>
    <t>hunt</t>
  </si>
  <si>
    <t>hunting</t>
  </si>
  <si>
    <t>search</t>
  </si>
  <si>
    <t>manhunt</t>
  </si>
  <si>
    <t>run</t>
  </si>
  <si>
    <t>hunt_down</t>
  </si>
  <si>
    <t>track_down</t>
  </si>
  <si>
    <t>trace</t>
  </si>
  <si>
    <t>hunt_club</t>
  </si>
  <si>
    <t>hunter-gatherer</t>
  </si>
  <si>
    <t>châsse</t>
  </si>
  <si>
    <t>chassent</t>
  </si>
  <si>
    <t>chasses</t>
  </si>
  <si>
    <t>châsses</t>
  </si>
  <si>
    <t>châssis</t>
  </si>
  <si>
    <t>/ʃasi/</t>
  </si>
  <si>
    <t>shasi</t>
  </si>
  <si>
    <t>windowpane</t>
  </si>
  <si>
    <t>window</t>
  </si>
  <si>
    <t>chaste</t>
  </si>
  <si>
    <t>chastes</t>
  </si>
  <si>
    <t>châtaigne</t>
  </si>
  <si>
    <t>/ʃataɲ/</t>
  </si>
  <si>
    <t>shatañ</t>
  </si>
  <si>
    <t>chestnut</t>
  </si>
  <si>
    <t>chestnut_tree</t>
  </si>
  <si>
    <t>European_chestnut</t>
  </si>
  <si>
    <t>sweet_chestnut</t>
  </si>
  <si>
    <t>Spanish_chestnut</t>
  </si>
  <si>
    <t>Castanea_sativa</t>
  </si>
  <si>
    <t>châtaignes</t>
  </si>
  <si>
    <t>chatouillai</t>
  </si>
  <si>
    <t>/ʃatʊja/</t>
  </si>
  <si>
    <t>shatuya</t>
  </si>
  <si>
    <t>chatouillaient</t>
  </si>
  <si>
    <t>chatouillais</t>
  </si>
  <si>
    <t>chatouillait</t>
  </si>
  <si>
    <t>chatouillâmes</t>
  </si>
  <si>
    <t>/ʃatʊjam/</t>
  </si>
  <si>
    <t>shatuyam</t>
  </si>
  <si>
    <t>chatouillasse</t>
  </si>
  <si>
    <t>/ʃatʊjas/</t>
  </si>
  <si>
    <t>shatuyas</t>
  </si>
  <si>
    <t>chatouillassent</t>
  </si>
  <si>
    <t>chatouillasses</t>
  </si>
  <si>
    <t>chatouille</t>
  </si>
  <si>
    <t>/ʃatʊj/</t>
  </si>
  <si>
    <t>shatuy</t>
  </si>
  <si>
    <t>chatouillent</t>
  </si>
  <si>
    <t>chatouilles</t>
  </si>
  <si>
    <t>chatouillis</t>
  </si>
  <si>
    <t>/ʃatʊji/</t>
  </si>
  <si>
    <t>shatuyi</t>
  </si>
  <si>
    <t>chèche</t>
  </si>
  <si>
    <t>/ʃaʃ/</t>
  </si>
  <si>
    <t>shash</t>
  </si>
  <si>
    <t>chèches</t>
  </si>
  <si>
    <t>cheik</t>
  </si>
  <si>
    <t>cheiks</t>
  </si>
  <si>
    <t>chêne</t>
  </si>
  <si>
    <t>Quercus</t>
  </si>
  <si>
    <t>genus_Quercus</t>
  </si>
  <si>
    <t>oak</t>
  </si>
  <si>
    <t>oak_tree</t>
  </si>
  <si>
    <t>barrel</t>
  </si>
  <si>
    <t>barrelful</t>
  </si>
  <si>
    <t>chênes</t>
  </si>
  <si>
    <t>chèque</t>
  </si>
  <si>
    <t>cheque</t>
  </si>
  <si>
    <t>check_out</t>
  </si>
  <si>
    <t>voucher</t>
  </si>
  <si>
    <t>check</t>
  </si>
  <si>
    <t>bank_check</t>
  </si>
  <si>
    <t>chèques</t>
  </si>
  <si>
    <t>chic</t>
  </si>
  <si>
    <t>/ʃɪk/</t>
  </si>
  <si>
    <t>shik</t>
  </si>
  <si>
    <t>smart</t>
  </si>
  <si>
    <t>voguish</t>
  </si>
  <si>
    <t>classy</t>
  </si>
  <si>
    <t>posh</t>
  </si>
  <si>
    <t>swish</t>
  </si>
  <si>
    <t>chicness</t>
  </si>
  <si>
    <t>chichi</t>
  </si>
  <si>
    <t>modishness</t>
  </si>
  <si>
    <t>smartness</t>
  </si>
  <si>
    <t>stylishness</t>
  </si>
  <si>
    <t>swank</t>
  </si>
  <si>
    <t>last_word</t>
  </si>
  <si>
    <t>chicanai</t>
  </si>
  <si>
    <t>/ʃɪkana/</t>
  </si>
  <si>
    <t>shikana</t>
  </si>
  <si>
    <t>chicanaient</t>
  </si>
  <si>
    <t>chicanais</t>
  </si>
  <si>
    <t>chicanait</t>
  </si>
  <si>
    <t>chicanâmes</t>
  </si>
  <si>
    <t>/ʃɪkanam/</t>
  </si>
  <si>
    <t>shikanam</t>
  </si>
  <si>
    <t>chicanasse</t>
  </si>
  <si>
    <t>/ʃɪkanas/</t>
  </si>
  <si>
    <t>shikanas</t>
  </si>
  <si>
    <t>chicanassent</t>
  </si>
  <si>
    <t>chicanasses</t>
  </si>
  <si>
    <t>chicane</t>
  </si>
  <si>
    <t>/ʃɪkan/</t>
  </si>
  <si>
    <t>shikan</t>
  </si>
  <si>
    <t>chicanent</t>
  </si>
  <si>
    <t>chicanes</t>
  </si>
  <si>
    <t>chiche</t>
  </si>
  <si>
    <t>/ʃɪʃ/</t>
  </si>
  <si>
    <t>shish</t>
  </si>
  <si>
    <t>chiches</t>
  </si>
  <si>
    <t>/ʃɪʃi/</t>
  </si>
  <si>
    <t>shishi</t>
  </si>
  <si>
    <t>chichis</t>
  </si>
  <si>
    <t>chics</t>
  </si>
  <si>
    <t>chie</t>
  </si>
  <si>
    <t>/ʃi/</t>
  </si>
  <si>
    <t>shi</t>
  </si>
  <si>
    <t>chient</t>
  </si>
  <si>
    <t>chies</t>
  </si>
  <si>
    <t>Chili</t>
  </si>
  <si>
    <t>/ʃɪli/</t>
  </si>
  <si>
    <t>shili</t>
  </si>
  <si>
    <t>chili</t>
  </si>
  <si>
    <t>chili_pepper</t>
  </si>
  <si>
    <t>chilli</t>
  </si>
  <si>
    <t>chilly</t>
  </si>
  <si>
    <t>chile</t>
  </si>
  <si>
    <t>Chile</t>
  </si>
  <si>
    <t>Republic_of_Chile</t>
  </si>
  <si>
    <t>chimie</t>
  </si>
  <si>
    <t>/ʃɪmi/</t>
  </si>
  <si>
    <t>shimi</t>
  </si>
  <si>
    <t>chemistry</t>
  </si>
  <si>
    <t>chemical_science</t>
  </si>
  <si>
    <t>interpersonal_chemistry</t>
  </si>
  <si>
    <t>alchemy</t>
  </si>
  <si>
    <t>chemical</t>
  </si>
  <si>
    <t>chemical_substance</t>
  </si>
  <si>
    <t>chimies</t>
  </si>
  <si>
    <t>chimique</t>
  </si>
  <si>
    <t>/ʃɪmɪk/</t>
  </si>
  <si>
    <t>shimik</t>
  </si>
  <si>
    <t>chemic</t>
  </si>
  <si>
    <t>chimiques</t>
  </si>
  <si>
    <t>chimiste</t>
  </si>
  <si>
    <t>/ʃɪmɪs/</t>
  </si>
  <si>
    <t>shimis</t>
  </si>
  <si>
    <t>chemist</t>
  </si>
  <si>
    <t>pharmacist</t>
  </si>
  <si>
    <t>druggist</t>
  </si>
  <si>
    <t>apothecary</t>
  </si>
  <si>
    <t>pill_pusher</t>
  </si>
  <si>
    <t>pill_roller</t>
  </si>
  <si>
    <t>chimistes</t>
  </si>
  <si>
    <t>chinai</t>
  </si>
  <si>
    <t>/ʃɪna/</t>
  </si>
  <si>
    <t>shina</t>
  </si>
  <si>
    <t>chinaient</t>
  </si>
  <si>
    <t>chinais</t>
  </si>
  <si>
    <t>chinait</t>
  </si>
  <si>
    <t>chinâmes</t>
  </si>
  <si>
    <t>/ʃɪnam/</t>
  </si>
  <si>
    <t>shinam</t>
  </si>
  <si>
    <t>chinasse</t>
  </si>
  <si>
    <t>/ʃɪnas/</t>
  </si>
  <si>
    <t>shinas</t>
  </si>
  <si>
    <t>chinassent</t>
  </si>
  <si>
    <t>chinasses</t>
  </si>
  <si>
    <t>chine</t>
  </si>
  <si>
    <t>/ʃɪn/</t>
  </si>
  <si>
    <t>shin</t>
  </si>
  <si>
    <t>china</t>
  </si>
  <si>
    <t>China</t>
  </si>
  <si>
    <t>People's_Republic_of_China</t>
  </si>
  <si>
    <t>mainland_China</t>
  </si>
  <si>
    <t>Communist_China</t>
  </si>
  <si>
    <t>Red_China</t>
  </si>
  <si>
    <t>PRC</t>
  </si>
  <si>
    <t>Cathay</t>
  </si>
  <si>
    <t>Taiwan</t>
  </si>
  <si>
    <t>Nationalist_China</t>
  </si>
  <si>
    <t>Republic_of_China</t>
  </si>
  <si>
    <t>Chine</t>
  </si>
  <si>
    <t>chinent</t>
  </si>
  <si>
    <t>chines</t>
  </si>
  <si>
    <t>chipai</t>
  </si>
  <si>
    <t>/ʃɪpa/</t>
  </si>
  <si>
    <t>shipa</t>
  </si>
  <si>
    <t>chipaient</t>
  </si>
  <si>
    <t>chipais</t>
  </si>
  <si>
    <t>chipait</t>
  </si>
  <si>
    <t>chipâmes</t>
  </si>
  <si>
    <t>/ʃɪpam/</t>
  </si>
  <si>
    <t>shipam</t>
  </si>
  <si>
    <t>chipasse</t>
  </si>
  <si>
    <t>/ʃɪpas/</t>
  </si>
  <si>
    <t>shipas</t>
  </si>
  <si>
    <t>chipassent</t>
  </si>
  <si>
    <t>chipasses</t>
  </si>
  <si>
    <t>chipe</t>
  </si>
  <si>
    <t>/ʃɪp/</t>
  </si>
  <si>
    <t>ship</t>
  </si>
  <si>
    <t>chipent</t>
  </si>
  <si>
    <t>chipes</t>
  </si>
  <si>
    <t>chipie</t>
  </si>
  <si>
    <t>/ʃɪpi/</t>
  </si>
  <si>
    <t>shipi</t>
  </si>
  <si>
    <t>cunt</t>
  </si>
  <si>
    <t>bitch</t>
  </si>
  <si>
    <t>vixen</t>
  </si>
  <si>
    <t>harpy</t>
  </si>
  <si>
    <t>hellcat</t>
  </si>
  <si>
    <t>chipies</t>
  </si>
  <si>
    <t>chiquai</t>
  </si>
  <si>
    <t>/ʃɪka/</t>
  </si>
  <si>
    <t>shika</t>
  </si>
  <si>
    <t>chiquaient</t>
  </si>
  <si>
    <t>chiquais</t>
  </si>
  <si>
    <t>chiquait</t>
  </si>
  <si>
    <t>chiquâmes</t>
  </si>
  <si>
    <t>/ʃɪkam/</t>
  </si>
  <si>
    <t>shikam</t>
  </si>
  <si>
    <t>chiquasse</t>
  </si>
  <si>
    <t>/ʃɪkas/</t>
  </si>
  <si>
    <t>shikas</t>
  </si>
  <si>
    <t>chiquassent</t>
  </si>
  <si>
    <t>chiquasses</t>
  </si>
  <si>
    <t>chique</t>
  </si>
  <si>
    <t>chiquent</t>
  </si>
  <si>
    <t>chiques</t>
  </si>
  <si>
    <t>chou</t>
  </si>
  <si>
    <t>/ʃu/</t>
  </si>
  <si>
    <t>shu</t>
  </si>
  <si>
    <t>pilfer</t>
  </si>
  <si>
    <t>cabbage</t>
  </si>
  <si>
    <t>purloin</t>
  </si>
  <si>
    <t>pinch</t>
  </si>
  <si>
    <t>abstract</t>
  </si>
  <si>
    <t>snarf</t>
  </si>
  <si>
    <t>swipe</t>
  </si>
  <si>
    <t>hook</t>
  </si>
  <si>
    <t>sneak</t>
  </si>
  <si>
    <t>filch</t>
  </si>
  <si>
    <t>nobble</t>
  </si>
  <si>
    <t>lift</t>
  </si>
  <si>
    <t>dumpling</t>
  </si>
  <si>
    <t>Zhou</t>
  </si>
  <si>
    <t>Zhou_dynasty</t>
  </si>
  <si>
    <t>Chou</t>
  </si>
  <si>
    <t>Chou_dynasty</t>
  </si>
  <si>
    <t>Chow</t>
  </si>
  <si>
    <t>Chow_dynasty</t>
  </si>
  <si>
    <t>wild_cabbage</t>
  </si>
  <si>
    <t>Brassica_oleracea</t>
  </si>
  <si>
    <t>cultivated_cabbage</t>
  </si>
  <si>
    <t>kale</t>
  </si>
  <si>
    <t>kail</t>
  </si>
  <si>
    <t>cole</t>
  </si>
  <si>
    <t>borecole</t>
  </si>
  <si>
    <t>colewort</t>
  </si>
  <si>
    <t>Brassica_oleracea_acephala</t>
  </si>
  <si>
    <t>chouchou</t>
  </si>
  <si>
    <t>/ʃʊʃu/</t>
  </si>
  <si>
    <t>shushu</t>
  </si>
  <si>
    <t>favored</t>
  </si>
  <si>
    <t>favorite</t>
  </si>
  <si>
    <t>favourite</t>
  </si>
  <si>
    <t>best-loved</t>
  </si>
  <si>
    <t>pet</t>
  </si>
  <si>
    <t>preferred</t>
  </si>
  <si>
    <t>preferent</t>
  </si>
  <si>
    <t>mollycoddle</t>
  </si>
  <si>
    <t>teacher's_pet</t>
  </si>
  <si>
    <t>chouchous</t>
  </si>
  <si>
    <t>chouchoutai</t>
  </si>
  <si>
    <t>/ʃʊʃʊta/</t>
  </si>
  <si>
    <t>shushuta</t>
  </si>
  <si>
    <t>chouchoutaient</t>
  </si>
  <si>
    <t>chouchoutais</t>
  </si>
  <si>
    <t>chouchoutait</t>
  </si>
  <si>
    <t>chouchoutâmes</t>
  </si>
  <si>
    <t>/ʃʊʃʊtam/</t>
  </si>
  <si>
    <t>shushutam</t>
  </si>
  <si>
    <t>chouchoutasse</t>
  </si>
  <si>
    <t>/ʃʊʃʊtas/</t>
  </si>
  <si>
    <t>shushutas</t>
  </si>
  <si>
    <t>chouchoutassent</t>
  </si>
  <si>
    <t>chouchoutasses</t>
  </si>
  <si>
    <t>choux</t>
  </si>
  <si>
    <t>ci</t>
  </si>
  <si>
    <t>/si/</t>
  </si>
  <si>
    <t>si</t>
  </si>
  <si>
    <t>cil</t>
  </si>
  <si>
    <t>/sɪl/</t>
  </si>
  <si>
    <t>sil</t>
  </si>
  <si>
    <t>alga</t>
  </si>
  <si>
    <t>algae</t>
  </si>
  <si>
    <t>cirrus</t>
  </si>
  <si>
    <t>pleat</t>
  </si>
  <si>
    <t>plait</t>
  </si>
  <si>
    <t>eyelash</t>
  </si>
  <si>
    <t>lash</t>
  </si>
  <si>
    <t>cilium</t>
  </si>
  <si>
    <t>cilice</t>
  </si>
  <si>
    <t>/sɪlɪs/</t>
  </si>
  <si>
    <t>silis</t>
  </si>
  <si>
    <t>cilices</t>
  </si>
  <si>
    <t>cillai</t>
  </si>
  <si>
    <t>/sɪja/</t>
  </si>
  <si>
    <t>siya</t>
  </si>
  <si>
    <t>cillaient</t>
  </si>
  <si>
    <t>cillais</t>
  </si>
  <si>
    <t>cillait</t>
  </si>
  <si>
    <t>cillâmes</t>
  </si>
  <si>
    <t>/sɪjam/</t>
  </si>
  <si>
    <t>siyam</t>
  </si>
  <si>
    <t>cillasse</t>
  </si>
  <si>
    <t>/sɪjas/</t>
  </si>
  <si>
    <t>siyas</t>
  </si>
  <si>
    <t>cillassent</t>
  </si>
  <si>
    <t>cillasses</t>
  </si>
  <si>
    <t>cille</t>
  </si>
  <si>
    <t>/sɪj/</t>
  </si>
  <si>
    <t>siy</t>
  </si>
  <si>
    <t>cillent</t>
  </si>
  <si>
    <t>cilles</t>
  </si>
  <si>
    <t>cils</t>
  </si>
  <si>
    <t>cime</t>
  </si>
  <si>
    <t>/sɪm/</t>
  </si>
  <si>
    <t>sim</t>
  </si>
  <si>
    <t>climax</t>
  </si>
  <si>
    <t>culmination</t>
  </si>
  <si>
    <t>apex</t>
  </si>
  <si>
    <t>solar_apex</t>
  </si>
  <si>
    <t>apex_of_the_sun's_way</t>
  </si>
  <si>
    <t>peak</t>
  </si>
  <si>
    <t>crown</t>
  </si>
  <si>
    <t>crest</t>
  </si>
  <si>
    <t>top</t>
  </si>
  <si>
    <t>tip</t>
  </si>
  <si>
    <t>summit</t>
  </si>
  <si>
    <t>vertex</t>
  </si>
  <si>
    <t>acme</t>
  </si>
  <si>
    <t>zenith</t>
  </si>
  <si>
    <t>point</t>
  </si>
  <si>
    <t>height</t>
  </si>
  <si>
    <t>elevation</t>
  </si>
  <si>
    <t>pinnacle</t>
  </si>
  <si>
    <t>superlative</t>
  </si>
  <si>
    <t>meridian</t>
  </si>
  <si>
    <t>tiptop</t>
  </si>
  <si>
    <t>cimes</t>
  </si>
  <si>
    <t>citai</t>
  </si>
  <si>
    <t>/sɪta/</t>
  </si>
  <si>
    <t>sita</t>
  </si>
  <si>
    <t>citaient</t>
  </si>
  <si>
    <t>citais</t>
  </si>
  <si>
    <t>citait</t>
  </si>
  <si>
    <t>citâmes</t>
  </si>
  <si>
    <t>/sɪtam/</t>
  </si>
  <si>
    <t>sitam</t>
  </si>
  <si>
    <t>citasse</t>
  </si>
  <si>
    <t>/sɪtas/</t>
  </si>
  <si>
    <t>sitas</t>
  </si>
  <si>
    <t>citassent</t>
  </si>
  <si>
    <t>citasses</t>
  </si>
  <si>
    <t>cookie</t>
  </si>
  <si>
    <t>/kʊki/</t>
  </si>
  <si>
    <t>kuki</t>
  </si>
  <si>
    <t>cool</t>
  </si>
  <si>
    <t>/kʊl/</t>
  </si>
  <si>
    <t>kul</t>
  </si>
  <si>
    <t>cool_off</t>
  </si>
  <si>
    <t>cool_down</t>
  </si>
  <si>
    <t>coolheaded</t>
  </si>
  <si>
    <t>nerveless</t>
  </si>
  <si>
    <t>aplomb</t>
  </si>
  <si>
    <t>assuredness</t>
  </si>
  <si>
    <t>poise</t>
  </si>
  <si>
    <t>sang-froid</t>
  </si>
  <si>
    <t>cou</t>
  </si>
  <si>
    <t>/ku/</t>
  </si>
  <si>
    <t>ku</t>
  </si>
  <si>
    <t>neck</t>
  </si>
  <si>
    <t>cervix</t>
  </si>
  <si>
    <t>nape</t>
  </si>
  <si>
    <t>scruff</t>
  </si>
  <si>
    <t>nucha</t>
  </si>
  <si>
    <t>col</t>
  </si>
  <si>
    <t>gap</t>
  </si>
  <si>
    <t>lodger</t>
  </si>
  <si>
    <t>boarder</t>
  </si>
  <si>
    <t>roomer</t>
  </si>
  <si>
    <t>couchai</t>
  </si>
  <si>
    <t>/kʊʃa/</t>
  </si>
  <si>
    <t>kusha</t>
  </si>
  <si>
    <t>couchaient</t>
  </si>
  <si>
    <t>couchais</t>
  </si>
  <si>
    <t>couchait</t>
  </si>
  <si>
    <t>couchâmes</t>
  </si>
  <si>
    <t>/kʊʃam/</t>
  </si>
  <si>
    <t>kusham</t>
  </si>
  <si>
    <t>couchasse</t>
  </si>
  <si>
    <t>/kʊʃas/</t>
  </si>
  <si>
    <t>kushas</t>
  </si>
  <si>
    <t>couchassent</t>
  </si>
  <si>
    <t>couchasses</t>
  </si>
  <si>
    <t>couche</t>
  </si>
  <si>
    <t>/kʊʃ/</t>
  </si>
  <si>
    <t>kush</t>
  </si>
  <si>
    <t>crisp</t>
  </si>
  <si>
    <t>frizzly</t>
  </si>
  <si>
    <t>frizzy</t>
  </si>
  <si>
    <t>kinky</t>
  </si>
  <si>
    <t>nappy</t>
  </si>
  <si>
    <t>layer</t>
  </si>
  <si>
    <t>diaper</t>
  </si>
  <si>
    <t>napkin</t>
  </si>
  <si>
    <t>bed</t>
  </si>
  <si>
    <t>level</t>
  </si>
  <si>
    <t>stratum</t>
  </si>
  <si>
    <t>section</t>
  </si>
  <si>
    <t>couchent</t>
  </si>
  <si>
    <t>couches</t>
  </si>
  <si>
    <t>coucou</t>
  </si>
  <si>
    <t>/kʊku/</t>
  </si>
  <si>
    <t>kuku</t>
  </si>
  <si>
    <t>cuckoo</t>
  </si>
  <si>
    <t>European_cuckoo</t>
  </si>
  <si>
    <t>Cuculus_canorus</t>
  </si>
  <si>
    <t>cuckoo_clock</t>
  </si>
  <si>
    <t>fathead</t>
  </si>
  <si>
    <t>goof</t>
  </si>
  <si>
    <t>goofball</t>
  </si>
  <si>
    <t>bozo</t>
  </si>
  <si>
    <t>goose</t>
  </si>
  <si>
    <t>twat</t>
  </si>
  <si>
    <t>zany</t>
  </si>
  <si>
    <t>cowslip</t>
  </si>
  <si>
    <t>paigle</t>
  </si>
  <si>
    <t>Primula_veris</t>
  </si>
  <si>
    <t>coucous</t>
  </si>
  <si>
    <t>couille</t>
  </si>
  <si>
    <t>/kʊj/</t>
  </si>
  <si>
    <t>kuy</t>
  </si>
  <si>
    <t>ball</t>
  </si>
  <si>
    <t>bollock</t>
  </si>
  <si>
    <t>bullock_block</t>
  </si>
  <si>
    <t>sphere</t>
  </si>
  <si>
    <t>gonad</t>
  </si>
  <si>
    <t>sex_gland</t>
  </si>
  <si>
    <t>testis</t>
  </si>
  <si>
    <t>testicle</t>
  </si>
  <si>
    <t>orchis</t>
  </si>
  <si>
    <t>ballock</t>
  </si>
  <si>
    <t>egg</t>
  </si>
  <si>
    <t>Nut</t>
  </si>
  <si>
    <t>Ball</t>
  </si>
  <si>
    <t>Lucille_Ball</t>
  </si>
  <si>
    <t>couilles</t>
  </si>
  <si>
    <t>coulai</t>
  </si>
  <si>
    <t>/kʊla/</t>
  </si>
  <si>
    <t>kula</t>
  </si>
  <si>
    <t>coulaient</t>
  </si>
  <si>
    <t>coulais</t>
  </si>
  <si>
    <t>coulait</t>
  </si>
  <si>
    <t>coulâmes</t>
  </si>
  <si>
    <t>/kʊlam/</t>
  </si>
  <si>
    <t>kulam</t>
  </si>
  <si>
    <t>coulasse</t>
  </si>
  <si>
    <t>/kʊlas/</t>
  </si>
  <si>
    <t>kulas</t>
  </si>
  <si>
    <t>coulassent</t>
  </si>
  <si>
    <t>coulasses</t>
  </si>
  <si>
    <t>coule</t>
  </si>
  <si>
    <t>coulent</t>
  </si>
  <si>
    <t>coules</t>
  </si>
  <si>
    <t>coulis</t>
  </si>
  <si>
    <t>/kʊli/</t>
  </si>
  <si>
    <t>kuli</t>
  </si>
  <si>
    <t>coulissai</t>
  </si>
  <si>
    <t>/kʊlɪsa/</t>
  </si>
  <si>
    <t>kulisa</t>
  </si>
  <si>
    <t>coulissaient</t>
  </si>
  <si>
    <t>coulissais</t>
  </si>
  <si>
    <t>coulissait</t>
  </si>
  <si>
    <t>coulissâmes</t>
  </si>
  <si>
    <t>/kʊlɪsam/</t>
  </si>
  <si>
    <t>kulisam</t>
  </si>
  <si>
    <t>coulissasse</t>
  </si>
  <si>
    <t>/kʊlɪsas/</t>
  </si>
  <si>
    <t>kulisas</t>
  </si>
  <si>
    <t>coulissassent</t>
  </si>
  <si>
    <t>coulissasses</t>
  </si>
  <si>
    <t>coulisse</t>
  </si>
  <si>
    <t>/kʊlɪs/</t>
  </si>
  <si>
    <t>kulis</t>
  </si>
  <si>
    <t>backroom</t>
  </si>
  <si>
    <t>scene</t>
  </si>
  <si>
    <t>coulissent</t>
  </si>
  <si>
    <t>coulisses</t>
  </si>
  <si>
    <t>coup</t>
  </si>
  <si>
    <t>hit</t>
  </si>
  <si>
    <t>knock</t>
  </si>
  <si>
    <t>belt</t>
  </si>
  <si>
    <t>rap</t>
  </si>
  <si>
    <t>whack</t>
  </si>
  <si>
    <t>whang</t>
  </si>
  <si>
    <t>smack</t>
  </si>
  <si>
    <t>smacking</t>
  </si>
  <si>
    <t>slap</t>
  </si>
  <si>
    <t>punch</t>
  </si>
  <si>
    <t>clout</t>
  </si>
  <si>
    <t>poke</t>
  </si>
  <si>
    <t>lick</t>
  </si>
  <si>
    <t>biff</t>
  </si>
  <si>
    <t>slug</t>
  </si>
  <si>
    <t>stroke</t>
  </si>
  <si>
    <t>stroking</t>
  </si>
  <si>
    <t>move</t>
  </si>
  <si>
    <t>ten-strike</t>
  </si>
  <si>
    <t>shot</t>
  </si>
  <si>
    <t>glance</t>
  </si>
  <si>
    <t>glimpse</t>
  </si>
  <si>
    <t>coup_d'oeil</t>
  </si>
  <si>
    <t>coup_d'etat</t>
  </si>
  <si>
    <t>putsch</t>
  </si>
  <si>
    <t>takeover</t>
  </si>
  <si>
    <t>blow</t>
  </si>
  <si>
    <t>solidus</t>
  </si>
  <si>
    <t>slash</t>
  </si>
  <si>
    <t>virgule</t>
  </si>
  <si>
    <t>diagonal</t>
  </si>
  <si>
    <t>separatrix</t>
  </si>
  <si>
    <t>accident</t>
  </si>
  <si>
    <t>fortuity</t>
  </si>
  <si>
    <t>chance_event</t>
  </si>
  <si>
    <t>throw</t>
  </si>
  <si>
    <t>cam_stroke</t>
  </si>
  <si>
    <t>knocking</t>
  </si>
  <si>
    <t>shooter</t>
  </si>
  <si>
    <t>gale</t>
  </si>
  <si>
    <t>gust</t>
  </si>
  <si>
    <t>coupai</t>
  </si>
  <si>
    <t>/kʊpa/</t>
  </si>
  <si>
    <t>kupa</t>
  </si>
  <si>
    <t>coupaient</t>
  </si>
  <si>
    <t>coupais</t>
  </si>
  <si>
    <t>coupait</t>
  </si>
  <si>
    <t>coupâmes</t>
  </si>
  <si>
    <t>/kʊpam/</t>
  </si>
  <si>
    <t>kupam</t>
  </si>
  <si>
    <t>coupasse</t>
  </si>
  <si>
    <t>/kʊpas/</t>
  </si>
  <si>
    <t>kupas</t>
  </si>
  <si>
    <t>coupassent</t>
  </si>
  <si>
    <t>coupasses</t>
  </si>
  <si>
    <t>coupe</t>
  </si>
  <si>
    <t>/kʊp/</t>
  </si>
  <si>
    <t>kup</t>
  </si>
  <si>
    <t>cutback</t>
  </si>
  <si>
    <t>haircut</t>
  </si>
  <si>
    <t>cut</t>
  </si>
  <si>
    <t>cutting</t>
  </si>
  <si>
    <t>gash</t>
  </si>
  <si>
    <t>incision</t>
  </si>
  <si>
    <t>surgical_incision</t>
  </si>
  <si>
    <t>cup</t>
  </si>
  <si>
    <t>loving_cup</t>
  </si>
  <si>
    <t>plane_section</t>
  </si>
  <si>
    <t>Crater</t>
  </si>
  <si>
    <t>slice</t>
  </si>
  <si>
    <t>coupelle</t>
  </si>
  <si>
    <t>/kʊpal/</t>
  </si>
  <si>
    <t>kupal</t>
  </si>
  <si>
    <t>coupelles</t>
  </si>
  <si>
    <t>coupent</t>
  </si>
  <si>
    <t>coupes</t>
  </si>
  <si>
    <t>coups</t>
  </si>
  <si>
    <t>couque</t>
  </si>
  <si>
    <t>/kʊk/</t>
  </si>
  <si>
    <t>kuk</t>
  </si>
  <si>
    <t>cous</t>
  </si>
  <si>
    <t>coussinet</t>
  </si>
  <si>
    <t>/kʊsɪna/</t>
  </si>
  <si>
    <t>kusina</t>
  </si>
  <si>
    <t>coussinets</t>
  </si>
  <si>
    <t>coût</t>
  </si>
  <si>
    <t>cost</t>
  </si>
  <si>
    <t>monetary_value</t>
  </si>
  <si>
    <t>price</t>
  </si>
  <si>
    <t>toll</t>
  </si>
  <si>
    <t>coûtai</t>
  </si>
  <si>
    <t>/kʊta/</t>
  </si>
  <si>
    <t>kuta</t>
  </si>
  <si>
    <t>coûtaient</t>
  </si>
  <si>
    <t>coûtais</t>
  </si>
  <si>
    <t>coûtait</t>
  </si>
  <si>
    <t>coûtâmes</t>
  </si>
  <si>
    <t>/kʊtam/</t>
  </si>
  <si>
    <t>kutam</t>
  </si>
  <si>
    <t>coûtasse</t>
  </si>
  <si>
    <t>/kʊtas/</t>
  </si>
  <si>
    <t>kutas</t>
  </si>
  <si>
    <t>coûtassent</t>
  </si>
  <si>
    <t>coûtasses</t>
  </si>
  <si>
    <t>coûts</t>
  </si>
  <si>
    <t>cycle</t>
  </si>
  <si>
    <t>/sɪk/</t>
  </si>
  <si>
    <t>sik</t>
  </si>
  <si>
    <t>motorbike</t>
  </si>
  <si>
    <t>motorcycle</t>
  </si>
  <si>
    <t>round</t>
  </si>
  <si>
    <t>unit_of_ammunition</t>
  </si>
  <si>
    <t>one_shot</t>
  </si>
  <si>
    <t>oscillation</t>
  </si>
  <si>
    <t>hertz</t>
  </si>
  <si>
    <t>Hz</t>
  </si>
  <si>
    <t>cycle_per_second</t>
  </si>
  <si>
    <t>cycles/second</t>
  </si>
  <si>
    <t>cps</t>
  </si>
  <si>
    <t>rhythm</t>
  </si>
  <si>
    <t>cycles</t>
  </si>
  <si>
    <t>cygne</t>
  </si>
  <si>
    <t>/siɲ/</t>
  </si>
  <si>
    <t>siñ</t>
  </si>
  <si>
    <t>swan</t>
  </si>
  <si>
    <t>cygnet</t>
  </si>
  <si>
    <t>Cygnus</t>
  </si>
  <si>
    <t>genus_Cygnus</t>
  </si>
  <si>
    <t>cygnes</t>
  </si>
  <si>
    <t>cynique</t>
  </si>
  <si>
    <t>/sɪnɪk/</t>
  </si>
  <si>
    <t>sinik</t>
  </si>
  <si>
    <t>cynical</t>
  </si>
  <si>
    <t>misanthropic</t>
  </si>
  <si>
    <t>misanthropical</t>
  </si>
  <si>
    <t>cynic</t>
  </si>
  <si>
    <t>faultfinder</t>
  </si>
  <si>
    <t>cyniques</t>
  </si>
  <si>
    <t>cynisme</t>
  </si>
  <si>
    <t>/sɪnɪs/</t>
  </si>
  <si>
    <t>sinis</t>
  </si>
  <si>
    <t>cynicism</t>
  </si>
  <si>
    <t>Cynic</t>
  </si>
  <si>
    <t>cynismes</t>
  </si>
  <si>
    <t>elle</t>
  </si>
  <si>
    <t>elles</t>
  </si>
  <si>
    <t>/i/</t>
  </si>
  <si>
    <t>i</t>
  </si>
  <si>
    <t>es</t>
  </si>
  <si>
    <t>einsteinium</t>
  </si>
  <si>
    <t>Es</t>
  </si>
  <si>
    <t>E</t>
  </si>
  <si>
    <t>atomic_number_99</t>
  </si>
  <si>
    <t>ès</t>
  </si>
  <si>
    <t>et al.</t>
  </si>
  <si>
    <t>H</t>
  </si>
  <si>
    <t>hedge</t>
  </si>
  <si>
    <t>hedgerow</t>
  </si>
  <si>
    <t>Planck's_constant</t>
  </si>
  <si>
    <t>h</t>
  </si>
  <si>
    <t>hydrogen</t>
  </si>
  <si>
    <t>atomic_number_1</t>
  </si>
  <si>
    <t>haleine</t>
  </si>
  <si>
    <t>/alan/</t>
  </si>
  <si>
    <t>alan</t>
  </si>
  <si>
    <t>breath</t>
  </si>
  <si>
    <t>hint</t>
  </si>
  <si>
    <t>intimation</t>
  </si>
  <si>
    <t>breather</t>
  </si>
  <si>
    <t>breathing_place</t>
  </si>
  <si>
    <t>breathing_space</t>
  </si>
  <si>
    <t>breathing_spell</t>
  </si>
  <si>
    <t>breathing_time</t>
  </si>
  <si>
    <t>haleines</t>
  </si>
  <si>
    <t>hallali</t>
  </si>
  <si>
    <t>/alali/</t>
  </si>
  <si>
    <t>alali</t>
  </si>
  <si>
    <t>hallalis</t>
  </si>
  <si>
    <t>hiatal</t>
  </si>
  <si>
    <t>/jatal/</t>
  </si>
  <si>
    <t>yatal</t>
  </si>
  <si>
    <t>hiatale</t>
  </si>
  <si>
    <t>hiatales</t>
  </si>
  <si>
    <t>himalayenne</t>
  </si>
  <si>
    <t>/imalajan/</t>
  </si>
  <si>
    <t>imalayan</t>
  </si>
  <si>
    <t>himalayennes</t>
  </si>
  <si>
    <t>hippique</t>
  </si>
  <si>
    <t>/ipɪk/</t>
  </si>
  <si>
    <t>ipik</t>
  </si>
  <si>
    <t>equestrian</t>
  </si>
  <si>
    <t>horseman</t>
  </si>
  <si>
    <t>horseback_rider</t>
  </si>
  <si>
    <t>hippiques</t>
  </si>
  <si>
    <t>hippisme</t>
  </si>
  <si>
    <t>/ipɪs/</t>
  </si>
  <si>
    <t>ipis</t>
  </si>
  <si>
    <t>horse_racing</t>
  </si>
  <si>
    <t>hippismes</t>
  </si>
  <si>
    <t>houmous</t>
  </si>
  <si>
    <t>/umʊs/</t>
  </si>
  <si>
    <t>umus</t>
  </si>
  <si>
    <t>hummus</t>
  </si>
  <si>
    <t>humus</t>
  </si>
  <si>
    <t>hommos</t>
  </si>
  <si>
    <t>hoummos</t>
  </si>
  <si>
    <t>humous</t>
  </si>
  <si>
    <t>hyène</t>
  </si>
  <si>
    <t>/jan/</t>
  </si>
  <si>
    <t>yan</t>
  </si>
  <si>
    <t>hyena</t>
  </si>
  <si>
    <t>hyaena</t>
  </si>
  <si>
    <t>hyènes</t>
  </si>
  <si>
    <t>hymen</t>
  </si>
  <si>
    <t>/iman/</t>
  </si>
  <si>
    <t>iman</t>
  </si>
  <si>
    <t>maidenhead</t>
  </si>
  <si>
    <t>virginal_membrane</t>
  </si>
  <si>
    <t>Hymen</t>
  </si>
  <si>
    <t>hymens</t>
  </si>
  <si>
    <t>hymne</t>
  </si>
  <si>
    <t>/im/</t>
  </si>
  <si>
    <t>im</t>
  </si>
  <si>
    <t>hymn</t>
  </si>
  <si>
    <t>anthem</t>
  </si>
  <si>
    <t>hymnes</t>
  </si>
  <si>
    <t>automaton</t>
  </si>
  <si>
    <t>robot</t>
  </si>
  <si>
    <t>golem</t>
  </si>
  <si>
    <t>I</t>
  </si>
  <si>
    <t>icelle</t>
  </si>
  <si>
    <t>/isal/</t>
  </si>
  <si>
    <t>isal</t>
  </si>
  <si>
    <t>icelles</t>
  </si>
  <si>
    <t>ici</t>
  </si>
  <si>
    <t>/isi/</t>
  </si>
  <si>
    <t>isi</t>
  </si>
  <si>
    <t>hence</t>
  </si>
  <si>
    <t>here</t>
  </si>
  <si>
    <t>hither</t>
  </si>
  <si>
    <t>up_here</t>
  </si>
  <si>
    <t>over_here</t>
  </si>
  <si>
    <t>Hera</t>
  </si>
  <si>
    <t>Here</t>
  </si>
  <si>
    <t>Ignace</t>
  </si>
  <si>
    <t>/iɲas/</t>
  </si>
  <si>
    <t>iñas</t>
  </si>
  <si>
    <t>Ignatius</t>
  </si>
  <si>
    <t>Saint_Ignatius</t>
  </si>
  <si>
    <t>St._Ignatius</t>
  </si>
  <si>
    <t>igname</t>
  </si>
  <si>
    <t>/iɲam/</t>
  </si>
  <si>
    <t>iñam</t>
  </si>
  <si>
    <t>yam</t>
  </si>
  <si>
    <t>yam_plant</t>
  </si>
  <si>
    <t>ignames</t>
  </si>
  <si>
    <t>il</t>
  </si>
  <si>
    <t>he</t>
  </si>
  <si>
    <t>Illinois</t>
  </si>
  <si>
    <t>Prairie_State</t>
  </si>
  <si>
    <t>Land_of_Lincoln</t>
  </si>
  <si>
    <t>IL</t>
  </si>
  <si>
    <t>île</t>
  </si>
  <si>
    <t>/il/</t>
  </si>
  <si>
    <t>island</t>
  </si>
  <si>
    <t>enclave</t>
  </si>
  <si>
    <t>Cyprus</t>
  </si>
  <si>
    <t>Republic_of_Cyprus</t>
  </si>
  <si>
    <t>Hebrides</t>
  </si>
  <si>
    <t>Hebridean_Islands</t>
  </si>
  <si>
    <t>Hebridean_Isles</t>
  </si>
  <si>
    <t>Western_Islands</t>
  </si>
  <si>
    <t>Western_Isles</t>
  </si>
  <si>
    <t>isle</t>
  </si>
  <si>
    <t>islet</t>
  </si>
  <si>
    <t>îles</t>
  </si>
  <si>
    <t>Scilly_Islands</t>
  </si>
  <si>
    <t>Isles_of_Scilly</t>
  </si>
  <si>
    <t>ils</t>
  </si>
  <si>
    <t>imam</t>
  </si>
  <si>
    <t>/imam/</t>
  </si>
  <si>
    <t>imaum</t>
  </si>
  <si>
    <t>imams</t>
  </si>
  <si>
    <t>imitai</t>
  </si>
  <si>
    <t>/imɪta/</t>
  </si>
  <si>
    <t>imita</t>
  </si>
  <si>
    <t>imitaient</t>
  </si>
  <si>
    <t>imitais</t>
  </si>
  <si>
    <t>imitait</t>
  </si>
  <si>
    <t>imitâmes</t>
  </si>
  <si>
    <t>/imɪtam/</t>
  </si>
  <si>
    <t>imitam</t>
  </si>
  <si>
    <t>imitasse</t>
  </si>
  <si>
    <t>/imɪtas/</t>
  </si>
  <si>
    <t>imitas</t>
  </si>
  <si>
    <t>imitassent</t>
  </si>
  <si>
    <t>imitasses</t>
  </si>
  <si>
    <t>immisçai</t>
  </si>
  <si>
    <t>/imɪsa/</t>
  </si>
  <si>
    <t>imisa</t>
  </si>
  <si>
    <t>immisçaient</t>
  </si>
  <si>
    <t>immisçais</t>
  </si>
  <si>
    <t>immisçait</t>
  </si>
  <si>
    <t>immisçâmes</t>
  </si>
  <si>
    <t>/imɪsɑm/</t>
  </si>
  <si>
    <t>imisam</t>
  </si>
  <si>
    <t>immisçasse</t>
  </si>
  <si>
    <t>/imɪsas/</t>
  </si>
  <si>
    <t>imisas</t>
  </si>
  <si>
    <t>immisçassent</t>
  </si>
  <si>
    <t>immisçasses</t>
  </si>
  <si>
    <t>immisçât</t>
  </si>
  <si>
    <t>/imɪsɑ/</t>
  </si>
  <si>
    <t>immisce</t>
  </si>
  <si>
    <t>/imɪs/</t>
  </si>
  <si>
    <t>imis</t>
  </si>
  <si>
    <t>immiscent</t>
  </si>
  <si>
    <t>immisces</t>
  </si>
  <si>
    <t>inamical</t>
  </si>
  <si>
    <t>/inamɪkal/</t>
  </si>
  <si>
    <t>inamikal</t>
  </si>
  <si>
    <t>unfriendly</t>
  </si>
  <si>
    <t>hostile</t>
  </si>
  <si>
    <t>uncongenial</t>
  </si>
  <si>
    <t>inimical</t>
  </si>
  <si>
    <t>inamicale</t>
  </si>
  <si>
    <t>inamicales</t>
  </si>
  <si>
    <t>inapte</t>
  </si>
  <si>
    <t>/inap/</t>
  </si>
  <si>
    <t>inap</t>
  </si>
  <si>
    <t>inaptes</t>
  </si>
  <si>
    <t>inepte</t>
  </si>
  <si>
    <t>ineptes</t>
  </si>
  <si>
    <t>inhalai</t>
  </si>
  <si>
    <t>/inala/</t>
  </si>
  <si>
    <t>inala</t>
  </si>
  <si>
    <t>inhalaient</t>
  </si>
  <si>
    <t>inhalais</t>
  </si>
  <si>
    <t>inhalait</t>
  </si>
  <si>
    <t>inhalâmes</t>
  </si>
  <si>
    <t>/inalam/</t>
  </si>
  <si>
    <t>inalam</t>
  </si>
  <si>
    <t>inhalasse</t>
  </si>
  <si>
    <t>/inalas/</t>
  </si>
  <si>
    <t>inalas</t>
  </si>
  <si>
    <t>inhalassent</t>
  </si>
  <si>
    <t>inhalasses</t>
  </si>
  <si>
    <t>inhale</t>
  </si>
  <si>
    <t>/inal/</t>
  </si>
  <si>
    <t>inal</t>
  </si>
  <si>
    <t>inhalent</t>
  </si>
  <si>
    <t>inhales</t>
  </si>
  <si>
    <t>inique</t>
  </si>
  <si>
    <t>/inɪk/</t>
  </si>
  <si>
    <t>inik</t>
  </si>
  <si>
    <t>iniquitous</t>
  </si>
  <si>
    <t>sinful</t>
  </si>
  <si>
    <t>ungodly</t>
  </si>
  <si>
    <t>iniques</t>
  </si>
  <si>
    <t>initie</t>
  </si>
  <si>
    <t>/inɪsi/</t>
  </si>
  <si>
    <t>inisi</t>
  </si>
  <si>
    <t>initient</t>
  </si>
  <si>
    <t>inities</t>
  </si>
  <si>
    <t>isthme</t>
  </si>
  <si>
    <t>/is/</t>
  </si>
  <si>
    <t>is</t>
  </si>
  <si>
    <t>isthmus</t>
  </si>
  <si>
    <t>isthmes</t>
  </si>
  <si>
    <t>Italie</t>
  </si>
  <si>
    <t>/itali/</t>
  </si>
  <si>
    <t>itali</t>
  </si>
  <si>
    <t>Italy</t>
  </si>
  <si>
    <t>Italian_Republic</t>
  </si>
  <si>
    <t>Italia</t>
  </si>
  <si>
    <t>italique</t>
  </si>
  <si>
    <t>/italɪk/</t>
  </si>
  <si>
    <t>italik</t>
  </si>
  <si>
    <t>italic</t>
  </si>
  <si>
    <t>italiques</t>
  </si>
  <si>
    <t>item</t>
  </si>
  <si>
    <t>/itam/</t>
  </si>
  <si>
    <t>itam</t>
  </si>
  <si>
    <t>items</t>
  </si>
  <si>
    <t>itou</t>
  </si>
  <si>
    <t>/itu/</t>
  </si>
  <si>
    <t>itu</t>
  </si>
  <si>
    <t>besides</t>
  </si>
  <si>
    <t>too</t>
  </si>
  <si>
    <t>also</t>
  </si>
  <si>
    <t>likewise</t>
  </si>
  <si>
    <t>as_well</t>
  </si>
  <si>
    <t>kaki</t>
  </si>
  <si>
    <t>/kaki/</t>
  </si>
  <si>
    <t>khaki</t>
  </si>
  <si>
    <t>persimmon</t>
  </si>
  <si>
    <t>persimmon_tree</t>
  </si>
  <si>
    <t>kakis</t>
  </si>
  <si>
    <t>kayak</t>
  </si>
  <si>
    <t>/kajak/</t>
  </si>
  <si>
    <t>canoe</t>
  </si>
  <si>
    <t>kayaks</t>
  </si>
  <si>
    <t>khâgne</t>
  </si>
  <si>
    <t>khâgnes</t>
  </si>
  <si>
    <t>kiki</t>
  </si>
  <si>
    <t>/kɪki/</t>
  </si>
  <si>
    <t>kikis</t>
  </si>
  <si>
    <t>kil</t>
  </si>
  <si>
    <t>/kɪl/</t>
  </si>
  <si>
    <t>kils</t>
  </si>
  <si>
    <t>kyste</t>
  </si>
  <si>
    <t>/kɪs/</t>
  </si>
  <si>
    <t>vesicle</t>
  </si>
  <si>
    <t>cyst</t>
  </si>
  <si>
    <t>kystes</t>
  </si>
  <si>
    <t>L</t>
  </si>
  <si>
    <t>l'</t>
  </si>
  <si>
    <t>/l/</t>
  </si>
  <si>
    <t>l</t>
  </si>
  <si>
    <t>la</t>
  </si>
  <si>
    <t>/la/</t>
  </si>
  <si>
    <t>statistics</t>
  </si>
  <si>
    <t>Ladyship</t>
  </si>
  <si>
    <t>lah</t>
  </si>
  <si>
    <t>Louisiana</t>
  </si>
  <si>
    <t>Pelican_State</t>
  </si>
  <si>
    <t>LA</t>
  </si>
  <si>
    <t>lanthanum</t>
  </si>
  <si>
    <t>La</t>
  </si>
  <si>
    <t>atomic_number_57</t>
  </si>
  <si>
    <t>La Palice</t>
  </si>
  <si>
    <t>/lapalɪs/</t>
  </si>
  <si>
    <t>lapalis</t>
  </si>
  <si>
    <t>lac</t>
  </si>
  <si>
    <t>/lak/</t>
  </si>
  <si>
    <t>lak</t>
  </si>
  <si>
    <t>lake</t>
  </si>
  <si>
    <t>loch</t>
  </si>
  <si>
    <t>tarn</t>
  </si>
  <si>
    <t>laçai</t>
  </si>
  <si>
    <t>/lasa/</t>
  </si>
  <si>
    <t>lasa</t>
  </si>
  <si>
    <t>laçaient</t>
  </si>
  <si>
    <t>laçais</t>
  </si>
  <si>
    <t>laçait</t>
  </si>
  <si>
    <t>laçâmes</t>
  </si>
  <si>
    <t>/lasɑm/</t>
  </si>
  <si>
    <t>lasam</t>
  </si>
  <si>
    <t>laçasse</t>
  </si>
  <si>
    <t>/lasas/</t>
  </si>
  <si>
    <t>lasas</t>
  </si>
  <si>
    <t>laçassent</t>
  </si>
  <si>
    <t>laçasses</t>
  </si>
  <si>
    <t>laçât</t>
  </si>
  <si>
    <t>/lasɑ/</t>
  </si>
  <si>
    <t>lace</t>
  </si>
  <si>
    <t>/las/</t>
  </si>
  <si>
    <t>las</t>
  </si>
  <si>
    <t>lacent</t>
  </si>
  <si>
    <t>laces</t>
  </si>
  <si>
    <t>lacet</t>
  </si>
  <si>
    <t>lacing</t>
  </si>
  <si>
    <t>lacets</t>
  </si>
  <si>
    <t>lâchai</t>
  </si>
  <si>
    <t>/laʃa/</t>
  </si>
  <si>
    <t>lasha</t>
  </si>
  <si>
    <t>lâchaient</t>
  </si>
  <si>
    <t>lâchais</t>
  </si>
  <si>
    <t>lâchait</t>
  </si>
  <si>
    <t>lâchâmes</t>
  </si>
  <si>
    <t>/laʃam/</t>
  </si>
  <si>
    <t>lasham</t>
  </si>
  <si>
    <t>lâchasse</t>
  </si>
  <si>
    <t>/laʃas/</t>
  </si>
  <si>
    <t>lashas</t>
  </si>
  <si>
    <t>lâchassent</t>
  </si>
  <si>
    <t>lâchasses</t>
  </si>
  <si>
    <t>lâche</t>
  </si>
  <si>
    <t>/laʃ/</t>
  </si>
  <si>
    <t>disentangled</t>
  </si>
  <si>
    <t>loosened</t>
  </si>
  <si>
    <t>unsnarled</t>
  </si>
  <si>
    <t>cowardly</t>
  </si>
  <si>
    <t>fearful</t>
  </si>
  <si>
    <t>abject</t>
  </si>
  <si>
    <t>low</t>
  </si>
  <si>
    <t>low-down</t>
  </si>
  <si>
    <t>miserable</t>
  </si>
  <si>
    <t>scummy</t>
  </si>
  <si>
    <t>scurvy</t>
  </si>
  <si>
    <t>coward</t>
  </si>
  <si>
    <t>poltroon</t>
  </si>
  <si>
    <t>craven</t>
  </si>
  <si>
    <t>recreant</t>
  </si>
  <si>
    <t>Coward</t>
  </si>
  <si>
    <t>Noel_Coward</t>
  </si>
  <si>
    <t>Sir_Noel_Pierce_Coward</t>
  </si>
  <si>
    <t>lâchent</t>
  </si>
  <si>
    <t>lâches</t>
  </si>
  <si>
    <t>lacis</t>
  </si>
  <si>
    <t>/lasi/</t>
  </si>
  <si>
    <t>lasi</t>
  </si>
  <si>
    <t>lai</t>
  </si>
  <si>
    <t>laid</t>
  </si>
  <si>
    <t>baleful</t>
  </si>
  <si>
    <t>forbidding</t>
  </si>
  <si>
    <t>menacing</t>
  </si>
  <si>
    <t>minacious</t>
  </si>
  <si>
    <t>minatory</t>
  </si>
  <si>
    <t>ominous</t>
  </si>
  <si>
    <t>sinister</t>
  </si>
  <si>
    <t>threatening</t>
  </si>
  <si>
    <t>ugly</t>
  </si>
  <si>
    <t>despicable</t>
  </si>
  <si>
    <t>vile</t>
  </si>
  <si>
    <t>slimy</t>
  </si>
  <si>
    <t>unworthy</t>
  </si>
  <si>
    <t>worthless</t>
  </si>
  <si>
    <t>wretched</t>
  </si>
  <si>
    <t>surly</t>
  </si>
  <si>
    <t>laids</t>
  </si>
  <si>
    <t>lainai</t>
  </si>
  <si>
    <t>/lana/</t>
  </si>
  <si>
    <t>lana</t>
  </si>
  <si>
    <t>lainaient</t>
  </si>
  <si>
    <t>lainais</t>
  </si>
  <si>
    <t>lainait</t>
  </si>
  <si>
    <t>lainâmes</t>
  </si>
  <si>
    <t>/lanam/</t>
  </si>
  <si>
    <t>lanam</t>
  </si>
  <si>
    <t>lainasse</t>
  </si>
  <si>
    <t>/lanas/</t>
  </si>
  <si>
    <t>lanas</t>
  </si>
  <si>
    <t>lainassent</t>
  </si>
  <si>
    <t>lainasses</t>
  </si>
  <si>
    <t>laine</t>
  </si>
  <si>
    <t>/lan/</t>
  </si>
  <si>
    <t>lan</t>
  </si>
  <si>
    <t>wave</t>
  </si>
  <si>
    <t>wool</t>
  </si>
  <si>
    <t>fleece</t>
  </si>
  <si>
    <t>woolen</t>
  </si>
  <si>
    <t>woollen</t>
  </si>
  <si>
    <t>lainent</t>
  </si>
  <si>
    <t>laines</t>
  </si>
  <si>
    <t>lais</t>
  </si>
  <si>
    <t>laissai</t>
  </si>
  <si>
    <t>laissaient</t>
  </si>
  <si>
    <t>laissais</t>
  </si>
  <si>
    <t>laissait</t>
  </si>
  <si>
    <t>laissâmes</t>
  </si>
  <si>
    <t>/lasam/</t>
  </si>
  <si>
    <t>laissasse</t>
  </si>
  <si>
    <t>laissassent</t>
  </si>
  <si>
    <t>laissasses</t>
  </si>
  <si>
    <t>laisse</t>
  </si>
  <si>
    <t>collar</t>
  </si>
  <si>
    <t>leash</t>
  </si>
  <si>
    <t>rope</t>
  </si>
  <si>
    <t>tether</t>
  </si>
  <si>
    <t>lead</t>
  </si>
  <si>
    <t>laissent</t>
  </si>
  <si>
    <t>laisses</t>
  </si>
  <si>
    <t>lait</t>
  </si>
  <si>
    <t>milk</t>
  </si>
  <si>
    <t>Milk</t>
  </si>
  <si>
    <t>Milk_River</t>
  </si>
  <si>
    <t>laits</t>
  </si>
  <si>
    <t>lame</t>
  </si>
  <si>
    <t>/lam/</t>
  </si>
  <si>
    <t>lam</t>
  </si>
  <si>
    <t>blade</t>
  </si>
  <si>
    <t>slide</t>
  </si>
  <si>
    <t>microscope_slide</t>
  </si>
  <si>
    <t>lamina</t>
  </si>
  <si>
    <t>lamelle</t>
  </si>
  <si>
    <t>/lamal/</t>
  </si>
  <si>
    <t>lamal</t>
  </si>
  <si>
    <t>gill</t>
  </si>
  <si>
    <t>lamella</t>
  </si>
  <si>
    <t>lamelles</t>
  </si>
  <si>
    <t>lames</t>
  </si>
  <si>
    <t>laminai</t>
  </si>
  <si>
    <t>/lamɪna/</t>
  </si>
  <si>
    <t>laminaient</t>
  </si>
  <si>
    <t>laminais</t>
  </si>
  <si>
    <t>laminait</t>
  </si>
  <si>
    <t>laminâmes</t>
  </si>
  <si>
    <t>/lamɪnam/</t>
  </si>
  <si>
    <t>laminam</t>
  </si>
  <si>
    <t>laminasse</t>
  </si>
  <si>
    <t>/lamɪnas/</t>
  </si>
  <si>
    <t>laminas</t>
  </si>
  <si>
    <t>laminassent</t>
  </si>
  <si>
    <t>laminasses</t>
  </si>
  <si>
    <t>lamine</t>
  </si>
  <si>
    <t>/lamɪn/</t>
  </si>
  <si>
    <t>lamin</t>
  </si>
  <si>
    <t>laminent</t>
  </si>
  <si>
    <t>lamines</t>
  </si>
  <si>
    <t>lapai</t>
  </si>
  <si>
    <t>/lapa/</t>
  </si>
  <si>
    <t>lapa</t>
  </si>
  <si>
    <t>lapaient</t>
  </si>
  <si>
    <t>lapais</t>
  </si>
  <si>
    <t>lapait</t>
  </si>
  <si>
    <t>lapâmes</t>
  </si>
  <si>
    <t>/lapam/</t>
  </si>
  <si>
    <t>lapam</t>
  </si>
  <si>
    <t>lapasse</t>
  </si>
  <si>
    <t>/lapas/</t>
  </si>
  <si>
    <t>lapas</t>
  </si>
  <si>
    <t>lapassent</t>
  </si>
  <si>
    <t>lapasses</t>
  </si>
  <si>
    <t>lape</t>
  </si>
  <si>
    <t>/lap/</t>
  </si>
  <si>
    <t>lap</t>
  </si>
  <si>
    <t>lapent</t>
  </si>
  <si>
    <t>lapes</t>
  </si>
  <si>
    <t>lapinai</t>
  </si>
  <si>
    <t>/lapɪna/</t>
  </si>
  <si>
    <t>lapina</t>
  </si>
  <si>
    <t>lapinaient</t>
  </si>
  <si>
    <t>lapinais</t>
  </si>
  <si>
    <t>lapinait</t>
  </si>
  <si>
    <t>lapinâmes</t>
  </si>
  <si>
    <t>/lapɪnam/</t>
  </si>
  <si>
    <t>lapinam</t>
  </si>
  <si>
    <t>lapinasse</t>
  </si>
  <si>
    <t>/lapɪnas/</t>
  </si>
  <si>
    <t>lapinas</t>
  </si>
  <si>
    <t>lapinassent</t>
  </si>
  <si>
    <t>lapinasses</t>
  </si>
  <si>
    <t>lapine</t>
  </si>
  <si>
    <t>/lapɪn/</t>
  </si>
  <si>
    <t>lapin</t>
  </si>
  <si>
    <t>doe</t>
  </si>
  <si>
    <t>lapinent</t>
  </si>
  <si>
    <t>lapines</t>
  </si>
  <si>
    <t>lapis</t>
  </si>
  <si>
    <t>/lapɪs/</t>
  </si>
  <si>
    <t>laquai</t>
  </si>
  <si>
    <t>/laka/</t>
  </si>
  <si>
    <t>laka</t>
  </si>
  <si>
    <t>laquaient</t>
  </si>
  <si>
    <t>laquais</t>
  </si>
  <si>
    <t>laquait</t>
  </si>
  <si>
    <t>laquâmes</t>
  </si>
  <si>
    <t>/lakam/</t>
  </si>
  <si>
    <t>lakam</t>
  </si>
  <si>
    <t>laquasse</t>
  </si>
  <si>
    <t>/lakas/</t>
  </si>
  <si>
    <t>lakas</t>
  </si>
  <si>
    <t>laquassent</t>
  </si>
  <si>
    <t>laquasses</t>
  </si>
  <si>
    <t>laque</t>
  </si>
  <si>
    <t>enamel</t>
  </si>
  <si>
    <t>hair_spray</t>
  </si>
  <si>
    <t>varnish</t>
  </si>
  <si>
    <t>lacquer</t>
  </si>
  <si>
    <t>laquelle</t>
  </si>
  <si>
    <t>/lakal/</t>
  </si>
  <si>
    <t>lakal</t>
  </si>
  <si>
    <t>laquent</t>
  </si>
  <si>
    <t>laques</t>
  </si>
  <si>
    <t>lassai</t>
  </si>
  <si>
    <t>lassaient</t>
  </si>
  <si>
    <t>lassais</t>
  </si>
  <si>
    <t>lassait</t>
  </si>
  <si>
    <t>lassâmes</t>
  </si>
  <si>
    <t>lassasse</t>
  </si>
  <si>
    <t>lassassent</t>
  </si>
  <si>
    <t>lassasses</t>
  </si>
  <si>
    <t>lasse</t>
  </si>
  <si>
    <t>lassent</t>
  </si>
  <si>
    <t>lasses</t>
  </si>
  <si>
    <t>lattai</t>
  </si>
  <si>
    <t>/lata/</t>
  </si>
  <si>
    <t>lata</t>
  </si>
  <si>
    <t>lattaient</t>
  </si>
  <si>
    <t>lattais</t>
  </si>
  <si>
    <t>lattait</t>
  </si>
  <si>
    <t>lattâmes</t>
  </si>
  <si>
    <t>/latam/</t>
  </si>
  <si>
    <t>latam</t>
  </si>
  <si>
    <t>lattasse</t>
  </si>
  <si>
    <t>/latas/</t>
  </si>
  <si>
    <t>latas</t>
  </si>
  <si>
    <t>lattassent</t>
  </si>
  <si>
    <t>lattasses</t>
  </si>
  <si>
    <t>lèche</t>
  </si>
  <si>
    <t>lèchent</t>
  </si>
  <si>
    <t>lèches</t>
  </si>
  <si>
    <t>lest</t>
  </si>
  <si>
    <t>ballast</t>
  </si>
  <si>
    <t>light_ballast</t>
  </si>
  <si>
    <t>ballast_resistor</t>
  </si>
  <si>
    <t>barretter</t>
  </si>
  <si>
    <t>leste</t>
  </si>
  <si>
    <t>lestent</t>
  </si>
  <si>
    <t>lestes</t>
  </si>
  <si>
    <t>lests</t>
  </si>
  <si>
    <t>lez</t>
  </si>
  <si>
    <t>lice</t>
  </si>
  <si>
    <t>/lɪs/</t>
  </si>
  <si>
    <t>lis</t>
  </si>
  <si>
    <t>lices</t>
  </si>
  <si>
    <t>lichen</t>
  </si>
  <si>
    <t>/lɪkan/</t>
  </si>
  <si>
    <t>likan</t>
  </si>
  <si>
    <t>lichens</t>
  </si>
  <si>
    <t>licitai</t>
  </si>
  <si>
    <t>/lɪsɪta/</t>
  </si>
  <si>
    <t>lisita</t>
  </si>
  <si>
    <t>licitaient</t>
  </si>
  <si>
    <t>licitais</t>
  </si>
  <si>
    <t>licitait</t>
  </si>
  <si>
    <t>licitâmes</t>
  </si>
  <si>
    <t>/lɪsɪtam/</t>
  </si>
  <si>
    <t>lisitam</t>
  </si>
  <si>
    <t>licitasse</t>
  </si>
  <si>
    <t>/lɪsɪtas/</t>
  </si>
  <si>
    <t>lisitas</t>
  </si>
  <si>
    <t>licitassent</t>
  </si>
  <si>
    <t>licitasses</t>
  </si>
  <si>
    <t>licou</t>
  </si>
  <si>
    <t>/lɪku/</t>
  </si>
  <si>
    <t>liku</t>
  </si>
  <si>
    <t>licous</t>
  </si>
  <si>
    <t>lie</t>
  </si>
  <si>
    <t>/li/</t>
  </si>
  <si>
    <t>li</t>
  </si>
  <si>
    <t>dregs</t>
  </si>
  <si>
    <t>settlings</t>
  </si>
  <si>
    <t>lees</t>
  </si>
  <si>
    <t>dreg</t>
  </si>
  <si>
    <t>sludge</t>
  </si>
  <si>
    <t>slime</t>
  </si>
  <si>
    <t>goo</t>
  </si>
  <si>
    <t>goop</t>
  </si>
  <si>
    <t>gook</t>
  </si>
  <si>
    <t>guck</t>
  </si>
  <si>
    <t>gunk</t>
  </si>
  <si>
    <t>muck</t>
  </si>
  <si>
    <t>ooze</t>
  </si>
  <si>
    <t>lient</t>
  </si>
  <si>
    <t>lies</t>
  </si>
  <si>
    <t>lignai</t>
  </si>
  <si>
    <t>/liɲa/</t>
  </si>
  <si>
    <t>liña</t>
  </si>
  <si>
    <t>lignaient</t>
  </si>
  <si>
    <t>lignais</t>
  </si>
  <si>
    <t>lignait</t>
  </si>
  <si>
    <t>lignâmes</t>
  </si>
  <si>
    <t>/liɲam/</t>
  </si>
  <si>
    <t>liñam</t>
  </si>
  <si>
    <t>lignasse</t>
  </si>
  <si>
    <t>/liɲas/</t>
  </si>
  <si>
    <t>liñas</t>
  </si>
  <si>
    <t>lignassent</t>
  </si>
  <si>
    <t>lignasses</t>
  </si>
  <si>
    <t>ligne</t>
  </si>
  <si>
    <t>/liɲ/</t>
  </si>
  <si>
    <t>liñ</t>
  </si>
  <si>
    <t>product_line</t>
  </si>
  <si>
    <t>line_of_products</t>
  </si>
  <si>
    <t>line_of_merchandise</t>
  </si>
  <si>
    <t>business_line</t>
  </si>
  <si>
    <t>line_of_business</t>
  </si>
  <si>
    <t>telephone_line</t>
  </si>
  <si>
    <t>phone_line</t>
  </si>
  <si>
    <t>telephone_circuit</t>
  </si>
  <si>
    <t>subscriber_line</t>
  </si>
  <si>
    <t>row</t>
  </si>
  <si>
    <t>dividing_line</t>
  </si>
  <si>
    <t>demarcation</t>
  </si>
  <si>
    <t>contrast</t>
  </si>
  <si>
    <t>heading</t>
  </si>
  <si>
    <t>isotherm</t>
  </si>
  <si>
    <t>credit_line</t>
  </si>
  <si>
    <t>line_of_credit</t>
  </si>
  <si>
    <t>bank_line</t>
  </si>
  <si>
    <t>personal_credit_line</t>
  </si>
  <si>
    <t>personal_line_of_credit</t>
  </si>
  <si>
    <t>agate_line</t>
  </si>
  <si>
    <t>straight_line</t>
  </si>
  <si>
    <t>wrinkle</t>
  </si>
  <si>
    <t>furrow</t>
  </si>
  <si>
    <t>crease</t>
  </si>
  <si>
    <t>crinkle</t>
  </si>
  <si>
    <t>seam</t>
  </si>
  <si>
    <t>lignent</t>
  </si>
  <si>
    <t>lignes</t>
  </si>
  <si>
    <t>Lille</t>
  </si>
  <si>
    <t>/lɪl/</t>
  </si>
  <si>
    <t>lil</t>
  </si>
  <si>
    <t>limace</t>
  </si>
  <si>
    <t>/lɪmas/</t>
  </si>
  <si>
    <t>limas</t>
  </si>
  <si>
    <t>slog</t>
  </si>
  <si>
    <t>swig</t>
  </si>
  <si>
    <t>idle</t>
  </si>
  <si>
    <t>laze</t>
  </si>
  <si>
    <t>stagnate</t>
  </si>
  <si>
    <t>sluggard</t>
  </si>
  <si>
    <t>limaces</t>
  </si>
  <si>
    <t>limai</t>
  </si>
  <si>
    <t>/lɪma/</t>
  </si>
  <si>
    <t>lima</t>
  </si>
  <si>
    <t>limaient</t>
  </si>
  <si>
    <t>limaille</t>
  </si>
  <si>
    <t>/lɪmaj/</t>
  </si>
  <si>
    <t>limay</t>
  </si>
  <si>
    <t>limailles</t>
  </si>
  <si>
    <t>limais</t>
  </si>
  <si>
    <t>limait</t>
  </si>
  <si>
    <t>limâmes</t>
  </si>
  <si>
    <t>/lɪmam/</t>
  </si>
  <si>
    <t>limam</t>
  </si>
  <si>
    <t>limasse</t>
  </si>
  <si>
    <t>limassent</t>
  </si>
  <si>
    <t>limasses</t>
  </si>
  <si>
    <t>lime</t>
  </si>
  <si>
    <t>/lɪm/</t>
  </si>
  <si>
    <t>lim</t>
  </si>
  <si>
    <t>liment</t>
  </si>
  <si>
    <t>limes</t>
  </si>
  <si>
    <t>limitai</t>
  </si>
  <si>
    <t>/lɪmɪta/</t>
  </si>
  <si>
    <t>limita</t>
  </si>
  <si>
    <t>limitaient</t>
  </si>
  <si>
    <t>limitais</t>
  </si>
  <si>
    <t>limitait</t>
  </si>
  <si>
    <t>limitâmes</t>
  </si>
  <si>
    <t>/lɪmɪtam/</t>
  </si>
  <si>
    <t>limitam</t>
  </si>
  <si>
    <t>limitasse</t>
  </si>
  <si>
    <t>/lɪmɪtas/</t>
  </si>
  <si>
    <t>limitas</t>
  </si>
  <si>
    <t>limitassent</t>
  </si>
  <si>
    <t>limitasses</t>
  </si>
  <si>
    <t>Limoux</t>
  </si>
  <si>
    <t>/lɪmu/</t>
  </si>
  <si>
    <t>limu</t>
  </si>
  <si>
    <t>lippe</t>
  </si>
  <si>
    <t>/lɪp/</t>
  </si>
  <si>
    <t>lip</t>
  </si>
  <si>
    <t>lippes</t>
  </si>
  <si>
    <t>lissai</t>
  </si>
  <si>
    <t>/lɪsa/</t>
  </si>
  <si>
    <t>lisa</t>
  </si>
  <si>
    <t>lissaient</t>
  </si>
  <si>
    <t>lissais</t>
  </si>
  <si>
    <t>lissait</t>
  </si>
  <si>
    <t>lissâmes</t>
  </si>
  <si>
    <t>/lɪsam/</t>
  </si>
  <si>
    <t>lisam</t>
  </si>
  <si>
    <t>lissasse</t>
  </si>
  <si>
    <t>/lɪsas/</t>
  </si>
  <si>
    <t>lisas</t>
  </si>
  <si>
    <t>lissassent</t>
  </si>
  <si>
    <t>lissasses</t>
  </si>
  <si>
    <t>lisse</t>
  </si>
  <si>
    <t>uncrannied</t>
  </si>
  <si>
    <t>smooth</t>
  </si>
  <si>
    <t>politic</t>
  </si>
  <si>
    <t>suave</t>
  </si>
  <si>
    <t>bland</t>
  </si>
  <si>
    <t>fluent</t>
  </si>
  <si>
    <t>fluid</t>
  </si>
  <si>
    <t>liquid</t>
  </si>
  <si>
    <t>smooth_out</t>
  </si>
  <si>
    <t>lissent</t>
  </si>
  <si>
    <t>lisses</t>
  </si>
  <si>
    <t>liste</t>
  </si>
  <si>
    <t>list</t>
  </si>
  <si>
    <t>name</t>
  </si>
  <si>
    <t>lean</t>
  </si>
  <si>
    <t>tilt</t>
  </si>
  <si>
    <t>inclination</t>
  </si>
  <si>
    <t>leaning</t>
  </si>
  <si>
    <t>directory</t>
  </si>
  <si>
    <t>phonebook</t>
  </si>
  <si>
    <t>phone_book</t>
  </si>
  <si>
    <t>telephone_book</t>
  </si>
  <si>
    <t>telephone_directory</t>
  </si>
  <si>
    <t>listing</t>
  </si>
  <si>
    <t>enumeration</t>
  </si>
  <si>
    <t>numbering</t>
  </si>
  <si>
    <t>roll</t>
  </si>
  <si>
    <t>roster</t>
  </si>
  <si>
    <t>registry</t>
  </si>
  <si>
    <t>repertoire</t>
  </si>
  <si>
    <t>repertory</t>
  </si>
  <si>
    <t>listent</t>
  </si>
  <si>
    <t>listes</t>
  </si>
  <si>
    <t>lit</t>
  </si>
  <si>
    <t>go_to_bed</t>
  </si>
  <si>
    <t>turn_in</t>
  </si>
  <si>
    <t>crawl_in</t>
  </si>
  <si>
    <t>kip_down</t>
  </si>
  <si>
    <t>hit_the_hay</t>
  </si>
  <si>
    <t>hit_the_sack</t>
  </si>
  <si>
    <t>sack_out</t>
  </si>
  <si>
    <t>go_to_sleep</t>
  </si>
  <si>
    <t>retire</t>
  </si>
  <si>
    <t>course</t>
  </si>
  <si>
    <t>bottom</t>
  </si>
  <si>
    <t>litanie</t>
  </si>
  <si>
    <t>/lɪtani/</t>
  </si>
  <si>
    <t>litani</t>
  </si>
  <si>
    <t>Litany</t>
  </si>
  <si>
    <t>litany</t>
  </si>
  <si>
    <t>litanies</t>
  </si>
  <si>
    <t>lits</t>
  </si>
  <si>
    <t>look</t>
  </si>
  <si>
    <t>/lʊk/</t>
  </si>
  <si>
    <t>looks</t>
  </si>
  <si>
    <t>louchai</t>
  </si>
  <si>
    <t>/lʊʃa/</t>
  </si>
  <si>
    <t>lusha</t>
  </si>
  <si>
    <t>louchaient</t>
  </si>
  <si>
    <t>louchais</t>
  </si>
  <si>
    <t>louchait</t>
  </si>
  <si>
    <t>louchâmes</t>
  </si>
  <si>
    <t>/lʊʃam/</t>
  </si>
  <si>
    <t>lusham</t>
  </si>
  <si>
    <t>louchasse</t>
  </si>
  <si>
    <t>/lʊʃas/</t>
  </si>
  <si>
    <t>lushas</t>
  </si>
  <si>
    <t>louchassent</t>
  </si>
  <si>
    <t>louchasses</t>
  </si>
  <si>
    <t>louche</t>
  </si>
  <si>
    <t>/lʊʃ/</t>
  </si>
  <si>
    <t>lush</t>
  </si>
  <si>
    <t>ladle</t>
  </si>
  <si>
    <t>lade</t>
  </si>
  <si>
    <t>laden</t>
  </si>
  <si>
    <t>fishy</t>
  </si>
  <si>
    <t>funny</t>
  </si>
  <si>
    <t>shady</t>
  </si>
  <si>
    <t>suspect</t>
  </si>
  <si>
    <t>suspicious</t>
  </si>
  <si>
    <t>seamy</t>
  </si>
  <si>
    <t>seedy</t>
  </si>
  <si>
    <t>sleazy</t>
  </si>
  <si>
    <t>sordid</t>
  </si>
  <si>
    <t>squalid</t>
  </si>
  <si>
    <t>louchent</t>
  </si>
  <si>
    <t>louches</t>
  </si>
  <si>
    <t>loue</t>
  </si>
  <si>
    <t>/lu/</t>
  </si>
  <si>
    <t>lu</t>
  </si>
  <si>
    <t>louent</t>
  </si>
  <si>
    <t>loues</t>
  </si>
  <si>
    <t>loukoum</t>
  </si>
  <si>
    <t>/lʊkʊm/</t>
  </si>
  <si>
    <t>lukum</t>
  </si>
  <si>
    <t>Turkish_Delight</t>
  </si>
  <si>
    <t>loukoums</t>
  </si>
  <si>
    <t>loulou</t>
  </si>
  <si>
    <t>/lʊlu/</t>
  </si>
  <si>
    <t>lulu</t>
  </si>
  <si>
    <t>loulous</t>
  </si>
  <si>
    <t>loup</t>
  </si>
  <si>
    <t>wolf</t>
  </si>
  <si>
    <t>wolf_down</t>
  </si>
  <si>
    <t>timber_wolf</t>
  </si>
  <si>
    <t>grey_wolf</t>
  </si>
  <si>
    <t>gray_wolf</t>
  </si>
  <si>
    <t>Canis_lupus</t>
  </si>
  <si>
    <t>Lupus</t>
  </si>
  <si>
    <t>savage</t>
  </si>
  <si>
    <t>wildcat</t>
  </si>
  <si>
    <t>woman_chaser</t>
  </si>
  <si>
    <t>skirt_chaser</t>
  </si>
  <si>
    <t>masher</t>
  </si>
  <si>
    <t>lupus</t>
  </si>
  <si>
    <t>loupai</t>
  </si>
  <si>
    <t>/lʊpa/</t>
  </si>
  <si>
    <t>lupa</t>
  </si>
  <si>
    <t>loupaient</t>
  </si>
  <si>
    <t>loupais</t>
  </si>
  <si>
    <t>loupait</t>
  </si>
  <si>
    <t>loupâmes</t>
  </si>
  <si>
    <t>/lʊpam/</t>
  </si>
  <si>
    <t>lupam</t>
  </si>
  <si>
    <t>loupasse</t>
  </si>
  <si>
    <t>/lʊpas/</t>
  </si>
  <si>
    <t>lupas</t>
  </si>
  <si>
    <t>loupassent</t>
  </si>
  <si>
    <t>loupasses</t>
  </si>
  <si>
    <t>loupe</t>
  </si>
  <si>
    <t>/lʊp/</t>
  </si>
  <si>
    <t>lup</t>
  </si>
  <si>
    <t>hand_glass</t>
  </si>
  <si>
    <t>simple_microscope</t>
  </si>
  <si>
    <t>magnifying_glass</t>
  </si>
  <si>
    <t>jeweler's_loupe</t>
  </si>
  <si>
    <t>sebaceous_cyst</t>
  </si>
  <si>
    <t>pilar_cyst</t>
  </si>
  <si>
    <t>wen</t>
  </si>
  <si>
    <t>steatocystoma</t>
  </si>
  <si>
    <t>loupent</t>
  </si>
  <si>
    <t>loupes</t>
  </si>
  <si>
    <t>loups</t>
  </si>
  <si>
    <t>lys</t>
  </si>
  <si>
    <t>Lilium</t>
  </si>
  <si>
    <t>genus_Lilium</t>
  </si>
  <si>
    <t>lily</t>
  </si>
  <si>
    <t>M</t>
  </si>
  <si>
    <t>meter</t>
  </si>
  <si>
    <t>metre</t>
  </si>
  <si>
    <t>m</t>
  </si>
  <si>
    <t>m'</t>
  </si>
  <si>
    <t>/m/</t>
  </si>
  <si>
    <t>/ma/</t>
  </si>
  <si>
    <t>mac</t>
  </si>
  <si>
    <t>/mak/</t>
  </si>
  <si>
    <t>mak</t>
  </si>
  <si>
    <t>macaque</t>
  </si>
  <si>
    <t>/makak/</t>
  </si>
  <si>
    <t>makak</t>
  </si>
  <si>
    <t>macaques</t>
  </si>
  <si>
    <t>mâchai</t>
  </si>
  <si>
    <t>/maʃa/</t>
  </si>
  <si>
    <t>masha</t>
  </si>
  <si>
    <t>mâchaient</t>
  </si>
  <si>
    <t>mâchais</t>
  </si>
  <si>
    <t>mâchait</t>
  </si>
  <si>
    <t>mâchâmes</t>
  </si>
  <si>
    <t>/maʃam/</t>
  </si>
  <si>
    <t>masham</t>
  </si>
  <si>
    <t>mâchasse</t>
  </si>
  <si>
    <t>/maʃas/</t>
  </si>
  <si>
    <t>mashas</t>
  </si>
  <si>
    <t>mâchassent</t>
  </si>
  <si>
    <t>mâchasses</t>
  </si>
  <si>
    <t>mâche</t>
  </si>
  <si>
    <t>/maʃ/</t>
  </si>
  <si>
    <t>mash</t>
  </si>
  <si>
    <t>corn_salad</t>
  </si>
  <si>
    <t>mâchent</t>
  </si>
  <si>
    <t>mâches</t>
  </si>
  <si>
    <t>mâchicoulis</t>
  </si>
  <si>
    <t>/maʃɪkʊli/</t>
  </si>
  <si>
    <t>mashikuli</t>
  </si>
  <si>
    <t>machicolation</t>
  </si>
  <si>
    <t>machinai</t>
  </si>
  <si>
    <t>/maʃɪna/</t>
  </si>
  <si>
    <t>mashina</t>
  </si>
  <si>
    <t>machinaient</t>
  </si>
  <si>
    <t>machinais</t>
  </si>
  <si>
    <t>machinait</t>
  </si>
  <si>
    <t>machinal</t>
  </si>
  <si>
    <t>/maʃɪnal/</t>
  </si>
  <si>
    <t>mashinal</t>
  </si>
  <si>
    <t>machinale</t>
  </si>
  <si>
    <t>machinales</t>
  </si>
  <si>
    <t>machinâmes</t>
  </si>
  <si>
    <t>/maʃɪnam/</t>
  </si>
  <si>
    <t>mashinam</t>
  </si>
  <si>
    <t>machinasse</t>
  </si>
  <si>
    <t>/maʃɪnas/</t>
  </si>
  <si>
    <t>mashinas</t>
  </si>
  <si>
    <t>machinassent</t>
  </si>
  <si>
    <t>machinasses</t>
  </si>
  <si>
    <t>machine</t>
  </si>
  <si>
    <t>/maʃɪn/</t>
  </si>
  <si>
    <t>mashin</t>
  </si>
  <si>
    <t>simple_machine</t>
  </si>
  <si>
    <t>machinery</t>
  </si>
  <si>
    <t>political_machine</t>
  </si>
  <si>
    <t>John_Doe</t>
  </si>
  <si>
    <t>Machine</t>
  </si>
  <si>
    <t>machinent</t>
  </si>
  <si>
    <t>machines</t>
  </si>
  <si>
    <t>machinisme</t>
  </si>
  <si>
    <t>/maʃɪnɪs/</t>
  </si>
  <si>
    <t>mashinis</t>
  </si>
  <si>
    <t>machinismes</t>
  </si>
  <si>
    <t>machiniste</t>
  </si>
  <si>
    <t>machinist</t>
  </si>
  <si>
    <t>mechanic</t>
  </si>
  <si>
    <t>shop_mechanic</t>
  </si>
  <si>
    <t>machinistes</t>
  </si>
  <si>
    <t>mâchouillai</t>
  </si>
  <si>
    <t>/maʃʊja/</t>
  </si>
  <si>
    <t>mashuya</t>
  </si>
  <si>
    <t>mâchouillaient</t>
  </si>
  <si>
    <t>mâchouillais</t>
  </si>
  <si>
    <t>mâchouillait</t>
  </si>
  <si>
    <t>mâchouillâmes</t>
  </si>
  <si>
    <t>/maʃʊjam/</t>
  </si>
  <si>
    <t>mashuyam</t>
  </si>
  <si>
    <t>mâchouillasse</t>
  </si>
  <si>
    <t>/maʃʊjas/</t>
  </si>
  <si>
    <t>mashuyas</t>
  </si>
  <si>
    <t>mâchouillassent</t>
  </si>
  <si>
    <t>mâchouillasses</t>
  </si>
  <si>
    <t>mâchouille</t>
  </si>
  <si>
    <t>/maʃʊj/</t>
  </si>
  <si>
    <t>mashuy</t>
  </si>
  <si>
    <t>mâchouillent</t>
  </si>
  <si>
    <t>mâchouilles</t>
  </si>
  <si>
    <t>macs</t>
  </si>
  <si>
    <t>magnai</t>
  </si>
  <si>
    <t>/maɲa/</t>
  </si>
  <si>
    <t>maña</t>
  </si>
  <si>
    <t>magnaient</t>
  </si>
  <si>
    <t>magnais</t>
  </si>
  <si>
    <t>magnait</t>
  </si>
  <si>
    <t>magnâmes</t>
  </si>
  <si>
    <t>/maɲam/</t>
  </si>
  <si>
    <t>mañam</t>
  </si>
  <si>
    <t>magnanime</t>
  </si>
  <si>
    <t>/maɲanɪm/</t>
  </si>
  <si>
    <t>mañanim</t>
  </si>
  <si>
    <t>big</t>
  </si>
  <si>
    <t>large</t>
  </si>
  <si>
    <t>magnanimous</t>
  </si>
  <si>
    <t>greathearted</t>
  </si>
  <si>
    <t>magnanimes</t>
  </si>
  <si>
    <t>magnasse</t>
  </si>
  <si>
    <t>/maɲas/</t>
  </si>
  <si>
    <t>mañas</t>
  </si>
  <si>
    <t>magnassent</t>
  </si>
  <si>
    <t>magnasses</t>
  </si>
  <si>
    <t>magne</t>
  </si>
  <si>
    <t>/maɲ/</t>
  </si>
  <si>
    <t>mañ</t>
  </si>
  <si>
    <t>magnent</t>
  </si>
  <si>
    <t>magnes</t>
  </si>
  <si>
    <t>mai</t>
  </si>
  <si>
    <t>maypole</t>
  </si>
  <si>
    <t>residence</t>
  </si>
  <si>
    <t>whitethorn</t>
  </si>
  <si>
    <t>English_hawthorn</t>
  </si>
  <si>
    <t>may</t>
  </si>
  <si>
    <t>Crataegus_laevigata</t>
  </si>
  <si>
    <t>Crataegus_oxycantha</t>
  </si>
  <si>
    <t>May</t>
  </si>
  <si>
    <t>maie</t>
  </si>
  <si>
    <t>maies</t>
  </si>
  <si>
    <t>maille</t>
  </si>
  <si>
    <t>/maj/</t>
  </si>
  <si>
    <t>net</t>
  </si>
  <si>
    <t>stitch</t>
  </si>
  <si>
    <t>tricot</t>
  </si>
  <si>
    <t>mesh_topology</t>
  </si>
  <si>
    <t>mesh</t>
  </si>
  <si>
    <t>mailles</t>
  </si>
  <si>
    <t>maillet</t>
  </si>
  <si>
    <t>/maja/</t>
  </si>
  <si>
    <t>maya</t>
  </si>
  <si>
    <t>mallet</t>
  </si>
  <si>
    <t>beetle</t>
  </si>
  <si>
    <t>hammer</t>
  </si>
  <si>
    <t>maillets</t>
  </si>
  <si>
    <t>Maine</t>
  </si>
  <si>
    <t>/man/</t>
  </si>
  <si>
    <t>man</t>
  </si>
  <si>
    <t>Pine_Tree_State</t>
  </si>
  <si>
    <t>ME</t>
  </si>
  <si>
    <t>mais</t>
  </si>
  <si>
    <t>merely</t>
  </si>
  <si>
    <t>simply</t>
  </si>
  <si>
    <t>just</t>
  </si>
  <si>
    <t>only</t>
  </si>
  <si>
    <t>but</t>
  </si>
  <si>
    <t>entirely</t>
  </si>
  <si>
    <t>exclusively</t>
  </si>
  <si>
    <t>solely</t>
  </si>
  <si>
    <t>alone</t>
  </si>
  <si>
    <t>yet</t>
  </si>
  <si>
    <t>in_time</t>
  </si>
  <si>
    <t>mal</t>
  </si>
  <si>
    <t>/mal/</t>
  </si>
  <si>
    <t>ill</t>
  </si>
  <si>
    <t>badly</t>
  </si>
  <si>
    <t>poorly</t>
  </si>
  <si>
    <t>disadvantageously</t>
  </si>
  <si>
    <t>severely</t>
  </si>
  <si>
    <t>gravely</t>
  </si>
  <si>
    <t>seriously</t>
  </si>
  <si>
    <t>bad</t>
  </si>
  <si>
    <t>mischievously</t>
  </si>
  <si>
    <t>naughtily</t>
  </si>
  <si>
    <t>hard</t>
  </si>
  <si>
    <t>incompletely</t>
  </si>
  <si>
    <t>wrongly</t>
  </si>
  <si>
    <t>malefic</t>
  </si>
  <si>
    <t>malevolent</t>
  </si>
  <si>
    <t>malign</t>
  </si>
  <si>
    <t>evil</t>
  </si>
  <si>
    <t>tough</t>
  </si>
  <si>
    <t>impolite</t>
  </si>
  <si>
    <t>immorality</t>
  </si>
  <si>
    <t>wickedness</t>
  </si>
  <si>
    <t>iniquity</t>
  </si>
  <si>
    <t>spoiled</t>
  </si>
  <si>
    <t>spoilt</t>
  </si>
  <si>
    <t>defective</t>
  </si>
  <si>
    <t>forged</t>
  </si>
  <si>
    <t>regretful</t>
  </si>
  <si>
    <t>sorry</t>
  </si>
  <si>
    <t>unfit</t>
  </si>
  <si>
    <t>unsound</t>
  </si>
  <si>
    <t>uncollectible</t>
  </si>
  <si>
    <t>vicious</t>
  </si>
  <si>
    <t>difficulty</t>
  </si>
  <si>
    <t>difficultness</t>
  </si>
  <si>
    <t>evilness</t>
  </si>
  <si>
    <t>badness</t>
  </si>
  <si>
    <t>fuss</t>
  </si>
  <si>
    <t>trouble</t>
  </si>
  <si>
    <t>bother</t>
  </si>
  <si>
    <t>hassle</t>
  </si>
  <si>
    <t>ailment</t>
  </si>
  <si>
    <t>complaint</t>
  </si>
  <si>
    <t>scabies</t>
  </si>
  <si>
    <t>itch</t>
  </si>
  <si>
    <t>injury</t>
  </si>
  <si>
    <t>hurt</t>
  </si>
  <si>
    <t>harm</t>
  </si>
  <si>
    <t>trauma</t>
  </si>
  <si>
    <t>malais</t>
  </si>
  <si>
    <t>/mala/</t>
  </si>
  <si>
    <t>mala</t>
  </si>
  <si>
    <t>Malay</t>
  </si>
  <si>
    <t>Malayan</t>
  </si>
  <si>
    <t>Malaysian</t>
  </si>
  <si>
    <t>mâle</t>
  </si>
  <si>
    <t>male</t>
  </si>
  <si>
    <t>manful</t>
  </si>
  <si>
    <t>manlike</t>
  </si>
  <si>
    <t>manly</t>
  </si>
  <si>
    <t>virile</t>
  </si>
  <si>
    <t>masculine</t>
  </si>
  <si>
    <t>Male</t>
  </si>
  <si>
    <t>male_person</t>
  </si>
  <si>
    <t>Tom</t>
  </si>
  <si>
    <t>Uncle_Tom</t>
  </si>
  <si>
    <t>geezer</t>
  </si>
  <si>
    <t>valet</t>
  </si>
  <si>
    <t>valet_de_chambre</t>
  </si>
  <si>
    <t>gentleman</t>
  </si>
  <si>
    <t>gentleman's_gentleman</t>
  </si>
  <si>
    <t>mâles</t>
  </si>
  <si>
    <t>Mali</t>
  </si>
  <si>
    <t>/mali/</t>
  </si>
  <si>
    <t>mali</t>
  </si>
  <si>
    <t>Republic_of_Mali</t>
  </si>
  <si>
    <t>French_Sudan</t>
  </si>
  <si>
    <t>malice</t>
  </si>
  <si>
    <t>/malɪs/</t>
  </si>
  <si>
    <t>malis</t>
  </si>
  <si>
    <t>malices</t>
  </si>
  <si>
    <t>maligne</t>
  </si>
  <si>
    <t>/maliɲ/</t>
  </si>
  <si>
    <t>maliñ</t>
  </si>
  <si>
    <t>malignes</t>
  </si>
  <si>
    <t>malines</t>
  </si>
  <si>
    <t>/malɪn/</t>
  </si>
  <si>
    <t>malin</t>
  </si>
  <si>
    <t>malle</t>
  </si>
  <si>
    <t>malles</t>
  </si>
  <si>
    <t>mamelle</t>
  </si>
  <si>
    <t>/mamal/</t>
  </si>
  <si>
    <t>mamal</t>
  </si>
  <si>
    <t>front</t>
  </si>
  <si>
    <t>breast</t>
  </si>
  <si>
    <t>mammary_gland</t>
  </si>
  <si>
    <t>mamma</t>
  </si>
  <si>
    <t>bosom</t>
  </si>
  <si>
    <t>knocker</t>
  </si>
  <si>
    <t>boob</t>
  </si>
  <si>
    <t>tit</t>
  </si>
  <si>
    <t>titty</t>
  </si>
  <si>
    <t>white_meat</t>
  </si>
  <si>
    <t>mama</t>
  </si>
  <si>
    <t>mom</t>
  </si>
  <si>
    <t>momma</t>
  </si>
  <si>
    <t>mommy</t>
  </si>
  <si>
    <t>mammy</t>
  </si>
  <si>
    <t>mum</t>
  </si>
  <si>
    <t>mummy</t>
  </si>
  <si>
    <t>mamelles</t>
  </si>
  <si>
    <t>mamie</t>
  </si>
  <si>
    <t>/mami/</t>
  </si>
  <si>
    <t>mami</t>
  </si>
  <si>
    <t>granny_knot</t>
  </si>
  <si>
    <t>granny</t>
  </si>
  <si>
    <t>grandma</t>
  </si>
  <si>
    <t>grandmother</t>
  </si>
  <si>
    <t>grannie</t>
  </si>
  <si>
    <t>gran</t>
  </si>
  <si>
    <t>nanna</t>
  </si>
  <si>
    <t>mamies</t>
  </si>
  <si>
    <t>mamy</t>
  </si>
  <si>
    <t>Man</t>
  </si>
  <si>
    <t>mânes</t>
  </si>
  <si>
    <t>Manes</t>
  </si>
  <si>
    <t>manie</t>
  </si>
  <si>
    <t>/mani/</t>
  </si>
  <si>
    <t>mani</t>
  </si>
  <si>
    <t>mania</t>
  </si>
  <si>
    <t>passion</t>
  </si>
  <si>
    <t>cacoethes</t>
  </si>
  <si>
    <t>manic_disorder</t>
  </si>
  <si>
    <t>manient</t>
  </si>
  <si>
    <t>manies</t>
  </si>
  <si>
    <t>manille</t>
  </si>
  <si>
    <t>/manɪj/</t>
  </si>
  <si>
    <t>maniy</t>
  </si>
  <si>
    <t>fetter</t>
  </si>
  <si>
    <t>shackle</t>
  </si>
  <si>
    <t>pinion</t>
  </si>
  <si>
    <t>bond</t>
  </si>
  <si>
    <t>hamper</t>
  </si>
  <si>
    <t>trammel</t>
  </si>
  <si>
    <t>Manila</t>
  </si>
  <si>
    <t>capital_of_the_Philippines</t>
  </si>
  <si>
    <t>manila</t>
  </si>
  <si>
    <t>manila_paper</t>
  </si>
  <si>
    <t>manilla</t>
  </si>
  <si>
    <t>manilla_paper</t>
  </si>
  <si>
    <t>Manille</t>
  </si>
  <si>
    <t>manilles</t>
  </si>
  <si>
    <t>manip</t>
  </si>
  <si>
    <t>/manɪp/</t>
  </si>
  <si>
    <t>manipe</t>
  </si>
  <si>
    <t>manitou</t>
  </si>
  <si>
    <t>/manɪtu/</t>
  </si>
  <si>
    <t>manitu</t>
  </si>
  <si>
    <t>manitous</t>
  </si>
  <si>
    <t>manne</t>
  </si>
  <si>
    <t>miraculous_food</t>
  </si>
  <si>
    <t>manna</t>
  </si>
  <si>
    <t>manna_from_heaven</t>
  </si>
  <si>
    <t>mannes</t>
  </si>
  <si>
    <t>manouche</t>
  </si>
  <si>
    <t>/manʊʃ/</t>
  </si>
  <si>
    <t>manush</t>
  </si>
  <si>
    <t>manouches</t>
  </si>
  <si>
    <t>maquai</t>
  </si>
  <si>
    <t>/maka/</t>
  </si>
  <si>
    <t>maka</t>
  </si>
  <si>
    <t>maquaient</t>
  </si>
  <si>
    <t>maquais</t>
  </si>
  <si>
    <t>maquait</t>
  </si>
  <si>
    <t>maquâmes</t>
  </si>
  <si>
    <t>/makam/</t>
  </si>
  <si>
    <t>makam</t>
  </si>
  <si>
    <t>maquasse</t>
  </si>
  <si>
    <t>/makas/</t>
  </si>
  <si>
    <t>makas</t>
  </si>
  <si>
    <t>maquassent</t>
  </si>
  <si>
    <t>maquasses</t>
  </si>
  <si>
    <t>maque</t>
  </si>
  <si>
    <t>maquent</t>
  </si>
  <si>
    <t>maques</t>
  </si>
  <si>
    <t>maquillai</t>
  </si>
  <si>
    <t>/makɪja/</t>
  </si>
  <si>
    <t>makiya</t>
  </si>
  <si>
    <t>maquillaient</t>
  </si>
  <si>
    <t>maquillais</t>
  </si>
  <si>
    <t>maquillait</t>
  </si>
  <si>
    <t>maquillâmes</t>
  </si>
  <si>
    <t>/makɪjam/</t>
  </si>
  <si>
    <t>makiyam</t>
  </si>
  <si>
    <t>maquillasse</t>
  </si>
  <si>
    <t>/makɪjas/</t>
  </si>
  <si>
    <t>makiyas</t>
  </si>
  <si>
    <t>maquillassent</t>
  </si>
  <si>
    <t>maquillasses</t>
  </si>
  <si>
    <t>maquille</t>
  </si>
  <si>
    <t>/makɪj/</t>
  </si>
  <si>
    <t>makiy</t>
  </si>
  <si>
    <t>maquillent</t>
  </si>
  <si>
    <t>maquilles</t>
  </si>
  <si>
    <t>maquis</t>
  </si>
  <si>
    <t>/maki/</t>
  </si>
  <si>
    <t>maki</t>
  </si>
  <si>
    <t>brush</t>
  </si>
  <si>
    <t>brushwood</t>
  </si>
  <si>
    <t>coppice</t>
  </si>
  <si>
    <t>copse</t>
  </si>
  <si>
    <t>thicket</t>
  </si>
  <si>
    <t>scrub</t>
  </si>
  <si>
    <t>chaparral</t>
  </si>
  <si>
    <t>bush</t>
  </si>
  <si>
    <t>underbrush</t>
  </si>
  <si>
    <t>undergrowth</t>
  </si>
  <si>
    <t>underwood</t>
  </si>
  <si>
    <t>shrub</t>
  </si>
  <si>
    <t>masque</t>
  </si>
  <si>
    <t>/mas/</t>
  </si>
  <si>
    <t>mas</t>
  </si>
  <si>
    <t>mask</t>
  </si>
  <si>
    <t>block_out</t>
  </si>
  <si>
    <t>dissemble</t>
  </si>
  <si>
    <t>cloak</t>
  </si>
  <si>
    <t>masquerade</t>
  </si>
  <si>
    <t>masquerade_party</t>
  </si>
  <si>
    <t>masquent</t>
  </si>
  <si>
    <t>masques</t>
  </si>
  <si>
    <t>massacre</t>
  </si>
  <si>
    <t>/masak/</t>
  </si>
  <si>
    <t>masak</t>
  </si>
  <si>
    <t>slaughter</t>
  </si>
  <si>
    <t>mass_murder</t>
  </si>
  <si>
    <t>carnage</t>
  </si>
  <si>
    <t>butchery</t>
  </si>
  <si>
    <t>massacrent</t>
  </si>
  <si>
    <t>massacres</t>
  </si>
  <si>
    <t>massai</t>
  </si>
  <si>
    <t>/masa/</t>
  </si>
  <si>
    <t>masa</t>
  </si>
  <si>
    <t>massaient</t>
  </si>
  <si>
    <t>massais</t>
  </si>
  <si>
    <t>massait</t>
  </si>
  <si>
    <t>massâmes</t>
  </si>
  <si>
    <t>/masam/</t>
  </si>
  <si>
    <t>masam</t>
  </si>
  <si>
    <t>massasse</t>
  </si>
  <si>
    <t>/masas/</t>
  </si>
  <si>
    <t>masas</t>
  </si>
  <si>
    <t>massassent</t>
  </si>
  <si>
    <t>massasses</t>
  </si>
  <si>
    <t>masse</t>
  </si>
  <si>
    <t>maul</t>
  </si>
  <si>
    <t>sledge</t>
  </si>
  <si>
    <t>sledgehammer</t>
  </si>
  <si>
    <t>density</t>
  </si>
  <si>
    <t>denseness</t>
  </si>
  <si>
    <t>mass</t>
  </si>
  <si>
    <t>bulk</t>
  </si>
  <si>
    <t>concentration</t>
  </si>
  <si>
    <t>tightness</t>
  </si>
  <si>
    <t>compactness</t>
  </si>
  <si>
    <t>volume</t>
  </si>
  <si>
    <t>pile</t>
  </si>
  <si>
    <t>heap</t>
  </si>
  <si>
    <t>mound</t>
  </si>
  <si>
    <t>agglomerate</t>
  </si>
  <si>
    <t>cumulation</t>
  </si>
  <si>
    <t>cumulus</t>
  </si>
  <si>
    <t>multitude</t>
  </si>
  <si>
    <t>masses</t>
  </si>
  <si>
    <t>hoi_polloi</t>
  </si>
  <si>
    <t>people</t>
  </si>
  <si>
    <t>the_great_unwashed</t>
  </si>
  <si>
    <t>Lot</t>
  </si>
  <si>
    <t>batch</t>
  </si>
  <si>
    <t>deal</t>
  </si>
  <si>
    <t>flock</t>
  </si>
  <si>
    <t>good_deal</t>
  </si>
  <si>
    <t>great_deal</t>
  </si>
  <si>
    <t>hatful</t>
  </si>
  <si>
    <t>lot</t>
  </si>
  <si>
    <t>mess</t>
  </si>
  <si>
    <t>mickle</t>
  </si>
  <si>
    <t>mint</t>
  </si>
  <si>
    <t>mountain</t>
  </si>
  <si>
    <t>muckle</t>
  </si>
  <si>
    <t>passel</t>
  </si>
  <si>
    <t>peck</t>
  </si>
  <si>
    <t>plenty</t>
  </si>
  <si>
    <t>pot</t>
  </si>
  <si>
    <t>quite_a_little</t>
  </si>
  <si>
    <t>raft</t>
  </si>
  <si>
    <t>sight</t>
  </si>
  <si>
    <t>slew</t>
  </si>
  <si>
    <t>spate</t>
  </si>
  <si>
    <t>stack</t>
  </si>
  <si>
    <t>tidy_sum</t>
  </si>
  <si>
    <t>wad</t>
  </si>
  <si>
    <t>Mace</t>
  </si>
  <si>
    <t>Chemical_Mace</t>
  </si>
  <si>
    <t>massent</t>
  </si>
  <si>
    <t>massique</t>
  </si>
  <si>
    <t>/masɪk/</t>
  </si>
  <si>
    <t>masik</t>
  </si>
  <si>
    <t>latent_heat</t>
  </si>
  <si>
    <t>heat_of_transformation</t>
  </si>
  <si>
    <t>massiques</t>
  </si>
  <si>
    <t>matai</t>
  </si>
  <si>
    <t>/mata/</t>
  </si>
  <si>
    <t>mata</t>
  </si>
  <si>
    <t>mâtai</t>
  </si>
  <si>
    <t>mataient</t>
  </si>
  <si>
    <t>mâtaient</t>
  </si>
  <si>
    <t>matais</t>
  </si>
  <si>
    <t>mâtais</t>
  </si>
  <si>
    <t>matait</t>
  </si>
  <si>
    <t>mâtait</t>
  </si>
  <si>
    <t>matâmes</t>
  </si>
  <si>
    <t>/matam/</t>
  </si>
  <si>
    <t>matam</t>
  </si>
  <si>
    <t>mâtâmes</t>
  </si>
  <si>
    <t>matasse</t>
  </si>
  <si>
    <t>/matas/</t>
  </si>
  <si>
    <t>matas</t>
  </si>
  <si>
    <t>mâtasse</t>
  </si>
  <si>
    <t>matassent</t>
  </si>
  <si>
    <t>mâtassent</t>
  </si>
  <si>
    <t>matasses</t>
  </si>
  <si>
    <t>mâtasses</t>
  </si>
  <si>
    <t>matou</t>
  </si>
  <si>
    <t>/matu/</t>
  </si>
  <si>
    <t>matu</t>
  </si>
  <si>
    <t>turkey_cock</t>
  </si>
  <si>
    <t>gobbler</t>
  </si>
  <si>
    <t>tom</t>
  </si>
  <si>
    <t>tom_turkey</t>
  </si>
  <si>
    <t>tomcat</t>
  </si>
  <si>
    <t>matous</t>
  </si>
  <si>
    <t>mec</t>
  </si>
  <si>
    <t>Guy</t>
  </si>
  <si>
    <t>chap</t>
  </si>
  <si>
    <t>feller</t>
  </si>
  <si>
    <t>fella</t>
  </si>
  <si>
    <t>lad</t>
  </si>
  <si>
    <t>gent</t>
  </si>
  <si>
    <t>blighter</t>
  </si>
  <si>
    <t>cuss</t>
  </si>
  <si>
    <t>bloke</t>
  </si>
  <si>
    <t>dandy</t>
  </si>
  <si>
    <t>dude</t>
  </si>
  <si>
    <t>fop</t>
  </si>
  <si>
    <t>gallant</t>
  </si>
  <si>
    <t>sheik</t>
  </si>
  <si>
    <t>swell</t>
  </si>
  <si>
    <t>fashion_plate</t>
  </si>
  <si>
    <t>clotheshorse</t>
  </si>
  <si>
    <t>buster</t>
  </si>
  <si>
    <t>guy</t>
  </si>
  <si>
    <t>cat</t>
  </si>
  <si>
    <t>hombre</t>
  </si>
  <si>
    <t>mèche</t>
  </si>
  <si>
    <t>drilling_bit</t>
  </si>
  <si>
    <t>drill_bit</t>
  </si>
  <si>
    <t>wick</t>
  </si>
  <si>
    <t>taper</t>
  </si>
  <si>
    <t>mèches</t>
  </si>
  <si>
    <t>Mecque</t>
  </si>
  <si>
    <t>mecs</t>
  </si>
  <si>
    <t>même</t>
  </si>
  <si>
    <t>/mam/</t>
  </si>
  <si>
    <t>mam</t>
  </si>
  <si>
    <t>even</t>
  </si>
  <si>
    <t>still</t>
  </si>
  <si>
    <t>equally</t>
  </si>
  <si>
    <t>every_bit</t>
  </si>
  <si>
    <t>though</t>
  </si>
  <si>
    <t>like</t>
  </si>
  <si>
    <t>same</t>
  </si>
  <si>
    <t>very</t>
  </si>
  <si>
    <t>identical</t>
  </si>
  <si>
    <t>selfsame</t>
  </si>
  <si>
    <t>similar</t>
  </si>
  <si>
    <t>self</t>
  </si>
  <si>
    <t>mêmes</t>
  </si>
  <si>
    <t>mène</t>
  </si>
  <si>
    <t>mènent</t>
  </si>
  <si>
    <t>mènes</t>
  </si>
  <si>
    <t>announcement</t>
  </si>
  <si>
    <t>promulgation</t>
  </si>
  <si>
    <t>handout</t>
  </si>
  <si>
    <t>press_release</t>
  </si>
  <si>
    <t>release</t>
  </si>
  <si>
    <t>messe</t>
  </si>
  <si>
    <t>Mass</t>
  </si>
  <si>
    <t>messes</t>
  </si>
  <si>
    <t>met</t>
  </si>
  <si>
    <t>mets</t>
  </si>
  <si>
    <t>mettaient</t>
  </si>
  <si>
    <t>mettais</t>
  </si>
  <si>
    <t>mettait</t>
  </si>
  <si>
    <t>geographical_mile</t>
  </si>
  <si>
    <t>Admiralty_mile</t>
  </si>
  <si>
    <t>mi-</t>
  </si>
  <si>
    <t>miche</t>
  </si>
  <si>
    <t>/mɪʃ/</t>
  </si>
  <si>
    <t>mish</t>
  </si>
  <si>
    <t>loaf_of_bread</t>
  </si>
  <si>
    <t>loaf</t>
  </si>
  <si>
    <t>Michel</t>
  </si>
  <si>
    <t>/mɪʃal/</t>
  </si>
  <si>
    <t>mishal</t>
  </si>
  <si>
    <t>Michael</t>
  </si>
  <si>
    <t>Michelle</t>
  </si>
  <si>
    <t>miches</t>
  </si>
  <si>
    <t>mie</t>
  </si>
  <si>
    <t>crumb</t>
  </si>
  <si>
    <t>mies</t>
  </si>
  <si>
    <t>/mɪl/</t>
  </si>
  <si>
    <t>milanais</t>
  </si>
  <si>
    <t>/mɪlana/</t>
  </si>
  <si>
    <t>milana</t>
  </si>
  <si>
    <t>Milanese</t>
  </si>
  <si>
    <t>milice</t>
  </si>
  <si>
    <t>/mɪlɪs/</t>
  </si>
  <si>
    <t>milis</t>
  </si>
  <si>
    <t>militia</t>
  </si>
  <si>
    <t>reserves</t>
  </si>
  <si>
    <t>milices</t>
  </si>
  <si>
    <t>militai</t>
  </si>
  <si>
    <t>/mɪlɪta/</t>
  </si>
  <si>
    <t>milita</t>
  </si>
  <si>
    <t>militaient</t>
  </si>
  <si>
    <t>militais</t>
  </si>
  <si>
    <t>militait</t>
  </si>
  <si>
    <t>militâmes</t>
  </si>
  <si>
    <t>/mɪlɪtam/</t>
  </si>
  <si>
    <t>militam</t>
  </si>
  <si>
    <t>militasse</t>
  </si>
  <si>
    <t>/mɪlɪtas/</t>
  </si>
  <si>
    <t>militas</t>
  </si>
  <si>
    <t>militassent</t>
  </si>
  <si>
    <t>militasses</t>
  </si>
  <si>
    <t>mille</t>
  </si>
  <si>
    <t>thousand</t>
  </si>
  <si>
    <t>one_thousand</t>
  </si>
  <si>
    <t>k</t>
  </si>
  <si>
    <t>Swedish_mile</t>
  </si>
  <si>
    <t>Roman_mile</t>
  </si>
  <si>
    <t>sea_mile</t>
  </si>
  <si>
    <t>K</t>
  </si>
  <si>
    <t>chiliad</t>
  </si>
  <si>
    <t>G</t>
  </si>
  <si>
    <t>thou</t>
  </si>
  <si>
    <t>yard</t>
  </si>
  <si>
    <t>milles</t>
  </si>
  <si>
    <t>millet</t>
  </si>
  <si>
    <t>/mɪja/</t>
  </si>
  <si>
    <t>miya</t>
  </si>
  <si>
    <t>Millet</t>
  </si>
  <si>
    <t>Jean_Francois_Millet</t>
  </si>
  <si>
    <t>millets</t>
  </si>
  <si>
    <t>mils</t>
  </si>
  <si>
    <t>mimai</t>
  </si>
  <si>
    <t>/mɪma/</t>
  </si>
  <si>
    <t>mima</t>
  </si>
  <si>
    <t>mimaient</t>
  </si>
  <si>
    <t>mimais</t>
  </si>
  <si>
    <t>mimait</t>
  </si>
  <si>
    <t>mimâmes</t>
  </si>
  <si>
    <t>/mɪmam/</t>
  </si>
  <si>
    <t>mimam</t>
  </si>
  <si>
    <t>mimasse</t>
  </si>
  <si>
    <t>/mɪmas/</t>
  </si>
  <si>
    <t>mimas</t>
  </si>
  <si>
    <t>mimassent</t>
  </si>
  <si>
    <t>mimasses</t>
  </si>
  <si>
    <t>mime</t>
  </si>
  <si>
    <t>/mɪm/</t>
  </si>
  <si>
    <t>mim</t>
  </si>
  <si>
    <t>pantomime</t>
  </si>
  <si>
    <t>dumb_show</t>
  </si>
  <si>
    <t>mimic</t>
  </si>
  <si>
    <t>mimer</t>
  </si>
  <si>
    <t>mummer</t>
  </si>
  <si>
    <t>pantomimer</t>
  </si>
  <si>
    <t>pantomimist</t>
  </si>
  <si>
    <t>miment</t>
  </si>
  <si>
    <t>mimes</t>
  </si>
  <si>
    <t>mîmes</t>
  </si>
  <si>
    <t>mimi</t>
  </si>
  <si>
    <t>/mɪmi/</t>
  </si>
  <si>
    <t>mimique</t>
  </si>
  <si>
    <t>/mɪmɪk/</t>
  </si>
  <si>
    <t>mimik</t>
  </si>
  <si>
    <t>mimiques</t>
  </si>
  <si>
    <t>mimis</t>
  </si>
  <si>
    <t>minai</t>
  </si>
  <si>
    <t>/mɪna/</t>
  </si>
  <si>
    <t>mina</t>
  </si>
  <si>
    <t>minaient</t>
  </si>
  <si>
    <t>minais</t>
  </si>
  <si>
    <t>minait</t>
  </si>
  <si>
    <t>minâmes</t>
  </si>
  <si>
    <t>/mɪnam/</t>
  </si>
  <si>
    <t>minam</t>
  </si>
  <si>
    <t>minasse</t>
  </si>
  <si>
    <t>/mɪnas/</t>
  </si>
  <si>
    <t>minas</t>
  </si>
  <si>
    <t>minassent</t>
  </si>
  <si>
    <t>minasses</t>
  </si>
  <si>
    <t>mine</t>
  </si>
  <si>
    <t>/mɪn/</t>
  </si>
  <si>
    <t>min</t>
  </si>
  <si>
    <t>mining</t>
  </si>
  <si>
    <t>excavation</t>
  </si>
  <si>
    <t>minelaying</t>
  </si>
  <si>
    <t>bearing</t>
  </si>
  <si>
    <t>comportment</t>
  </si>
  <si>
    <t>presence</t>
  </si>
  <si>
    <t>mien</t>
  </si>
  <si>
    <t>miner</t>
  </si>
  <si>
    <t>mineworker</t>
  </si>
  <si>
    <t>minent</t>
  </si>
  <si>
    <t>mines</t>
  </si>
  <si>
    <t>minet</t>
  </si>
  <si>
    <t>minets</t>
  </si>
  <si>
    <t>mini</t>
  </si>
  <si>
    <t>/mɪni/</t>
  </si>
  <si>
    <t>mini-</t>
  </si>
  <si>
    <t>minichaîne</t>
  </si>
  <si>
    <t>/mɪnɪʃan/</t>
  </si>
  <si>
    <t>minishan</t>
  </si>
  <si>
    <t>minimal</t>
  </si>
  <si>
    <t>/mɪnɪmal/</t>
  </si>
  <si>
    <t>minimum</t>
  </si>
  <si>
    <t>minimale</t>
  </si>
  <si>
    <t>minimales</t>
  </si>
  <si>
    <t>minimalisme</t>
  </si>
  <si>
    <t>/mɪnɪmalɪs/</t>
  </si>
  <si>
    <t>minimalis</t>
  </si>
  <si>
    <t>minimalism</t>
  </si>
  <si>
    <t>minimal_art</t>
  </si>
  <si>
    <t>reductivism</t>
  </si>
  <si>
    <t>minimaliste</t>
  </si>
  <si>
    <t>minimalist</t>
  </si>
  <si>
    <t>minime</t>
  </si>
  <si>
    <t>/mɪnɪm/</t>
  </si>
  <si>
    <t>minim</t>
  </si>
  <si>
    <t>fiddling</t>
  </si>
  <si>
    <t>footling</t>
  </si>
  <si>
    <t>lilliputian</t>
  </si>
  <si>
    <t>little</t>
  </si>
  <si>
    <t>niggling</t>
  </si>
  <si>
    <t>piddling</t>
  </si>
  <si>
    <t>piffling</t>
  </si>
  <si>
    <t>petty</t>
  </si>
  <si>
    <t>picayune</t>
  </si>
  <si>
    <t>trivial</t>
  </si>
  <si>
    <t>slight</t>
  </si>
  <si>
    <t>younger</t>
  </si>
  <si>
    <t>jr.</t>
  </si>
  <si>
    <t>minimes</t>
  </si>
  <si>
    <t>minis</t>
  </si>
  <si>
    <t>ministre</t>
  </si>
  <si>
    <t>/mɪnɪs/</t>
  </si>
  <si>
    <t>minister</t>
  </si>
  <si>
    <t>indigo_bunting</t>
  </si>
  <si>
    <t>indigo_finch</t>
  </si>
  <si>
    <t>indigo_bird</t>
  </si>
  <si>
    <t>Passerina_cyanea</t>
  </si>
  <si>
    <t>curate</t>
  </si>
  <si>
    <t>minister_of_religion</t>
  </si>
  <si>
    <t>parson</t>
  </si>
  <si>
    <t>pastor</t>
  </si>
  <si>
    <t>rector</t>
  </si>
  <si>
    <t>diplomatic_minister</t>
  </si>
  <si>
    <t>government_minister</t>
  </si>
  <si>
    <t>ministres</t>
  </si>
  <si>
    <t>Minitel</t>
  </si>
  <si>
    <t>/mɪnɪtal/</t>
  </si>
  <si>
    <t>minital</t>
  </si>
  <si>
    <t>Minitels</t>
  </si>
  <si>
    <t>Minnie</t>
  </si>
  <si>
    <t>minou</t>
  </si>
  <si>
    <t>/mɪnu/</t>
  </si>
  <si>
    <t>minu</t>
  </si>
  <si>
    <t>kitty</t>
  </si>
  <si>
    <t>kitty-cat</t>
  </si>
  <si>
    <t>puss</t>
  </si>
  <si>
    <t>pussy</t>
  </si>
  <si>
    <t>pussycat</t>
  </si>
  <si>
    <t>kitten</t>
  </si>
  <si>
    <t>slit</t>
  </si>
  <si>
    <t>snatch</t>
  </si>
  <si>
    <t>sweetheart</t>
  </si>
  <si>
    <t>sweetie</t>
  </si>
  <si>
    <t>steady</t>
  </si>
  <si>
    <t>truelove</t>
  </si>
  <si>
    <t>minous</t>
  </si>
  <si>
    <t>mis</t>
  </si>
  <si>
    <t>miss</t>
  </si>
  <si>
    <t>/mɪs/</t>
  </si>
  <si>
    <t>misse</t>
  </si>
  <si>
    <t>missel</t>
  </si>
  <si>
    <t>/mɪsal/</t>
  </si>
  <si>
    <t>misal</t>
  </si>
  <si>
    <t>missal</t>
  </si>
  <si>
    <t>missels</t>
  </si>
  <si>
    <t>missent</t>
  </si>
  <si>
    <t>misses</t>
  </si>
  <si>
    <t>missile</t>
  </si>
  <si>
    <t>/mɪsɪl/</t>
  </si>
  <si>
    <t>misil</t>
  </si>
  <si>
    <t>skyrocket</t>
  </si>
  <si>
    <t>rocket</t>
  </si>
  <si>
    <t>missiles</t>
  </si>
  <si>
    <t>Mississippi</t>
  </si>
  <si>
    <t>/mɪsɪsɪpi/</t>
  </si>
  <si>
    <t>misisipi</t>
  </si>
  <si>
    <t>Magnolia_State</t>
  </si>
  <si>
    <t>MS</t>
  </si>
  <si>
    <t>Mississippi_River</t>
  </si>
  <si>
    <t>mit</t>
  </si>
  <si>
    <t>Massachusetts_Institute_of_Technology</t>
  </si>
  <si>
    <t>MIT</t>
  </si>
  <si>
    <t>mît</t>
  </si>
  <si>
    <t>mitai</t>
  </si>
  <si>
    <t>/mɪta/</t>
  </si>
  <si>
    <t>mita</t>
  </si>
  <si>
    <t>mitaient</t>
  </si>
  <si>
    <t>mitaine</t>
  </si>
  <si>
    <t>/mɪtan/</t>
  </si>
  <si>
    <t>mitan</t>
  </si>
  <si>
    <t>mitten</t>
  </si>
  <si>
    <t>mitaines</t>
  </si>
  <si>
    <t>mitais</t>
  </si>
  <si>
    <t>mitait</t>
  </si>
  <si>
    <t>mitâmes</t>
  </si>
  <si>
    <t>/mɪtam/</t>
  </si>
  <si>
    <t>mitam</t>
  </si>
  <si>
    <t>mitasse</t>
  </si>
  <si>
    <t>/mɪtas/</t>
  </si>
  <si>
    <t>mitas</t>
  </si>
  <si>
    <t>mitassent</t>
  </si>
  <si>
    <t>mitasses</t>
  </si>
  <si>
    <t>mou</t>
  </si>
  <si>
    <t>/mu/</t>
  </si>
  <si>
    <t>mu</t>
  </si>
  <si>
    <t>easy</t>
  </si>
  <si>
    <t>soft</t>
  </si>
  <si>
    <t>cushy</t>
  </si>
  <si>
    <t>easygoing</t>
  </si>
  <si>
    <t>nonalcoholic</t>
  </si>
  <si>
    <t>gentle</t>
  </si>
  <si>
    <t>piano</t>
  </si>
  <si>
    <t>forte</t>
  </si>
  <si>
    <t>loud</t>
  </si>
  <si>
    <t>indulgent</t>
  </si>
  <si>
    <t>lenient</t>
  </si>
  <si>
    <t>delicate</t>
  </si>
  <si>
    <t>lukewarm</t>
  </si>
  <si>
    <t>tepid</t>
  </si>
  <si>
    <t>mouchai</t>
  </si>
  <si>
    <t>/mʊʃa/</t>
  </si>
  <si>
    <t>musha</t>
  </si>
  <si>
    <t>mouchaient</t>
  </si>
  <si>
    <t>mouchais</t>
  </si>
  <si>
    <t>mouchait</t>
  </si>
  <si>
    <t>mouchâmes</t>
  </si>
  <si>
    <t>/mʊʃam/</t>
  </si>
  <si>
    <t>musham</t>
  </si>
  <si>
    <t>mouchasse</t>
  </si>
  <si>
    <t>/mʊʃas/</t>
  </si>
  <si>
    <t>mushas</t>
  </si>
  <si>
    <t>mouchassent</t>
  </si>
  <si>
    <t>mouchasses</t>
  </si>
  <si>
    <t>mouche</t>
  </si>
  <si>
    <t>/mʊʃ/</t>
  </si>
  <si>
    <t>mush</t>
  </si>
  <si>
    <t>fly</t>
  </si>
  <si>
    <t>fly_ball</t>
  </si>
  <si>
    <t>vanish</t>
  </si>
  <si>
    <t>vaporize</t>
  </si>
  <si>
    <t>fell</t>
  </si>
  <si>
    <t>flee</t>
  </si>
  <si>
    <t>take_flight</t>
  </si>
  <si>
    <t>Musca</t>
  </si>
  <si>
    <t>genus_Musca</t>
  </si>
  <si>
    <t>fly_front</t>
  </si>
  <si>
    <t>tent-fly</t>
  </si>
  <si>
    <t>rainfly</t>
  </si>
  <si>
    <t>fly_sheet</t>
  </si>
  <si>
    <t>tent_flap</t>
  </si>
  <si>
    <t>mouchent</t>
  </si>
  <si>
    <t>mouches</t>
  </si>
  <si>
    <t>moue</t>
  </si>
  <si>
    <t>pout</t>
  </si>
  <si>
    <t>wry_face</t>
  </si>
  <si>
    <t>moues</t>
  </si>
  <si>
    <t>mouillai</t>
  </si>
  <si>
    <t>/mʊja/</t>
  </si>
  <si>
    <t>muya</t>
  </si>
  <si>
    <t>mouillaient</t>
  </si>
  <si>
    <t>mouillais</t>
  </si>
  <si>
    <t>mouillait</t>
  </si>
  <si>
    <t>mouillâmes</t>
  </si>
  <si>
    <t>/mʊjam/</t>
  </si>
  <si>
    <t>muyam</t>
  </si>
  <si>
    <t>mouillasse</t>
  </si>
  <si>
    <t>/mʊjas/</t>
  </si>
  <si>
    <t>muyas</t>
  </si>
  <si>
    <t>mouillassent</t>
  </si>
  <si>
    <t>mouillasses</t>
  </si>
  <si>
    <t>mouille</t>
  </si>
  <si>
    <t>/mʊj/</t>
  </si>
  <si>
    <t>muy</t>
  </si>
  <si>
    <t>mouillent</t>
  </si>
  <si>
    <t>mouilles</t>
  </si>
  <si>
    <t>moulai</t>
  </si>
  <si>
    <t>/mʊla/</t>
  </si>
  <si>
    <t>mula</t>
  </si>
  <si>
    <t>moulaient</t>
  </si>
  <si>
    <t>moulais</t>
  </si>
  <si>
    <t>moulait</t>
  </si>
  <si>
    <t>moulâmes</t>
  </si>
  <si>
    <t>/mʊlam/</t>
  </si>
  <si>
    <t>mulam</t>
  </si>
  <si>
    <t>moulasse</t>
  </si>
  <si>
    <t>/mʊlas/</t>
  </si>
  <si>
    <t>mulas</t>
  </si>
  <si>
    <t>moulassent</t>
  </si>
  <si>
    <t>moulasses</t>
  </si>
  <si>
    <t>moule</t>
  </si>
  <si>
    <t>/mʊl/</t>
  </si>
  <si>
    <t>mul</t>
  </si>
  <si>
    <t>mussel</t>
  </si>
  <si>
    <t>mold</t>
  </si>
  <si>
    <t>mould</t>
  </si>
  <si>
    <t>cast</t>
  </si>
  <si>
    <t>molding</t>
  </si>
  <si>
    <t>moulding</t>
  </si>
  <si>
    <t>modeling</t>
  </si>
  <si>
    <t>clay_sculpture</t>
  </si>
  <si>
    <t>uterus</t>
  </si>
  <si>
    <t>womb</t>
  </si>
  <si>
    <t>moulent</t>
  </si>
  <si>
    <t>moules</t>
  </si>
  <si>
    <t>moulinai</t>
  </si>
  <si>
    <t>/mʊlɪna/</t>
  </si>
  <si>
    <t>mulina</t>
  </si>
  <si>
    <t>moulinaient</t>
  </si>
  <si>
    <t>moulinais</t>
  </si>
  <si>
    <t>moulinait</t>
  </si>
  <si>
    <t>moulinâmes</t>
  </si>
  <si>
    <t>/mʊlɪnam/</t>
  </si>
  <si>
    <t>mulinam</t>
  </si>
  <si>
    <t>moulinasse</t>
  </si>
  <si>
    <t>/mʊlɪnas/</t>
  </si>
  <si>
    <t>mulinas</t>
  </si>
  <si>
    <t>moulinassent</t>
  </si>
  <si>
    <t>moulinasses</t>
  </si>
  <si>
    <t>mouline</t>
  </si>
  <si>
    <t>/mʊlɪn/</t>
  </si>
  <si>
    <t>mulin</t>
  </si>
  <si>
    <t>moulinent</t>
  </si>
  <si>
    <t>moulines</t>
  </si>
  <si>
    <t>moulinet</t>
  </si>
  <si>
    <t>moulinets</t>
  </si>
  <si>
    <t>mous</t>
  </si>
  <si>
    <t>moussai</t>
  </si>
  <si>
    <t>/mʊsa/</t>
  </si>
  <si>
    <t>musa</t>
  </si>
  <si>
    <t>moussaient</t>
  </si>
  <si>
    <t>moussais</t>
  </si>
  <si>
    <t>moussait</t>
  </si>
  <si>
    <t>moussâmes</t>
  </si>
  <si>
    <t>/mʊsam/</t>
  </si>
  <si>
    <t>musam</t>
  </si>
  <si>
    <t>moussasse</t>
  </si>
  <si>
    <t>/mʊsas/</t>
  </si>
  <si>
    <t>musas</t>
  </si>
  <si>
    <t>moussassent</t>
  </si>
  <si>
    <t>moussasses</t>
  </si>
  <si>
    <t>mousse</t>
  </si>
  <si>
    <t>/mʊs/</t>
  </si>
  <si>
    <t>mus</t>
  </si>
  <si>
    <t>froth</t>
  </si>
  <si>
    <t>spume</t>
  </si>
  <si>
    <t>suds</t>
  </si>
  <si>
    <t>foam</t>
  </si>
  <si>
    <t>fizz</t>
  </si>
  <si>
    <t>effervesce</t>
  </si>
  <si>
    <t>sparkle</t>
  </si>
  <si>
    <t>form_bubbles</t>
  </si>
  <si>
    <t>soapsuds</t>
  </si>
  <si>
    <t>lather</t>
  </si>
  <si>
    <t>cabin_boy</t>
  </si>
  <si>
    <t>Bryophyta</t>
  </si>
  <si>
    <t>division_Bryophyta</t>
  </si>
  <si>
    <t>moss</t>
  </si>
  <si>
    <t>moussent</t>
  </si>
  <si>
    <t>mousses</t>
  </si>
  <si>
    <t>moût</t>
  </si>
  <si>
    <t>must</t>
  </si>
  <si>
    <t>mustiness</t>
  </si>
  <si>
    <t>moldiness</t>
  </si>
  <si>
    <t>moûts</t>
  </si>
  <si>
    <t>Mycènes</t>
  </si>
  <si>
    <t>/mɪsan/</t>
  </si>
  <si>
    <t>misan</t>
  </si>
  <si>
    <t>Mycenae</t>
  </si>
  <si>
    <t>N</t>
  </si>
  <si>
    <t>nitrogen_oxide</t>
  </si>
  <si>
    <t>n'</t>
  </si>
  <si>
    <t>/n/</t>
  </si>
  <si>
    <t>n</t>
  </si>
  <si>
    <t>nacelle</t>
  </si>
  <si>
    <t>/nasal/</t>
  </si>
  <si>
    <t>nasal</t>
  </si>
  <si>
    <t>nacelles</t>
  </si>
  <si>
    <t>nacre</t>
  </si>
  <si>
    <t>/nak/</t>
  </si>
  <si>
    <t>nak</t>
  </si>
  <si>
    <t>mother-of-pearl</t>
  </si>
  <si>
    <t>nacrent</t>
  </si>
  <si>
    <t>nacres</t>
  </si>
  <si>
    <t>naine</t>
  </si>
  <si>
    <t>/nan/</t>
  </si>
  <si>
    <t>nan</t>
  </si>
  <si>
    <t>naines</t>
  </si>
  <si>
    <t>nanisme</t>
  </si>
  <si>
    <t>/nanɪs/</t>
  </si>
  <si>
    <t>nanis</t>
  </si>
  <si>
    <t>dwarfism</t>
  </si>
  <si>
    <t>nanism</t>
  </si>
  <si>
    <t>nanismes</t>
  </si>
  <si>
    <t>NAP</t>
  </si>
  <si>
    <t>/nap/</t>
  </si>
  <si>
    <t>nap</t>
  </si>
  <si>
    <t>nappai</t>
  </si>
  <si>
    <t>/napa/</t>
  </si>
  <si>
    <t>napa</t>
  </si>
  <si>
    <t>nappaient</t>
  </si>
  <si>
    <t>nappais</t>
  </si>
  <si>
    <t>nappait</t>
  </si>
  <si>
    <t>nappâmes</t>
  </si>
  <si>
    <t>/napam/</t>
  </si>
  <si>
    <t>napam</t>
  </si>
  <si>
    <t>nappasse</t>
  </si>
  <si>
    <t>/napas/</t>
  </si>
  <si>
    <t>napas</t>
  </si>
  <si>
    <t>nappassent</t>
  </si>
  <si>
    <t>nappasses</t>
  </si>
  <si>
    <t>nappe</t>
  </si>
  <si>
    <t>tablecloth</t>
  </si>
  <si>
    <t>air</t>
  </si>
  <si>
    <t>water</t>
  </si>
  <si>
    <t>nappent</t>
  </si>
  <si>
    <t>nappes</t>
  </si>
  <si>
    <t>nasse</t>
  </si>
  <si>
    <t>/nas/</t>
  </si>
  <si>
    <t>nas</t>
  </si>
  <si>
    <t>nasses</t>
  </si>
  <si>
    <t>natal</t>
  </si>
  <si>
    <t>/natal/</t>
  </si>
  <si>
    <t>natale</t>
  </si>
  <si>
    <t>natales</t>
  </si>
  <si>
    <t>nataliste</t>
  </si>
  <si>
    <t>/natalɪs/</t>
  </si>
  <si>
    <t>natalis</t>
  </si>
  <si>
    <t>natalistes</t>
  </si>
  <si>
    <t>natals</t>
  </si>
  <si>
    <t>nattai</t>
  </si>
  <si>
    <t>/nata/</t>
  </si>
  <si>
    <t>nata</t>
  </si>
  <si>
    <t>nattaient</t>
  </si>
  <si>
    <t>nattais</t>
  </si>
  <si>
    <t>nattait</t>
  </si>
  <si>
    <t>nattâmes</t>
  </si>
  <si>
    <t>/natam/</t>
  </si>
  <si>
    <t>natam</t>
  </si>
  <si>
    <t>nattasse</t>
  </si>
  <si>
    <t>/natas/</t>
  </si>
  <si>
    <t>natas</t>
  </si>
  <si>
    <t>nattassent</t>
  </si>
  <si>
    <t>nattasses</t>
  </si>
  <si>
    <t>ni</t>
  </si>
  <si>
    <t>/ni/</t>
  </si>
  <si>
    <t>nickel</t>
  </si>
  <si>
    <t>Ni</t>
  </si>
  <si>
    <t>atomic_number_28</t>
  </si>
  <si>
    <t>nichai</t>
  </si>
  <si>
    <t>/nɪʃa/</t>
  </si>
  <si>
    <t>nisha</t>
  </si>
  <si>
    <t>nichaient</t>
  </si>
  <si>
    <t>nichais</t>
  </si>
  <si>
    <t>nichait</t>
  </si>
  <si>
    <t>nichâmes</t>
  </si>
  <si>
    <t>/nɪʃam/</t>
  </si>
  <si>
    <t>nisham</t>
  </si>
  <si>
    <t>nichasse</t>
  </si>
  <si>
    <t>/nɪʃas/</t>
  </si>
  <si>
    <t>nishas</t>
  </si>
  <si>
    <t>nichassent</t>
  </si>
  <si>
    <t>nichasses</t>
  </si>
  <si>
    <t>niche</t>
  </si>
  <si>
    <t>/nɪʃ/</t>
  </si>
  <si>
    <t>nish</t>
  </si>
  <si>
    <t>kennel</t>
  </si>
  <si>
    <t>doghouse</t>
  </si>
  <si>
    <t>dog_house</t>
  </si>
  <si>
    <t>recess</t>
  </si>
  <si>
    <t>recession</t>
  </si>
  <si>
    <t>corner</t>
  </si>
  <si>
    <t>nichent</t>
  </si>
  <si>
    <t>niches</t>
  </si>
  <si>
    <t>/nɪkal/</t>
  </si>
  <si>
    <t>nikal</t>
  </si>
  <si>
    <t>immaculate</t>
  </si>
  <si>
    <t>speckless</t>
  </si>
  <si>
    <t>spick-and-span</t>
  </si>
  <si>
    <t>spic-and-span</t>
  </si>
  <si>
    <t>spic</t>
  </si>
  <si>
    <t>spick</t>
  </si>
  <si>
    <t>spotless</t>
  </si>
  <si>
    <t>nickel_note</t>
  </si>
  <si>
    <t>nickelâmes</t>
  </si>
  <si>
    <t>/nɪkalɑm/</t>
  </si>
  <si>
    <t>nikalam</t>
  </si>
  <si>
    <t>nickelle</t>
  </si>
  <si>
    <t>nickellent</t>
  </si>
  <si>
    <t>nickelles</t>
  </si>
  <si>
    <t>nickels</t>
  </si>
  <si>
    <t>nid</t>
  </si>
  <si>
    <t>nest</t>
  </si>
  <si>
    <t>cuddle</t>
  </si>
  <si>
    <t>snuggle</t>
  </si>
  <si>
    <t>nestle</t>
  </si>
  <si>
    <t>nuzzle</t>
  </si>
  <si>
    <t>draw_close</t>
  </si>
  <si>
    <t>lair</t>
  </si>
  <si>
    <t>nids</t>
  </si>
  <si>
    <t>nie</t>
  </si>
  <si>
    <t>nient</t>
  </si>
  <si>
    <t>nies</t>
  </si>
  <si>
    <t>Nil</t>
  </si>
  <si>
    <t>/nɪl/</t>
  </si>
  <si>
    <t>nil</t>
  </si>
  <si>
    <t>Nile</t>
  </si>
  <si>
    <t>Nile_River</t>
  </si>
  <si>
    <t>ninas</t>
  </si>
  <si>
    <t>/nɪnas/</t>
  </si>
  <si>
    <t>nippai</t>
  </si>
  <si>
    <t>/nɪpa/</t>
  </si>
  <si>
    <t>nipa</t>
  </si>
  <si>
    <t>nippaient</t>
  </si>
  <si>
    <t>nippais</t>
  </si>
  <si>
    <t>nippait</t>
  </si>
  <si>
    <t>nippâmes</t>
  </si>
  <si>
    <t>/nɪpam/</t>
  </si>
  <si>
    <t>nipam</t>
  </si>
  <si>
    <t>nippasse</t>
  </si>
  <si>
    <t>/nɪpas/</t>
  </si>
  <si>
    <t>nipas</t>
  </si>
  <si>
    <t>nippassent</t>
  </si>
  <si>
    <t>nippasses</t>
  </si>
  <si>
    <t>nippe</t>
  </si>
  <si>
    <t>/nɪp/</t>
  </si>
  <si>
    <t>nip</t>
  </si>
  <si>
    <t>nippent</t>
  </si>
  <si>
    <t>nippes</t>
  </si>
  <si>
    <t>nique</t>
  </si>
  <si>
    <t>/nɪk/</t>
  </si>
  <si>
    <t>nik</t>
  </si>
  <si>
    <t>niques</t>
  </si>
  <si>
    <t>noue</t>
  </si>
  <si>
    <t>/nu/</t>
  </si>
  <si>
    <t>nu</t>
  </si>
  <si>
    <t>nouent</t>
  </si>
  <si>
    <t>noues</t>
  </si>
  <si>
    <t>nouille</t>
  </si>
  <si>
    <t>/nʊj/</t>
  </si>
  <si>
    <t>nuy</t>
  </si>
  <si>
    <t>snot</t>
  </si>
  <si>
    <t>attic</t>
  </si>
  <si>
    <t>bean</t>
  </si>
  <si>
    <t>bonce</t>
  </si>
  <si>
    <t>noodle</t>
  </si>
  <si>
    <t>noggin</t>
  </si>
  <si>
    <t>dome</t>
  </si>
  <si>
    <t>nouilles</t>
  </si>
  <si>
    <t>nounou</t>
  </si>
  <si>
    <t>/nʊnu/</t>
  </si>
  <si>
    <t>nunu</t>
  </si>
  <si>
    <t>nanny</t>
  </si>
  <si>
    <t>nanny-goat</t>
  </si>
  <si>
    <t>she-goat</t>
  </si>
  <si>
    <t>nursemaid</t>
  </si>
  <si>
    <t>nurse</t>
  </si>
  <si>
    <t>nounous</t>
  </si>
  <si>
    <t>nous</t>
  </si>
  <si>
    <t>nous-mêmes</t>
  </si>
  <si>
    <t>/nʊmam/</t>
  </si>
  <si>
    <t>numam</t>
  </si>
  <si>
    <t>ou</t>
  </si>
  <si>
    <t>/u/</t>
  </si>
  <si>
    <t>u</t>
  </si>
  <si>
    <t>either</t>
  </si>
  <si>
    <t>Open_University</t>
  </si>
  <si>
    <t>sweet_gale</t>
  </si>
  <si>
    <t>Scotch_gale</t>
  </si>
  <si>
    <t>Myrica_gale</t>
  </si>
  <si>
    <t>où</t>
  </si>
  <si>
    <t>wherever</t>
  </si>
  <si>
    <t>wheresoever</t>
  </si>
  <si>
    <t>ouille</t>
  </si>
  <si>
    <t>/uj/</t>
  </si>
  <si>
    <t>uy</t>
  </si>
  <si>
    <t>ouilles</t>
  </si>
  <si>
    <t>oust</t>
  </si>
  <si>
    <t>/us/</t>
  </si>
  <si>
    <t>us</t>
  </si>
  <si>
    <t>ouste</t>
  </si>
  <si>
    <t>PAC</t>
  </si>
  <si>
    <t>/pak/</t>
  </si>
  <si>
    <t>pak</t>
  </si>
  <si>
    <t>political_action_committee</t>
  </si>
  <si>
    <t>pacane</t>
  </si>
  <si>
    <t>/pakan/</t>
  </si>
  <si>
    <t>pakan</t>
  </si>
  <si>
    <t>pack</t>
  </si>
  <si>
    <t>packs</t>
  </si>
  <si>
    <t>pacte</t>
  </si>
  <si>
    <t>covenant</t>
  </si>
  <si>
    <t>agreement</t>
  </si>
  <si>
    <t>understanding</t>
  </si>
  <si>
    <t>treaty</t>
  </si>
  <si>
    <t>pact</t>
  </si>
  <si>
    <t>accord</t>
  </si>
  <si>
    <t>pactes</t>
  </si>
  <si>
    <t>pagne</t>
  </si>
  <si>
    <t>/paɲ/</t>
  </si>
  <si>
    <t>pañ</t>
  </si>
  <si>
    <t>breechcloth</t>
  </si>
  <si>
    <t>breechclout</t>
  </si>
  <si>
    <t>loincloth</t>
  </si>
  <si>
    <t>sarong</t>
  </si>
  <si>
    <t>pagnes</t>
  </si>
  <si>
    <t>paie</t>
  </si>
  <si>
    <t>/pa/</t>
  </si>
  <si>
    <t>pa</t>
  </si>
  <si>
    <t>païenne</t>
  </si>
  <si>
    <t>/pajan/</t>
  </si>
  <si>
    <t>payan</t>
  </si>
  <si>
    <t>païennes</t>
  </si>
  <si>
    <t>paient</t>
  </si>
  <si>
    <t>paies</t>
  </si>
  <si>
    <t>paillai</t>
  </si>
  <si>
    <t>/paja/</t>
  </si>
  <si>
    <t>paya</t>
  </si>
  <si>
    <t>paillaient</t>
  </si>
  <si>
    <t>paillais</t>
  </si>
  <si>
    <t>paillait</t>
  </si>
  <si>
    <t>paillâmes</t>
  </si>
  <si>
    <t>/pajam/</t>
  </si>
  <si>
    <t>payam</t>
  </si>
  <si>
    <t>paillasse</t>
  </si>
  <si>
    <t>/pajas/</t>
  </si>
  <si>
    <t>payas</t>
  </si>
  <si>
    <t>paillassent</t>
  </si>
  <si>
    <t>paillasses</t>
  </si>
  <si>
    <t>paille</t>
  </si>
  <si>
    <t>/paj/</t>
  </si>
  <si>
    <t>pay</t>
  </si>
  <si>
    <t>straw</t>
  </si>
  <si>
    <t>strew</t>
  </si>
  <si>
    <t>drinking_straw</t>
  </si>
  <si>
    <t>pale_yellow</t>
  </si>
  <si>
    <t>wheat</t>
  </si>
  <si>
    <t>hay</t>
  </si>
  <si>
    <t>chaff</t>
  </si>
  <si>
    <t>husk</t>
  </si>
  <si>
    <t>shuck</t>
  </si>
  <si>
    <t>stalk</t>
  </si>
  <si>
    <t>stubble</t>
  </si>
  <si>
    <t>paillent</t>
  </si>
  <si>
    <t>pailles</t>
  </si>
  <si>
    <t>paix</t>
  </si>
  <si>
    <t>peace</t>
  </si>
  <si>
    <t>peace_treaty</t>
  </si>
  <si>
    <t>pacification</t>
  </si>
  <si>
    <t>peacefulness</t>
  </si>
  <si>
    <t>peace_of_mind</t>
  </si>
  <si>
    <t>repose</t>
  </si>
  <si>
    <t>serenity</t>
  </si>
  <si>
    <t>heartsease</t>
  </si>
  <si>
    <t>ataraxis</t>
  </si>
  <si>
    <t>public_security</t>
  </si>
  <si>
    <t>pal</t>
  </si>
  <si>
    <t>/pal/</t>
  </si>
  <si>
    <t>Pal</t>
  </si>
  <si>
    <t>PAL</t>
  </si>
  <si>
    <t>palace</t>
  </si>
  <si>
    <t>/palas/</t>
  </si>
  <si>
    <t>palas</t>
  </si>
  <si>
    <t>palaces</t>
  </si>
  <si>
    <t>palais</t>
  </si>
  <si>
    <t>/pala/</t>
  </si>
  <si>
    <t>pala</t>
  </si>
  <si>
    <t>castle</t>
  </si>
  <si>
    <t>palate</t>
  </si>
  <si>
    <t>roof_of_the_mouth</t>
  </si>
  <si>
    <t>palatal</t>
  </si>
  <si>
    <t>/palatal/</t>
  </si>
  <si>
    <t>palatalized</t>
  </si>
  <si>
    <t>palatalised</t>
  </si>
  <si>
    <t>palatine</t>
  </si>
  <si>
    <t>palatale</t>
  </si>
  <si>
    <t>palatales</t>
  </si>
  <si>
    <t>pale</t>
  </si>
  <si>
    <t>vane</t>
  </si>
  <si>
    <t>paddle</t>
  </si>
  <si>
    <t>pâle</t>
  </si>
  <si>
    <t>lurid</t>
  </si>
  <si>
    <t>pallid</t>
  </si>
  <si>
    <t>wan</t>
  </si>
  <si>
    <t>sick</t>
  </si>
  <si>
    <t>pales</t>
  </si>
  <si>
    <t>pâles</t>
  </si>
  <si>
    <t>palet</t>
  </si>
  <si>
    <t>puck</t>
  </si>
  <si>
    <t>hockey_puck</t>
  </si>
  <si>
    <t>Puck</t>
  </si>
  <si>
    <t>Robin_Goodfellow</t>
  </si>
  <si>
    <t>palets</t>
  </si>
  <si>
    <t>pâli</t>
  </si>
  <si>
    <t>/pali/</t>
  </si>
  <si>
    <t>pali</t>
  </si>
  <si>
    <t>Pali</t>
  </si>
  <si>
    <t>pâlie</t>
  </si>
  <si>
    <t>pâlies</t>
  </si>
  <si>
    <t>pâlîmes</t>
  </si>
  <si>
    <t>/palɪm/</t>
  </si>
  <si>
    <t>palim</t>
  </si>
  <si>
    <t>pâlis</t>
  </si>
  <si>
    <t>pâlissaient</t>
  </si>
  <si>
    <t>/palɪsa/</t>
  </si>
  <si>
    <t>palisa</t>
  </si>
  <si>
    <t>pâlissais</t>
  </si>
  <si>
    <t>pâlissait</t>
  </si>
  <si>
    <t>pâlisse</t>
  </si>
  <si>
    <t>/palɪs/</t>
  </si>
  <si>
    <t>palis</t>
  </si>
  <si>
    <t>pâlissent</t>
  </si>
  <si>
    <t>pâlisses</t>
  </si>
  <si>
    <t>pâlit</t>
  </si>
  <si>
    <t>pâlît</t>
  </si>
  <si>
    <t>pallie</t>
  </si>
  <si>
    <t>pallient</t>
  </si>
  <si>
    <t>pallies</t>
  </si>
  <si>
    <t>pals</t>
  </si>
  <si>
    <t>pâmai</t>
  </si>
  <si>
    <t>/pama/</t>
  </si>
  <si>
    <t>pama</t>
  </si>
  <si>
    <t>pâmaient</t>
  </si>
  <si>
    <t>pâmais</t>
  </si>
  <si>
    <t>pâmait</t>
  </si>
  <si>
    <t>pâmâmes</t>
  </si>
  <si>
    <t>/pamam/</t>
  </si>
  <si>
    <t>pamam</t>
  </si>
  <si>
    <t>pâmasse</t>
  </si>
  <si>
    <t>/pamas/</t>
  </si>
  <si>
    <t>pamas</t>
  </si>
  <si>
    <t>pâmassent</t>
  </si>
  <si>
    <t>pâmasses</t>
  </si>
  <si>
    <t>pâme</t>
  </si>
  <si>
    <t>/pam/</t>
  </si>
  <si>
    <t>pam</t>
  </si>
  <si>
    <t>pâment</t>
  </si>
  <si>
    <t>pâmes</t>
  </si>
  <si>
    <t>panachai</t>
  </si>
  <si>
    <t>/panaʃa/</t>
  </si>
  <si>
    <t>panasha</t>
  </si>
  <si>
    <t>panachaient</t>
  </si>
  <si>
    <t>panachais</t>
  </si>
  <si>
    <t>panachait</t>
  </si>
  <si>
    <t>panachâmes</t>
  </si>
  <si>
    <t>/panaʃam/</t>
  </si>
  <si>
    <t>panasham</t>
  </si>
  <si>
    <t>panachasse</t>
  </si>
  <si>
    <t>/panaʃas/</t>
  </si>
  <si>
    <t>panashas</t>
  </si>
  <si>
    <t>panachassent</t>
  </si>
  <si>
    <t>panachasses</t>
  </si>
  <si>
    <t>panache</t>
  </si>
  <si>
    <t>/panaʃ/</t>
  </si>
  <si>
    <t>panash</t>
  </si>
  <si>
    <t>dash</t>
  </si>
  <si>
    <t>elan</t>
  </si>
  <si>
    <t>flair</t>
  </si>
  <si>
    <t>style</t>
  </si>
  <si>
    <t>panachent</t>
  </si>
  <si>
    <t>panaches</t>
  </si>
  <si>
    <t>panai</t>
  </si>
  <si>
    <t>/pana/</t>
  </si>
  <si>
    <t>pana</t>
  </si>
  <si>
    <t>panaient</t>
  </si>
  <si>
    <t>panais</t>
  </si>
  <si>
    <t>parsnip</t>
  </si>
  <si>
    <t>Pastinaca_sativa</t>
  </si>
  <si>
    <t>panait</t>
  </si>
  <si>
    <t>Paname</t>
  </si>
  <si>
    <t>/panam/</t>
  </si>
  <si>
    <t>panam</t>
  </si>
  <si>
    <t>panâmes</t>
  </si>
  <si>
    <t>panasse</t>
  </si>
  <si>
    <t>/panas/</t>
  </si>
  <si>
    <t>panas</t>
  </si>
  <si>
    <t>panassent</t>
  </si>
  <si>
    <t>panasses</t>
  </si>
  <si>
    <t>pane</t>
  </si>
  <si>
    <t>/pan/</t>
  </si>
  <si>
    <t>pan</t>
  </si>
  <si>
    <t>panel</t>
  </si>
  <si>
    <t>/panal/</t>
  </si>
  <si>
    <t>panal</t>
  </si>
  <si>
    <t>scoreboard</t>
  </si>
  <si>
    <t>panels</t>
  </si>
  <si>
    <t>panent</t>
  </si>
  <si>
    <t>panes</t>
  </si>
  <si>
    <t>panini</t>
  </si>
  <si>
    <t>/panɪni/</t>
  </si>
  <si>
    <t>Panini</t>
  </si>
  <si>
    <t>paniquai</t>
  </si>
  <si>
    <t>/panɪka/</t>
  </si>
  <si>
    <t>panika</t>
  </si>
  <si>
    <t>paniquaient</t>
  </si>
  <si>
    <t>paniquais</t>
  </si>
  <si>
    <t>paniquait</t>
  </si>
  <si>
    <t>paniquâmes</t>
  </si>
  <si>
    <t>/panɪkam/</t>
  </si>
  <si>
    <t>panikam</t>
  </si>
  <si>
    <t>paniquasse</t>
  </si>
  <si>
    <t>/panɪkas/</t>
  </si>
  <si>
    <t>panikas</t>
  </si>
  <si>
    <t>paniquassent</t>
  </si>
  <si>
    <t>paniquasses</t>
  </si>
  <si>
    <t>panique</t>
  </si>
  <si>
    <t>/panɪk/</t>
  </si>
  <si>
    <t>panik</t>
  </si>
  <si>
    <t>panicky</t>
  </si>
  <si>
    <t>panicked</t>
  </si>
  <si>
    <t>panic-stricken</t>
  </si>
  <si>
    <t>panic-struck</t>
  </si>
  <si>
    <t>terrified</t>
  </si>
  <si>
    <t>frightened</t>
  </si>
  <si>
    <t>panic</t>
  </si>
  <si>
    <t>terror</t>
  </si>
  <si>
    <t>affright</t>
  </si>
  <si>
    <t>scare</t>
  </si>
  <si>
    <t>paniquent</t>
  </si>
  <si>
    <t>paniques</t>
  </si>
  <si>
    <t>panne</t>
  </si>
  <si>
    <t>breakdown</t>
  </si>
  <si>
    <t>equipment_failure</t>
  </si>
  <si>
    <t>outage</t>
  </si>
  <si>
    <t>blackout</t>
  </si>
  <si>
    <t>pannes</t>
  </si>
  <si>
    <t>paonne</t>
  </si>
  <si>
    <t>peahen</t>
  </si>
  <si>
    <t>paonnes</t>
  </si>
  <si>
    <t>papa</t>
  </si>
  <si>
    <t>/papa/</t>
  </si>
  <si>
    <t>dad</t>
  </si>
  <si>
    <t>dada</t>
  </si>
  <si>
    <t>daddy</t>
  </si>
  <si>
    <t>pappa</t>
  </si>
  <si>
    <t>pop</t>
  </si>
  <si>
    <t>papal</t>
  </si>
  <si>
    <t>/papal/</t>
  </si>
  <si>
    <t>apostolic</t>
  </si>
  <si>
    <t>apostolical</t>
  </si>
  <si>
    <t>pontifical</t>
  </si>
  <si>
    <t>papale</t>
  </si>
  <si>
    <t>papales</t>
  </si>
  <si>
    <t>papaye</t>
  </si>
  <si>
    <t>/papaj/</t>
  </si>
  <si>
    <t>papay</t>
  </si>
  <si>
    <t>papaya</t>
  </si>
  <si>
    <t>papaia</t>
  </si>
  <si>
    <t>pawpaw</t>
  </si>
  <si>
    <t>papaya_tree</t>
  </si>
  <si>
    <t>melon_tree</t>
  </si>
  <si>
    <t>Carica_papaya</t>
  </si>
  <si>
    <t>papayes</t>
  </si>
  <si>
    <t>pape</t>
  </si>
  <si>
    <t>/pap/</t>
  </si>
  <si>
    <t>pap</t>
  </si>
  <si>
    <t>pope</t>
  </si>
  <si>
    <t>Catholic_Pope</t>
  </si>
  <si>
    <t>Roman_Catholic_Pope</t>
  </si>
  <si>
    <t>pontiff</t>
  </si>
  <si>
    <t>Holy_Father</t>
  </si>
  <si>
    <t>Vicar_of_Christ</t>
  </si>
  <si>
    <t>Bishop_of_Rome</t>
  </si>
  <si>
    <t>Pope</t>
  </si>
  <si>
    <t>Alexander_Pope</t>
  </si>
  <si>
    <t>papes</t>
  </si>
  <si>
    <t>papesse</t>
  </si>
  <si>
    <t>/papas/</t>
  </si>
  <si>
    <t>papas</t>
  </si>
  <si>
    <t>papesses</t>
  </si>
  <si>
    <t>papet</t>
  </si>
  <si>
    <t>papi</t>
  </si>
  <si>
    <t>/papi/</t>
  </si>
  <si>
    <t>grandfather</t>
  </si>
  <si>
    <t>gramps</t>
  </si>
  <si>
    <t>granddad</t>
  </si>
  <si>
    <t>grandad</t>
  </si>
  <si>
    <t>granddaddy</t>
  </si>
  <si>
    <t>grandpa</t>
  </si>
  <si>
    <t>papille</t>
  </si>
  <si>
    <t>/papɪj/</t>
  </si>
  <si>
    <t>papiy</t>
  </si>
  <si>
    <t>tastebud</t>
  </si>
  <si>
    <t>taste_bud</t>
  </si>
  <si>
    <t>gustatory_organ</t>
  </si>
  <si>
    <t>papilles</t>
  </si>
  <si>
    <t>papis</t>
  </si>
  <si>
    <t>papisme</t>
  </si>
  <si>
    <t>/papɪs/</t>
  </si>
  <si>
    <t>popery</t>
  </si>
  <si>
    <t>papism</t>
  </si>
  <si>
    <t>papismes</t>
  </si>
  <si>
    <t>papiste</t>
  </si>
  <si>
    <t>Roman</t>
  </si>
  <si>
    <t>R.C.</t>
  </si>
  <si>
    <t>Romanist</t>
  </si>
  <si>
    <t>romish</t>
  </si>
  <si>
    <t>Roman_Catholic</t>
  </si>
  <si>
    <t>popish</t>
  </si>
  <si>
    <t>papist</t>
  </si>
  <si>
    <t>papistic</t>
  </si>
  <si>
    <t>papistical</t>
  </si>
  <si>
    <t>papistes</t>
  </si>
  <si>
    <t>papou</t>
  </si>
  <si>
    <t>/papu/</t>
  </si>
  <si>
    <t>papu</t>
  </si>
  <si>
    <t>Papuan</t>
  </si>
  <si>
    <t>Papuan_language</t>
  </si>
  <si>
    <t>papouille</t>
  </si>
  <si>
    <t>/papʊj/</t>
  </si>
  <si>
    <t>papuy</t>
  </si>
  <si>
    <t>papouilles</t>
  </si>
  <si>
    <t>papy</t>
  </si>
  <si>
    <t>papys</t>
  </si>
  <si>
    <t>Pâque</t>
  </si>
  <si>
    <t>Passover</t>
  </si>
  <si>
    <t>Pesach</t>
  </si>
  <si>
    <t>Pesah</t>
  </si>
  <si>
    <t>Feast_of_the_Unleavened_Bread</t>
  </si>
  <si>
    <t>Pâques</t>
  </si>
  <si>
    <t>east_wind</t>
  </si>
  <si>
    <t>easter</t>
  </si>
  <si>
    <t>easterly</t>
  </si>
  <si>
    <t>Easter</t>
  </si>
  <si>
    <t>paquet</t>
  </si>
  <si>
    <t>/paka/</t>
  </si>
  <si>
    <t>paka</t>
  </si>
  <si>
    <t>parcel</t>
  </si>
  <si>
    <t>package</t>
  </si>
  <si>
    <t>mailboat</t>
  </si>
  <si>
    <t>mail_boat</t>
  </si>
  <si>
    <t>packet</t>
  </si>
  <si>
    <t>packet_boat</t>
  </si>
  <si>
    <t>pack_of_cards</t>
  </si>
  <si>
    <t>deck_of_cards</t>
  </si>
  <si>
    <t>deck</t>
  </si>
  <si>
    <t>bundle</t>
  </si>
  <si>
    <t>yokel</t>
  </si>
  <si>
    <t>rube</t>
  </si>
  <si>
    <t>hick</t>
  </si>
  <si>
    <t>yahoo</t>
  </si>
  <si>
    <t>hayseed</t>
  </si>
  <si>
    <t>bumpkin</t>
  </si>
  <si>
    <t>chawbacon</t>
  </si>
  <si>
    <t>paquets</t>
  </si>
  <si>
    <t>passai</t>
  </si>
  <si>
    <t>/pasa/</t>
  </si>
  <si>
    <t>pasa</t>
  </si>
  <si>
    <t>passaient</t>
  </si>
  <si>
    <t>passais</t>
  </si>
  <si>
    <t>passait</t>
  </si>
  <si>
    <t>passâmes</t>
  </si>
  <si>
    <t>/pasam/</t>
  </si>
  <si>
    <t>pasam</t>
  </si>
  <si>
    <t>passasse</t>
  </si>
  <si>
    <t>/pasas/</t>
  </si>
  <si>
    <t>pasas</t>
  </si>
  <si>
    <t>passassent</t>
  </si>
  <si>
    <t>passasses</t>
  </si>
  <si>
    <t>passe</t>
  </si>
  <si>
    <t>/pas/</t>
  </si>
  <si>
    <t>passkey</t>
  </si>
  <si>
    <t>passe-partout</t>
  </si>
  <si>
    <t>master_key</t>
  </si>
  <si>
    <t>passent</t>
  </si>
  <si>
    <t>passes</t>
  </si>
  <si>
    <t>pataquès</t>
  </si>
  <si>
    <t>/patakas/</t>
  </si>
  <si>
    <t>patakas</t>
  </si>
  <si>
    <t>patelle</t>
  </si>
  <si>
    <t>/patal/</t>
  </si>
  <si>
    <t>patal</t>
  </si>
  <si>
    <t>limpet</t>
  </si>
  <si>
    <t>patelles</t>
  </si>
  <si>
    <t>patène</t>
  </si>
  <si>
    <t>/patan/</t>
  </si>
  <si>
    <t>patan</t>
  </si>
  <si>
    <t>patina</t>
  </si>
  <si>
    <t>patènes</t>
  </si>
  <si>
    <t>patouillai</t>
  </si>
  <si>
    <t>/patʊja/</t>
  </si>
  <si>
    <t>patuya</t>
  </si>
  <si>
    <t>patouillaient</t>
  </si>
  <si>
    <t>patouillais</t>
  </si>
  <si>
    <t>patouillait</t>
  </si>
  <si>
    <t>patouillâmes</t>
  </si>
  <si>
    <t>/patʊjam/</t>
  </si>
  <si>
    <t>patuyam</t>
  </si>
  <si>
    <t>patouillasse</t>
  </si>
  <si>
    <t>/patʊjas/</t>
  </si>
  <si>
    <t>patuyas</t>
  </si>
  <si>
    <t>patouillassent</t>
  </si>
  <si>
    <t>patouillasses</t>
  </si>
  <si>
    <t>patouille</t>
  </si>
  <si>
    <t>/patʊj/</t>
  </si>
  <si>
    <t>patuy</t>
  </si>
  <si>
    <t>patouillent</t>
  </si>
  <si>
    <t>patouilles</t>
  </si>
  <si>
    <t>payai</t>
  </si>
  <si>
    <t>payaient</t>
  </si>
  <si>
    <t>payais</t>
  </si>
  <si>
    <t>payait</t>
  </si>
  <si>
    <t>payâmes</t>
  </si>
  <si>
    <t>/pajɑm/</t>
  </si>
  <si>
    <t>payasse</t>
  </si>
  <si>
    <t>payassent</t>
  </si>
  <si>
    <t>payasses</t>
  </si>
  <si>
    <t>payât</t>
  </si>
  <si>
    <t>/pajɑ/</t>
  </si>
  <si>
    <t>paye</t>
  </si>
  <si>
    <t>payent</t>
  </si>
  <si>
    <t>payèrent</t>
  </si>
  <si>
    <t>payes</t>
  </si>
  <si>
    <t>pêchai</t>
  </si>
  <si>
    <t>/paʃa/</t>
  </si>
  <si>
    <t>pasha</t>
  </si>
  <si>
    <t>pêchaient</t>
  </si>
  <si>
    <t>pêchais</t>
  </si>
  <si>
    <t>pêchait</t>
  </si>
  <si>
    <t>pêchâmes</t>
  </si>
  <si>
    <t>/paʃam/</t>
  </si>
  <si>
    <t>pasham</t>
  </si>
  <si>
    <t>pêchasse</t>
  </si>
  <si>
    <t>/paʃas/</t>
  </si>
  <si>
    <t>pashas</t>
  </si>
  <si>
    <t>pêchassent</t>
  </si>
  <si>
    <t>pêchasses</t>
  </si>
  <si>
    <t>pèche</t>
  </si>
  <si>
    <t>/paʃ/</t>
  </si>
  <si>
    <t>pash</t>
  </si>
  <si>
    <t>pêche</t>
  </si>
  <si>
    <t>fishing</t>
  </si>
  <si>
    <t>sportfishing</t>
  </si>
  <si>
    <t>angling</t>
  </si>
  <si>
    <t>spill_the_beans</t>
  </si>
  <si>
    <t>let_the_cat_out_of_the_bag</t>
  </si>
  <si>
    <t>talk</t>
  </si>
  <si>
    <t>tattle</t>
  </si>
  <si>
    <t>blab</t>
  </si>
  <si>
    <t>peach</t>
  </si>
  <si>
    <t>babble</t>
  </si>
  <si>
    <t>sing</t>
  </si>
  <si>
    <t>babble_out</t>
  </si>
  <si>
    <t>blab_out</t>
  </si>
  <si>
    <t>fishery</t>
  </si>
  <si>
    <t>piscary</t>
  </si>
  <si>
    <t>yellowish_pink</t>
  </si>
  <si>
    <t>apricot</t>
  </si>
  <si>
    <t>salmon_pink</t>
  </si>
  <si>
    <t>euphoria</t>
  </si>
  <si>
    <t>euphory</t>
  </si>
  <si>
    <t>fish</t>
  </si>
  <si>
    <t>Pisces</t>
  </si>
  <si>
    <t>Pisces_the_Fishes</t>
  </si>
  <si>
    <t>Fish</t>
  </si>
  <si>
    <t>smasher</t>
  </si>
  <si>
    <t>stunner</t>
  </si>
  <si>
    <t>knockout</t>
  </si>
  <si>
    <t>beauty</t>
  </si>
  <si>
    <t>ravisher</t>
  </si>
  <si>
    <t>looker</t>
  </si>
  <si>
    <t>mantrap</t>
  </si>
  <si>
    <t>dish</t>
  </si>
  <si>
    <t>peach_tree</t>
  </si>
  <si>
    <t>Prunus_persica</t>
  </si>
  <si>
    <t>pèchent</t>
  </si>
  <si>
    <t>pêchent</t>
  </si>
  <si>
    <t>pèches</t>
  </si>
  <si>
    <t>pêches</t>
  </si>
  <si>
    <t>peignai</t>
  </si>
  <si>
    <t>/paɲa/</t>
  </si>
  <si>
    <t>paña</t>
  </si>
  <si>
    <t>peignaient</t>
  </si>
  <si>
    <t>peignais</t>
  </si>
  <si>
    <t>peignait</t>
  </si>
  <si>
    <t>peignâmes</t>
  </si>
  <si>
    <t>/paɲam/</t>
  </si>
  <si>
    <t>pañam</t>
  </si>
  <si>
    <t>peignasse</t>
  </si>
  <si>
    <t>/paɲas/</t>
  </si>
  <si>
    <t>pañas</t>
  </si>
  <si>
    <t>peignassent</t>
  </si>
  <si>
    <t>peignasses</t>
  </si>
  <si>
    <t>peigne</t>
  </si>
  <si>
    <t>comb</t>
  </si>
  <si>
    <t>comb_out</t>
  </si>
  <si>
    <t>disentangle</t>
  </si>
  <si>
    <t>combing</t>
  </si>
  <si>
    <t>ransack</t>
  </si>
  <si>
    <t>ridge</t>
  </si>
  <si>
    <t>peignent</t>
  </si>
  <si>
    <t>peignes</t>
  </si>
  <si>
    <t>peignîmes</t>
  </si>
  <si>
    <t>/paɲim/</t>
  </si>
  <si>
    <t>pañim</t>
  </si>
  <si>
    <t>peignis</t>
  </si>
  <si>
    <t>/paɲi/</t>
  </si>
  <si>
    <t>pañi</t>
  </si>
  <si>
    <t>peignisse</t>
  </si>
  <si>
    <t>/paɲis/</t>
  </si>
  <si>
    <t>pañis</t>
  </si>
  <si>
    <t>peignissent</t>
  </si>
  <si>
    <t>peignisses</t>
  </si>
  <si>
    <t>peignit</t>
  </si>
  <si>
    <t>peignît</t>
  </si>
  <si>
    <t>peinai</t>
  </si>
  <si>
    <t>peinaient</t>
  </si>
  <si>
    <t>peinais</t>
  </si>
  <si>
    <t>peinait</t>
  </si>
  <si>
    <t>peinâmes</t>
  </si>
  <si>
    <t>peinasse</t>
  </si>
  <si>
    <t>peinassent</t>
  </si>
  <si>
    <t>peinasses</t>
  </si>
  <si>
    <t>peine</t>
  </si>
  <si>
    <t>pain</t>
  </si>
  <si>
    <t>effort</t>
  </si>
  <si>
    <t>elbow_grease</t>
  </si>
  <si>
    <t>exertion</t>
  </si>
  <si>
    <t>travail</t>
  </si>
  <si>
    <t>sweat</t>
  </si>
  <si>
    <t>punishment</t>
  </si>
  <si>
    <t>penalty</t>
  </si>
  <si>
    <t>penalization</t>
  </si>
  <si>
    <t>penalisation</t>
  </si>
  <si>
    <t>pain_sensation</t>
  </si>
  <si>
    <t>painful_sensation</t>
  </si>
  <si>
    <t>grief</t>
  </si>
  <si>
    <t>sorrow</t>
  </si>
  <si>
    <t>painfulness</t>
  </si>
  <si>
    <t>distress</t>
  </si>
  <si>
    <t>suffering</t>
  </si>
  <si>
    <t>pain_in_the_neck</t>
  </si>
  <si>
    <t>nuisance</t>
  </si>
  <si>
    <t>disorder</t>
  </si>
  <si>
    <t>upset</t>
  </si>
  <si>
    <t>ache</t>
  </si>
  <si>
    <t>aching</t>
  </si>
  <si>
    <t>agony</t>
  </si>
  <si>
    <t>excruciation</t>
  </si>
  <si>
    <t>prison_term</t>
  </si>
  <si>
    <t>sentence</t>
  </si>
  <si>
    <t>time</t>
  </si>
  <si>
    <t>peinent</t>
  </si>
  <si>
    <t>peines</t>
  </si>
  <si>
    <t>pèle</t>
  </si>
  <si>
    <t>pèlent</t>
  </si>
  <si>
    <t>pèles</t>
  </si>
  <si>
    <t>pelle</t>
  </si>
  <si>
    <t>soul_kiss</t>
  </si>
  <si>
    <t>deep_kiss</t>
  </si>
  <si>
    <t>French_kiss</t>
  </si>
  <si>
    <t>spade</t>
  </si>
  <si>
    <t>shovel</t>
  </si>
  <si>
    <t>power_shovel</t>
  </si>
  <si>
    <t>excavator</t>
  </si>
  <si>
    <t>digger</t>
  </si>
  <si>
    <t>nigger</t>
  </si>
  <si>
    <t>nigga</t>
  </si>
  <si>
    <t>coon</t>
  </si>
  <si>
    <t>jigaboo</t>
  </si>
  <si>
    <t>nigra</t>
  </si>
  <si>
    <t>shovelful</t>
  </si>
  <si>
    <t>spadeful</t>
  </si>
  <si>
    <t>pelles</t>
  </si>
  <si>
    <t>pêne</t>
  </si>
  <si>
    <t>pênes</t>
  </si>
  <si>
    <t>penne</t>
  </si>
  <si>
    <t>flight_feather</t>
  </si>
  <si>
    <t>quill</t>
  </si>
  <si>
    <t>quill_feather</t>
  </si>
  <si>
    <t>pennes</t>
  </si>
  <si>
    <t>PEP</t>
  </si>
  <si>
    <t>pep</t>
  </si>
  <si>
    <t>peppiness</t>
  </si>
  <si>
    <t>ginger</t>
  </si>
  <si>
    <t>peste</t>
  </si>
  <si>
    <t>blight</t>
  </si>
  <si>
    <t>plague</t>
  </si>
  <si>
    <t>horse</t>
  </si>
  <si>
    <t>gymnastic_horse</t>
  </si>
  <si>
    <t>knight</t>
  </si>
  <si>
    <t>infestation</t>
  </si>
  <si>
    <t>pest</t>
  </si>
  <si>
    <t>pesterer</t>
  </si>
  <si>
    <t>gadfly</t>
  </si>
  <si>
    <t>pestilence</t>
  </si>
  <si>
    <t>bubonic_plague</t>
  </si>
  <si>
    <t>pestis_bubonica</t>
  </si>
  <si>
    <t>glandular_plague</t>
  </si>
  <si>
    <t>pestent</t>
  </si>
  <si>
    <t>pestes</t>
  </si>
  <si>
    <t>pi</t>
  </si>
  <si>
    <t>/pi/</t>
  </si>
  <si>
    <t>pic</t>
  </si>
  <si>
    <t>/pɪk/</t>
  </si>
  <si>
    <t>pik</t>
  </si>
  <si>
    <t>woodpecker</t>
  </si>
  <si>
    <t>peckerwood</t>
  </si>
  <si>
    <t>pecker</t>
  </si>
  <si>
    <t>flower</t>
  </si>
  <si>
    <t>prime</t>
  </si>
  <si>
    <t>heyday</t>
  </si>
  <si>
    <t>bloom</t>
  </si>
  <si>
    <t>blossom</t>
  </si>
  <si>
    <t>efflorescence</t>
  </si>
  <si>
    <t>flush</t>
  </si>
  <si>
    <t>pichet</t>
  </si>
  <si>
    <t>/pɪʃa/</t>
  </si>
  <si>
    <t>pisha</t>
  </si>
  <si>
    <t>pitcher</t>
  </si>
  <si>
    <t>ewer</t>
  </si>
  <si>
    <t>pichets</t>
  </si>
  <si>
    <t>pics</t>
  </si>
  <si>
    <t>picte</t>
  </si>
  <si>
    <t>pie</t>
  </si>
  <si>
    <t>motley</t>
  </si>
  <si>
    <t>calico</t>
  </si>
  <si>
    <t>multicolor</t>
  </si>
  <si>
    <t>multi-color</t>
  </si>
  <si>
    <t>multicolour</t>
  </si>
  <si>
    <t>multi-colour</t>
  </si>
  <si>
    <t>multicolored</t>
  </si>
  <si>
    <t>multi-colored</t>
  </si>
  <si>
    <t>multicoloured</t>
  </si>
  <si>
    <t>multi-coloured</t>
  </si>
  <si>
    <t>painted</t>
  </si>
  <si>
    <t>particolored</t>
  </si>
  <si>
    <t>particoloured</t>
  </si>
  <si>
    <t>piebald</t>
  </si>
  <si>
    <t>pied</t>
  </si>
  <si>
    <t>varicolored</t>
  </si>
  <si>
    <t>varicoloured</t>
  </si>
  <si>
    <t>Pica</t>
  </si>
  <si>
    <t>genus_Pica</t>
  </si>
  <si>
    <t>magpie</t>
  </si>
  <si>
    <t>dappled</t>
  </si>
  <si>
    <t>mottled</t>
  </si>
  <si>
    <t>stone</t>
  </si>
  <si>
    <t>crust</t>
  </si>
  <si>
    <t>incrustation</t>
  </si>
  <si>
    <t>encrustation</t>
  </si>
  <si>
    <t>tartar</t>
  </si>
  <si>
    <t>calculus</t>
  </si>
  <si>
    <t>tophus</t>
  </si>
  <si>
    <t>chatterer</t>
  </si>
  <si>
    <t>babbler</t>
  </si>
  <si>
    <t>prater</t>
  </si>
  <si>
    <t>chatterbox</t>
  </si>
  <si>
    <t>spouter</t>
  </si>
  <si>
    <t>scavenger</t>
  </si>
  <si>
    <t>pack_rat</t>
  </si>
  <si>
    <t>Pie</t>
  </si>
  <si>
    <t>pies</t>
  </si>
  <si>
    <t>pigne</t>
  </si>
  <si>
    <t>/piɲ/</t>
  </si>
  <si>
    <t>piñ</t>
  </si>
  <si>
    <t>pignes</t>
  </si>
  <si>
    <t>pilai</t>
  </si>
  <si>
    <t>/pɪla/</t>
  </si>
  <si>
    <t>pila</t>
  </si>
  <si>
    <t>pilaient</t>
  </si>
  <si>
    <t>pilais</t>
  </si>
  <si>
    <t>pilait</t>
  </si>
  <si>
    <t>pilâmes</t>
  </si>
  <si>
    <t>/pɪlam/</t>
  </si>
  <si>
    <t>pilam</t>
  </si>
  <si>
    <t>pilasse</t>
  </si>
  <si>
    <t>/pɪlas/</t>
  </si>
  <si>
    <t>pilas</t>
  </si>
  <si>
    <t>pilassent</t>
  </si>
  <si>
    <t>pilasses</t>
  </si>
  <si>
    <t>pilastre</t>
  </si>
  <si>
    <t>pilaster</t>
  </si>
  <si>
    <t>pilastres</t>
  </si>
  <si>
    <t>/pɪl/</t>
  </si>
  <si>
    <t>pil</t>
  </si>
  <si>
    <t>precisely</t>
  </si>
  <si>
    <t>exactly</t>
  </si>
  <si>
    <t>on_the_nose</t>
  </si>
  <si>
    <t>on_the_dot</t>
  </si>
  <si>
    <t>on_the_button</t>
  </si>
  <si>
    <t>battery</t>
  </si>
  <si>
    <t>electric_battery</t>
  </si>
  <si>
    <t>stamp_battery</t>
  </si>
  <si>
    <t>cell</t>
  </si>
  <si>
    <t>electric_cell</t>
  </si>
  <si>
    <t>cubicle</t>
  </si>
  <si>
    <t>dress_suit</t>
  </si>
  <si>
    <t>full_dress</t>
  </si>
  <si>
    <t>tailcoat</t>
  </si>
  <si>
    <t>tail_coat</t>
  </si>
  <si>
    <t>tails</t>
  </si>
  <si>
    <t>white_tie</t>
  </si>
  <si>
    <t>white_tie_and_tails</t>
  </si>
  <si>
    <t>pacemaker</t>
  </si>
  <si>
    <t>artificial_pacemaker</t>
  </si>
  <si>
    <t>voltaic_pile</t>
  </si>
  <si>
    <t>galvanic_pile</t>
  </si>
  <si>
    <t>pilent</t>
  </si>
  <si>
    <t>piles</t>
  </si>
  <si>
    <t>pili-pili</t>
  </si>
  <si>
    <t>/pɪlɪpɪli/</t>
  </si>
  <si>
    <t>pilipili</t>
  </si>
  <si>
    <t>pillai</t>
  </si>
  <si>
    <t>/pɪja/</t>
  </si>
  <si>
    <t>piya</t>
  </si>
  <si>
    <t>pillaient</t>
  </si>
  <si>
    <t>pillais</t>
  </si>
  <si>
    <t>pillait</t>
  </si>
  <si>
    <t>pillâmes</t>
  </si>
  <si>
    <t>/pɪjam/</t>
  </si>
  <si>
    <t>piyam</t>
  </si>
  <si>
    <t>pillasse</t>
  </si>
  <si>
    <t>/pɪjas/</t>
  </si>
  <si>
    <t>piyas</t>
  </si>
  <si>
    <t>pillassent</t>
  </si>
  <si>
    <t>pillasses</t>
  </si>
  <si>
    <t>pille</t>
  </si>
  <si>
    <t>/pɪj/</t>
  </si>
  <si>
    <t>piy</t>
  </si>
  <si>
    <t>pillent</t>
  </si>
  <si>
    <t>pilles</t>
  </si>
  <si>
    <t>pilou</t>
  </si>
  <si>
    <t>/pɪlu/</t>
  </si>
  <si>
    <t>pilu</t>
  </si>
  <si>
    <t>pilous</t>
  </si>
  <si>
    <t>pinacle</t>
  </si>
  <si>
    <t>/pɪnak/</t>
  </si>
  <si>
    <t>pinak</t>
  </si>
  <si>
    <t>pinacles</t>
  </si>
  <si>
    <t>pinaillai</t>
  </si>
  <si>
    <t>/pɪnaja/</t>
  </si>
  <si>
    <t>pinaya</t>
  </si>
  <si>
    <t>pinaillaient</t>
  </si>
  <si>
    <t>pinaillais</t>
  </si>
  <si>
    <t>pinaillait</t>
  </si>
  <si>
    <t>pinaillâmes</t>
  </si>
  <si>
    <t>/pɪnajam/</t>
  </si>
  <si>
    <t>pinayam</t>
  </si>
  <si>
    <t>pinaillasse</t>
  </si>
  <si>
    <t>/pɪnajas/</t>
  </si>
  <si>
    <t>pinayas</t>
  </si>
  <si>
    <t>pinaillassent</t>
  </si>
  <si>
    <t>pinaillasses</t>
  </si>
  <si>
    <t>pinaille</t>
  </si>
  <si>
    <t>/pɪnaj/</t>
  </si>
  <si>
    <t>pinay</t>
  </si>
  <si>
    <t>pinaillent</t>
  </si>
  <si>
    <t>pinailles</t>
  </si>
  <si>
    <t>pinasse</t>
  </si>
  <si>
    <t>/pɪnas/</t>
  </si>
  <si>
    <t>pinas</t>
  </si>
  <si>
    <t>pinasses</t>
  </si>
  <si>
    <t>pipai</t>
  </si>
  <si>
    <t>/pɪpa/</t>
  </si>
  <si>
    <t>pipa</t>
  </si>
  <si>
    <t>pipaient</t>
  </si>
  <si>
    <t>pipais</t>
  </si>
  <si>
    <t>pipait</t>
  </si>
  <si>
    <t>pipâmes</t>
  </si>
  <si>
    <t>/pɪpam/</t>
  </si>
  <si>
    <t>pipam</t>
  </si>
  <si>
    <t>pipasse</t>
  </si>
  <si>
    <t>/pɪpas/</t>
  </si>
  <si>
    <t>pipas</t>
  </si>
  <si>
    <t>pipassent</t>
  </si>
  <si>
    <t>pipasses</t>
  </si>
  <si>
    <t>pipe</t>
  </si>
  <si>
    <t>/pɪp/</t>
  </si>
  <si>
    <t>pip</t>
  </si>
  <si>
    <t>cock_sucking</t>
  </si>
  <si>
    <t>blowjob</t>
  </si>
  <si>
    <t>shriek</t>
  </si>
  <si>
    <t>shrill</t>
  </si>
  <si>
    <t>pipe_up</t>
  </si>
  <si>
    <t>organ_pipe</t>
  </si>
  <si>
    <t>pipework</t>
  </si>
  <si>
    <t>pipage</t>
  </si>
  <si>
    <t>piping</t>
  </si>
  <si>
    <t>tobacco_pipe</t>
  </si>
  <si>
    <t>tube</t>
  </si>
  <si>
    <t>pipent</t>
  </si>
  <si>
    <t>pipes</t>
  </si>
  <si>
    <t>pipi</t>
  </si>
  <si>
    <t>/pɪpi/</t>
  </si>
  <si>
    <t>peeing</t>
  </si>
  <si>
    <t>pee</t>
  </si>
  <si>
    <t>pissing</t>
  </si>
  <si>
    <t>piss</t>
  </si>
  <si>
    <t>urine</t>
  </si>
  <si>
    <t>piddle</t>
  </si>
  <si>
    <t>weewee</t>
  </si>
  <si>
    <t>pipis</t>
  </si>
  <si>
    <t>piquai</t>
  </si>
  <si>
    <t>/pɪka/</t>
  </si>
  <si>
    <t>pika</t>
  </si>
  <si>
    <t>piquaient</t>
  </si>
  <si>
    <t>piquais</t>
  </si>
  <si>
    <t>piquait</t>
  </si>
  <si>
    <t>piquâmes</t>
  </si>
  <si>
    <t>/pɪkam/</t>
  </si>
  <si>
    <t>pikam</t>
  </si>
  <si>
    <t>piquasse</t>
  </si>
  <si>
    <t>/pɪkas/</t>
  </si>
  <si>
    <t>pikas</t>
  </si>
  <si>
    <t>piquassent</t>
  </si>
  <si>
    <t>piquasses</t>
  </si>
  <si>
    <t>pique</t>
  </si>
  <si>
    <t>piquent</t>
  </si>
  <si>
    <t>piques</t>
  </si>
  <si>
    <t>piquet</t>
  </si>
  <si>
    <t>piquets</t>
  </si>
  <si>
    <t>pis</t>
  </si>
  <si>
    <t>worse</t>
  </si>
  <si>
    <t>udder</t>
  </si>
  <si>
    <t>bag</t>
  </si>
  <si>
    <t>piscine</t>
  </si>
  <si>
    <t>/pɪsɪn/</t>
  </si>
  <si>
    <t>pisin</t>
  </si>
  <si>
    <t>swimming</t>
  </si>
  <si>
    <t>swim</t>
  </si>
  <si>
    <t>swimming_pool</t>
  </si>
  <si>
    <t>swimming_bath</t>
  </si>
  <si>
    <t>natatorium</t>
  </si>
  <si>
    <t>piscines</t>
  </si>
  <si>
    <t>pissai</t>
  </si>
  <si>
    <t>/pɪsa/</t>
  </si>
  <si>
    <t>pisa</t>
  </si>
  <si>
    <t>pissaient</t>
  </si>
  <si>
    <t>pissais</t>
  </si>
  <si>
    <t>pissait</t>
  </si>
  <si>
    <t>pissâmes</t>
  </si>
  <si>
    <t>/pɪsam/</t>
  </si>
  <si>
    <t>pisam</t>
  </si>
  <si>
    <t>pissasse</t>
  </si>
  <si>
    <t>/pɪsas/</t>
  </si>
  <si>
    <t>pisas</t>
  </si>
  <si>
    <t>pissassent</t>
  </si>
  <si>
    <t>pissasses</t>
  </si>
  <si>
    <t>pisse</t>
  </si>
  <si>
    <t>/pɪs/</t>
  </si>
  <si>
    <t>pissent</t>
  </si>
  <si>
    <t>pisses</t>
  </si>
  <si>
    <t>piste</t>
  </si>
  <si>
    <t>avenue</t>
  </si>
  <si>
    <t>airfield</t>
  </si>
  <si>
    <t>landing_field</t>
  </si>
  <si>
    <t>flying_field</t>
  </si>
  <si>
    <t>field</t>
  </si>
  <si>
    <t>path</t>
  </si>
  <si>
    <t>racetrack</t>
  </si>
  <si>
    <t>racecourse</t>
  </si>
  <si>
    <t>raceway</t>
  </si>
  <si>
    <t>track</t>
  </si>
  <si>
    <t>runway</t>
  </si>
  <si>
    <t>cart_track</t>
  </si>
  <si>
    <t>cartroad</t>
  </si>
  <si>
    <t>data_track</t>
  </si>
  <si>
    <t>trail</t>
  </si>
  <si>
    <t>way</t>
  </si>
  <si>
    <t>pistent</t>
  </si>
  <si>
    <t>pistes</t>
  </si>
  <si>
    <t>pitoune</t>
  </si>
  <si>
    <t>/pɪtʊn/</t>
  </si>
  <si>
    <t>pitun</t>
  </si>
  <si>
    <t>pitounes</t>
  </si>
  <si>
    <t>pool</t>
  </si>
  <si>
    <t>/pʊl/</t>
  </si>
  <si>
    <t>pul</t>
  </si>
  <si>
    <t>pools</t>
  </si>
  <si>
    <t>pou</t>
  </si>
  <si>
    <t>/pu/</t>
  </si>
  <si>
    <t>pu</t>
  </si>
  <si>
    <t>louse</t>
  </si>
  <si>
    <t>sucking_louse</t>
  </si>
  <si>
    <t>bird_louse</t>
  </si>
  <si>
    <t>biting_louse</t>
  </si>
  <si>
    <t>plant_louse</t>
  </si>
  <si>
    <t>worm</t>
  </si>
  <si>
    <t>insect</t>
  </si>
  <si>
    <t>dirt_ball</t>
  </si>
  <si>
    <t>pouce</t>
  </si>
  <si>
    <t>/pʊs/</t>
  </si>
  <si>
    <t>boost</t>
  </si>
  <si>
    <t>hitchhike</t>
  </si>
  <si>
    <t>hitch</t>
  </si>
  <si>
    <t>thumb</t>
  </si>
  <si>
    <t>edge</t>
  </si>
  <si>
    <t>inch</t>
  </si>
  <si>
    <t>flick</t>
  </si>
  <si>
    <t>flip</t>
  </si>
  <si>
    <t>riffle</t>
  </si>
  <si>
    <t>riff</t>
  </si>
  <si>
    <t>ovolo</t>
  </si>
  <si>
    <t>quarter_round</t>
  </si>
  <si>
    <t>pollex</t>
  </si>
  <si>
    <t>big_toe</t>
  </si>
  <si>
    <t>great_toe</t>
  </si>
  <si>
    <t>hallux</t>
  </si>
  <si>
    <t>thumbnail</t>
  </si>
  <si>
    <t>column_inch</t>
  </si>
  <si>
    <t>pouces</t>
  </si>
  <si>
    <t>poulaine</t>
  </si>
  <si>
    <t>/pʊlan/</t>
  </si>
  <si>
    <t>pulan</t>
  </si>
  <si>
    <t>poulaines</t>
  </si>
  <si>
    <t>poule</t>
  </si>
  <si>
    <t>hen</t>
  </si>
  <si>
    <t>biddy</t>
  </si>
  <si>
    <t>chicken</t>
  </si>
  <si>
    <t>poules</t>
  </si>
  <si>
    <t>poulet</t>
  </si>
  <si>
    <t>/pʊla/</t>
  </si>
  <si>
    <t>pula</t>
  </si>
  <si>
    <t>chickenhearted</t>
  </si>
  <si>
    <t>lily-livered</t>
  </si>
  <si>
    <t>white-livered</t>
  </si>
  <si>
    <t>yellow</t>
  </si>
  <si>
    <t>yellow-bellied</t>
  </si>
  <si>
    <t>Gallus_gallus</t>
  </si>
  <si>
    <t>love_letter</t>
  </si>
  <si>
    <t>billet_doux</t>
  </si>
  <si>
    <t>volaille</t>
  </si>
  <si>
    <t>bull</t>
  </si>
  <si>
    <t>cop</t>
  </si>
  <si>
    <t>copper</t>
  </si>
  <si>
    <t>fuzz</t>
  </si>
  <si>
    <t>pig</t>
  </si>
  <si>
    <t>wimp</t>
  </si>
  <si>
    <t>crybaby</t>
  </si>
  <si>
    <t>poulets</t>
  </si>
  <si>
    <t>pouliche</t>
  </si>
  <si>
    <t>/pʊlɪʃ/</t>
  </si>
  <si>
    <t>pulish</t>
  </si>
  <si>
    <t>filly</t>
  </si>
  <si>
    <t>pouliches</t>
  </si>
  <si>
    <t>poulie</t>
  </si>
  <si>
    <t>/pʊli/</t>
  </si>
  <si>
    <t>puli</t>
  </si>
  <si>
    <t>pulley</t>
  </si>
  <si>
    <t>pulley-block</t>
  </si>
  <si>
    <t>pulley_block</t>
  </si>
  <si>
    <t>block</t>
  </si>
  <si>
    <t>poulies</t>
  </si>
  <si>
    <t>poulinai</t>
  </si>
  <si>
    <t>/pʊlɪna/</t>
  </si>
  <si>
    <t>pulina</t>
  </si>
  <si>
    <t>poulinaient</t>
  </si>
  <si>
    <t>poulinais</t>
  </si>
  <si>
    <t>poulinait</t>
  </si>
  <si>
    <t>poulinâmes</t>
  </si>
  <si>
    <t>/pʊlɪnam/</t>
  </si>
  <si>
    <t>pulinam</t>
  </si>
  <si>
    <t>poulinasse</t>
  </si>
  <si>
    <t>/pʊlɪnas/</t>
  </si>
  <si>
    <t>pulinas</t>
  </si>
  <si>
    <t>poulinassent</t>
  </si>
  <si>
    <t>poulinasses</t>
  </si>
  <si>
    <t>pouline</t>
  </si>
  <si>
    <t>/pʊlɪn/</t>
  </si>
  <si>
    <t>pulin</t>
  </si>
  <si>
    <t>poulinent</t>
  </si>
  <si>
    <t>poulines</t>
  </si>
  <si>
    <t>pouls</t>
  </si>
  <si>
    <t>pulse</t>
  </si>
  <si>
    <t>pulsate</t>
  </si>
  <si>
    <t>pulsation</t>
  </si>
  <si>
    <t>heartbeat</t>
  </si>
  <si>
    <t>beat</t>
  </si>
  <si>
    <t>throb</t>
  </si>
  <si>
    <t>throbbing</t>
  </si>
  <si>
    <t>pounding</t>
  </si>
  <si>
    <t>pulsing</t>
  </si>
  <si>
    <t>impulse</t>
  </si>
  <si>
    <t>pulse_rate</t>
  </si>
  <si>
    <t>heart_rate</t>
  </si>
  <si>
    <t>poupe</t>
  </si>
  <si>
    <t>/pʊp/</t>
  </si>
  <si>
    <t>pup</t>
  </si>
  <si>
    <t>stern</t>
  </si>
  <si>
    <t>strict</t>
  </si>
  <si>
    <t>exacting</t>
  </si>
  <si>
    <t>austere</t>
  </si>
  <si>
    <t>grim</t>
  </si>
  <si>
    <t>inexorable</t>
  </si>
  <si>
    <t>relentless</t>
  </si>
  <si>
    <t>unappeasable</t>
  </si>
  <si>
    <t>unforgiving</t>
  </si>
  <si>
    <t>unrelenting</t>
  </si>
  <si>
    <t>after_part</t>
  </si>
  <si>
    <t>quarter</t>
  </si>
  <si>
    <t>poop</t>
  </si>
  <si>
    <t>dope</t>
  </si>
  <si>
    <t>the_skinny</t>
  </si>
  <si>
    <t>Puppis</t>
  </si>
  <si>
    <t>nincompoop</t>
  </si>
  <si>
    <t>ninny</t>
  </si>
  <si>
    <t>Stern</t>
  </si>
  <si>
    <t>Isaac_Stern</t>
  </si>
  <si>
    <t>poupes</t>
  </si>
  <si>
    <t>poupine</t>
  </si>
  <si>
    <t>/pʊpɪn/</t>
  </si>
  <si>
    <t>pupin</t>
  </si>
  <si>
    <t>poupines</t>
  </si>
  <si>
    <t>poussai</t>
  </si>
  <si>
    <t>/pʊsa/</t>
  </si>
  <si>
    <t>pusa</t>
  </si>
  <si>
    <t>poussaient</t>
  </si>
  <si>
    <t>poussais</t>
  </si>
  <si>
    <t>poussait</t>
  </si>
  <si>
    <t>poussâmes</t>
  </si>
  <si>
    <t>/pʊsam/</t>
  </si>
  <si>
    <t>pusam</t>
  </si>
  <si>
    <t>poussasse</t>
  </si>
  <si>
    <t>/pʊsas/</t>
  </si>
  <si>
    <t>pusas</t>
  </si>
  <si>
    <t>poussassent</t>
  </si>
  <si>
    <t>poussasses</t>
  </si>
  <si>
    <t>pousse</t>
  </si>
  <si>
    <t>shoot</t>
  </si>
  <si>
    <t>spud</t>
  </si>
  <si>
    <t>germinate</t>
  </si>
  <si>
    <t>pullulate</t>
  </si>
  <si>
    <t>bourgeon</t>
  </si>
  <si>
    <t>burgeon_forth</t>
  </si>
  <si>
    <t>sprout</t>
  </si>
  <si>
    <t>poussent</t>
  </si>
  <si>
    <t>pousses</t>
  </si>
  <si>
    <t>poussine</t>
  </si>
  <si>
    <t>/pʊsɪn/</t>
  </si>
  <si>
    <t>pusin</t>
  </si>
  <si>
    <t>poussines</t>
  </si>
  <si>
    <t>quai</t>
  </si>
  <si>
    <t>/ka/</t>
  </si>
  <si>
    <t>ka</t>
  </si>
  <si>
    <t>pier</t>
  </si>
  <si>
    <t>wharf</t>
  </si>
  <si>
    <t>wharfage</t>
  </si>
  <si>
    <t>dock</t>
  </si>
  <si>
    <t>platform</t>
  </si>
  <si>
    <t>quay</t>
  </si>
  <si>
    <t>mooring</t>
  </si>
  <si>
    <t>moorage</t>
  </si>
  <si>
    <t>berth</t>
  </si>
  <si>
    <t>slip</t>
  </si>
  <si>
    <t>quais</t>
  </si>
  <si>
    <t>quel</t>
  </si>
  <si>
    <t>quelle</t>
  </si>
  <si>
    <t>quelles</t>
  </si>
  <si>
    <t>quels</t>
  </si>
  <si>
    <t>quêtai</t>
  </si>
  <si>
    <t>/kata/</t>
  </si>
  <si>
    <t>kata</t>
  </si>
  <si>
    <t>quêtaient</t>
  </si>
  <si>
    <t>quêtais</t>
  </si>
  <si>
    <t>quêtait</t>
  </si>
  <si>
    <t>quêtâmes</t>
  </si>
  <si>
    <t>/katam/</t>
  </si>
  <si>
    <t>katam</t>
  </si>
  <si>
    <t>quêtasse</t>
  </si>
  <si>
    <t>/katas/</t>
  </si>
  <si>
    <t>katas</t>
  </si>
  <si>
    <t>quêtassent</t>
  </si>
  <si>
    <t>quêtasses</t>
  </si>
  <si>
    <t>qui</t>
  </si>
  <si>
    <t>/ki/</t>
  </si>
  <si>
    <t>ki</t>
  </si>
  <si>
    <t>World_Health_Organization</t>
  </si>
  <si>
    <t>WHO</t>
  </si>
  <si>
    <t>quiche</t>
  </si>
  <si>
    <t>/kɪʃ/</t>
  </si>
  <si>
    <t>kish</t>
  </si>
  <si>
    <t>quiches</t>
  </si>
  <si>
    <t>quille</t>
  </si>
  <si>
    <t>/kɪj/</t>
  </si>
  <si>
    <t>kiy</t>
  </si>
  <si>
    <t>ninepins</t>
  </si>
  <si>
    <t>skittles</t>
  </si>
  <si>
    <t>pelvic_fin</t>
  </si>
  <si>
    <t>ventral_fin</t>
  </si>
  <si>
    <t>ninepin</t>
  </si>
  <si>
    <t>skittle</t>
  </si>
  <si>
    <t>skittle_pin</t>
  </si>
  <si>
    <t>keel</t>
  </si>
  <si>
    <t>quilles</t>
  </si>
  <si>
    <t>quinine</t>
  </si>
  <si>
    <t>/kɪnɪn/</t>
  </si>
  <si>
    <t>kinin</t>
  </si>
  <si>
    <t>cinchona</t>
  </si>
  <si>
    <t>cinchona_bark</t>
  </si>
  <si>
    <t>Peruvian_bark</t>
  </si>
  <si>
    <t>Jesuit's_bark</t>
  </si>
  <si>
    <t>quinines</t>
  </si>
  <si>
    <t>quittai</t>
  </si>
  <si>
    <t>/kɪta/</t>
  </si>
  <si>
    <t>kita</t>
  </si>
  <si>
    <t>quittaient</t>
  </si>
  <si>
    <t>quittais</t>
  </si>
  <si>
    <t>quittait</t>
  </si>
  <si>
    <t>quittâmes</t>
  </si>
  <si>
    <t>/kɪtam/</t>
  </si>
  <si>
    <t>kitam</t>
  </si>
  <si>
    <t>quittasse</t>
  </si>
  <si>
    <t>/kɪtas/</t>
  </si>
  <si>
    <t>kitas</t>
  </si>
  <si>
    <t>quittassent</t>
  </si>
  <si>
    <t>quittasses</t>
  </si>
  <si>
    <t>S</t>
  </si>
  <si>
    <t>Swedenborg</t>
  </si>
  <si>
    <t>Svedberg</t>
  </si>
  <si>
    <t>Emanuel_Swedenborg</t>
  </si>
  <si>
    <t>Emanuel_Svedberg</t>
  </si>
  <si>
    <t>second</t>
  </si>
  <si>
    <t>sec</t>
  </si>
  <si>
    <t>s'</t>
  </si>
  <si>
    <t>joint-stock_company</t>
  </si>
  <si>
    <t>sac</t>
  </si>
  <si>
    <t>/sak/</t>
  </si>
  <si>
    <t>sak</t>
  </si>
  <si>
    <t>cup_of_tea</t>
  </si>
  <si>
    <t>pocket</t>
  </si>
  <si>
    <t>bulge</t>
  </si>
  <si>
    <t>traveling_bag</t>
  </si>
  <si>
    <t>travelling_bag</t>
  </si>
  <si>
    <t>grip</t>
  </si>
  <si>
    <t>suitcase</t>
  </si>
  <si>
    <t>handbag</t>
  </si>
  <si>
    <t>pocketbook</t>
  </si>
  <si>
    <t>purse</t>
  </si>
  <si>
    <t>base</t>
  </si>
  <si>
    <t>sack</t>
  </si>
  <si>
    <t>paper_bag</t>
  </si>
  <si>
    <t>carrier_bag</t>
  </si>
  <si>
    <t>old_bag</t>
  </si>
  <si>
    <t>bagful</t>
  </si>
  <si>
    <t>pouch</t>
  </si>
  <si>
    <t>swelling</t>
  </si>
  <si>
    <t>puffiness</t>
  </si>
  <si>
    <t>lump</t>
  </si>
  <si>
    <t>SACEM</t>
  </si>
  <si>
    <t>sache</t>
  </si>
  <si>
    <t>/saʃ/</t>
  </si>
  <si>
    <t>sash</t>
  </si>
  <si>
    <t>sachent</t>
  </si>
  <si>
    <t>saches</t>
  </si>
  <si>
    <t>sachet</t>
  </si>
  <si>
    <t>/saʃa/</t>
  </si>
  <si>
    <t>sasha</t>
  </si>
  <si>
    <t>sachets</t>
  </si>
  <si>
    <t>sacquai</t>
  </si>
  <si>
    <t>/saka/</t>
  </si>
  <si>
    <t>saka</t>
  </si>
  <si>
    <t>sacquaient</t>
  </si>
  <si>
    <t>sacquais</t>
  </si>
  <si>
    <t>sacquait</t>
  </si>
  <si>
    <t>sacquâmes</t>
  </si>
  <si>
    <t>/sakam/</t>
  </si>
  <si>
    <t>sakam</t>
  </si>
  <si>
    <t>sacquasse</t>
  </si>
  <si>
    <t>/sakas/</t>
  </si>
  <si>
    <t>sakas</t>
  </si>
  <si>
    <t>sacquassent</t>
  </si>
  <si>
    <t>sacquasses</t>
  </si>
  <si>
    <t>sacque</t>
  </si>
  <si>
    <t>sacquent</t>
  </si>
  <si>
    <t>sacques</t>
  </si>
  <si>
    <t>sacre</t>
  </si>
  <si>
    <t>coronation</t>
  </si>
  <si>
    <t>enthronement</t>
  </si>
  <si>
    <t>enthronization</t>
  </si>
  <si>
    <t>enthronisation</t>
  </si>
  <si>
    <t>investiture</t>
  </si>
  <si>
    <t>sacrent</t>
  </si>
  <si>
    <t>sacres</t>
  </si>
  <si>
    <t>sacs</t>
  </si>
  <si>
    <t>saignai</t>
  </si>
  <si>
    <t>saignaient</t>
  </si>
  <si>
    <t>saignais</t>
  </si>
  <si>
    <t>saignait</t>
  </si>
  <si>
    <t>saignâmes</t>
  </si>
  <si>
    <t>/saɲam/</t>
  </si>
  <si>
    <t>sañam</t>
  </si>
  <si>
    <t>saignasse</t>
  </si>
  <si>
    <t>/saɲas/</t>
  </si>
  <si>
    <t>sañas</t>
  </si>
  <si>
    <t>saignassent</t>
  </si>
  <si>
    <t>saignasses</t>
  </si>
  <si>
    <t>saigne</t>
  </si>
  <si>
    <t>saignent</t>
  </si>
  <si>
    <t>saignes</t>
  </si>
  <si>
    <t>saillie</t>
  </si>
  <si>
    <t>/saji/</t>
  </si>
  <si>
    <t>sayi</t>
  </si>
  <si>
    <t>protrusion</t>
  </si>
  <si>
    <t>projection</t>
  </si>
  <si>
    <t>jut</t>
  </si>
  <si>
    <t>jutting</t>
  </si>
  <si>
    <t>sexual_intercourse</t>
  </si>
  <si>
    <t>intercourse</t>
  </si>
  <si>
    <t>sex_act</t>
  </si>
  <si>
    <t>copulation</t>
  </si>
  <si>
    <t>coitus</t>
  </si>
  <si>
    <t>coition</t>
  </si>
  <si>
    <t>sexual_congress</t>
  </si>
  <si>
    <t>congress</t>
  </si>
  <si>
    <t>sexual_relation</t>
  </si>
  <si>
    <t>relation</t>
  </si>
  <si>
    <t>carnal_knowledge</t>
  </si>
  <si>
    <t>project</t>
  </si>
  <si>
    <t>acoustic_projection</t>
  </si>
  <si>
    <t>sound_projection</t>
  </si>
  <si>
    <t>bump</t>
  </si>
  <si>
    <t>hump</t>
  </si>
  <si>
    <t>gibbosity</t>
  </si>
  <si>
    <t>gibbousness</t>
  </si>
  <si>
    <t>prominence</t>
  </si>
  <si>
    <t>protuberance</t>
  </si>
  <si>
    <t>extrusion</t>
  </si>
  <si>
    <t>excrescence</t>
  </si>
  <si>
    <t>saillies</t>
  </si>
  <si>
    <t>saine</t>
  </si>
  <si>
    <t>saines</t>
  </si>
  <si>
    <t>sais</t>
  </si>
  <si>
    <t>sait</t>
  </si>
  <si>
    <t>salace</t>
  </si>
  <si>
    <t>/salas/</t>
  </si>
  <si>
    <t>salas</t>
  </si>
  <si>
    <t>lewd</t>
  </si>
  <si>
    <t>obscene</t>
  </si>
  <si>
    <t>raunchy</t>
  </si>
  <si>
    <t>salacious</t>
  </si>
  <si>
    <t>lubricious</t>
  </si>
  <si>
    <t>lustful</t>
  </si>
  <si>
    <t>prurient</t>
  </si>
  <si>
    <t>salaces</t>
  </si>
  <si>
    <t>salai</t>
  </si>
  <si>
    <t>/sala/</t>
  </si>
  <si>
    <t>sala</t>
  </si>
  <si>
    <t>salaient</t>
  </si>
  <si>
    <t>salais</t>
  </si>
  <si>
    <t>salait</t>
  </si>
  <si>
    <t>salamalecs</t>
  </si>
  <si>
    <t>/salamalak/</t>
  </si>
  <si>
    <t>salamalak</t>
  </si>
  <si>
    <t>salâmes</t>
  </si>
  <si>
    <t>/salam/</t>
  </si>
  <si>
    <t>salam</t>
  </si>
  <si>
    <t>salami</t>
  </si>
  <si>
    <t>/salami/</t>
  </si>
  <si>
    <t>salamis</t>
  </si>
  <si>
    <t>salasse</t>
  </si>
  <si>
    <t>salassent</t>
  </si>
  <si>
    <t>salasses</t>
  </si>
  <si>
    <t>sale</t>
  </si>
  <si>
    <t>dirty</t>
  </si>
  <si>
    <t>soiled</t>
  </si>
  <si>
    <t>unclean</t>
  </si>
  <si>
    <t>contaminating</t>
  </si>
  <si>
    <t>cheating</t>
  </si>
  <si>
    <t>foul</t>
  </si>
  <si>
    <t>unsporting</t>
  </si>
  <si>
    <t>unsportsmanlike</t>
  </si>
  <si>
    <t>ill-gotten</t>
  </si>
  <si>
    <t>marked-up</t>
  </si>
  <si>
    <t>filthy</t>
  </si>
  <si>
    <t>lousy</t>
  </si>
  <si>
    <t>dingy</t>
  </si>
  <si>
    <t>muddied</t>
  </si>
  <si>
    <t>muddy</t>
  </si>
  <si>
    <t>pestiferous</t>
  </si>
  <si>
    <t>salent</t>
  </si>
  <si>
    <t>sales</t>
  </si>
  <si>
    <t>sali</t>
  </si>
  <si>
    <t>/sali/</t>
  </si>
  <si>
    <t>salicylique</t>
  </si>
  <si>
    <t>/salɪsɪlɪk/</t>
  </si>
  <si>
    <t>salisilik</t>
  </si>
  <si>
    <t>salicyliques</t>
  </si>
  <si>
    <t>salie</t>
  </si>
  <si>
    <t>salies</t>
  </si>
  <si>
    <t>salîmes</t>
  </si>
  <si>
    <t>/salɪm/</t>
  </si>
  <si>
    <t>salim</t>
  </si>
  <si>
    <t>saline</t>
  </si>
  <si>
    <t>/salɪn/</t>
  </si>
  <si>
    <t>salin</t>
  </si>
  <si>
    <t>salines</t>
  </si>
  <si>
    <t>salique</t>
  </si>
  <si>
    <t>/salɪk/</t>
  </si>
  <si>
    <t>salik</t>
  </si>
  <si>
    <t>saliques</t>
  </si>
  <si>
    <t>salis</t>
  </si>
  <si>
    <t>salissaient</t>
  </si>
  <si>
    <t>/salɪsa/</t>
  </si>
  <si>
    <t>salisa</t>
  </si>
  <si>
    <t>salissais</t>
  </si>
  <si>
    <t>salissait</t>
  </si>
  <si>
    <t>salisse</t>
  </si>
  <si>
    <t>/salɪs/</t>
  </si>
  <si>
    <t>salissent</t>
  </si>
  <si>
    <t>salisses</t>
  </si>
  <si>
    <t>salit</t>
  </si>
  <si>
    <t>salît</t>
  </si>
  <si>
    <t>salle</t>
  </si>
  <si>
    <t>chamber</t>
  </si>
  <si>
    <t>board</t>
  </si>
  <si>
    <t>room</t>
  </si>
  <si>
    <t>bedroom</t>
  </si>
  <si>
    <t>sleeping_room</t>
  </si>
  <si>
    <t>sleeping_accommodation</t>
  </si>
  <si>
    <t>bedchamber</t>
  </si>
  <si>
    <t>cellblock</t>
  </si>
  <si>
    <t>ward</t>
  </si>
  <si>
    <t>hall</t>
  </si>
  <si>
    <t>hospital_ward</t>
  </si>
  <si>
    <t>suite</t>
  </si>
  <si>
    <t>salles</t>
  </si>
  <si>
    <t>saloon</t>
  </si>
  <si>
    <t>/salʊn/</t>
  </si>
  <si>
    <t>salun</t>
  </si>
  <si>
    <t>saloons</t>
  </si>
  <si>
    <t>Sam</t>
  </si>
  <si>
    <t>/sam/</t>
  </si>
  <si>
    <t>sam</t>
  </si>
  <si>
    <t>saoul</t>
  </si>
  <si>
    <t>/su/</t>
  </si>
  <si>
    <t>su</t>
  </si>
  <si>
    <t>saoulai</t>
  </si>
  <si>
    <t>/sʊla/</t>
  </si>
  <si>
    <t>sula</t>
  </si>
  <si>
    <t>saoulaient</t>
  </si>
  <si>
    <t>saoulais</t>
  </si>
  <si>
    <t>saoulait</t>
  </si>
  <si>
    <t>saoulâmes</t>
  </si>
  <si>
    <t>/sʊlam/</t>
  </si>
  <si>
    <t>sulam</t>
  </si>
  <si>
    <t>saoulasse</t>
  </si>
  <si>
    <t>/sʊlas/</t>
  </si>
  <si>
    <t>sulas</t>
  </si>
  <si>
    <t>saoulassent</t>
  </si>
  <si>
    <t>saoulasses</t>
  </si>
  <si>
    <t>saoule</t>
  </si>
  <si>
    <t>/sʊl/</t>
  </si>
  <si>
    <t>sul</t>
  </si>
  <si>
    <t>saoulent</t>
  </si>
  <si>
    <t>saoules</t>
  </si>
  <si>
    <t>saouls</t>
  </si>
  <si>
    <t>sapai</t>
  </si>
  <si>
    <t>/sapa/</t>
  </si>
  <si>
    <t>sapa</t>
  </si>
  <si>
    <t>sapaient</t>
  </si>
  <si>
    <t>sapais</t>
  </si>
  <si>
    <t>sapait</t>
  </si>
  <si>
    <t>sapâmes</t>
  </si>
  <si>
    <t>/sapam/</t>
  </si>
  <si>
    <t>sapam</t>
  </si>
  <si>
    <t>sapasse</t>
  </si>
  <si>
    <t>/sapas/</t>
  </si>
  <si>
    <t>sapas</t>
  </si>
  <si>
    <t>sapassent</t>
  </si>
  <si>
    <t>sapasses</t>
  </si>
  <si>
    <t>sape</t>
  </si>
  <si>
    <t>sapent</t>
  </si>
  <si>
    <t>sapes</t>
  </si>
  <si>
    <t>sapine</t>
  </si>
  <si>
    <t>/sapɪn/</t>
  </si>
  <si>
    <t>sapin</t>
  </si>
  <si>
    <t>sapines</t>
  </si>
  <si>
    <t>saquai</t>
  </si>
  <si>
    <t>saquaient</t>
  </si>
  <si>
    <t>saquais</t>
  </si>
  <si>
    <t>saquait</t>
  </si>
  <si>
    <t>saquâmes</t>
  </si>
  <si>
    <t>saquasse</t>
  </si>
  <si>
    <t>saquassent</t>
  </si>
  <si>
    <t>saquasses</t>
  </si>
  <si>
    <t>saque</t>
  </si>
  <si>
    <t>saquent</t>
  </si>
  <si>
    <t>saques</t>
  </si>
  <si>
    <t>airlock</t>
  </si>
  <si>
    <t>air_lock</t>
  </si>
  <si>
    <t>Special_Air_Service</t>
  </si>
  <si>
    <t>SAS</t>
  </si>
  <si>
    <t>satanique</t>
  </si>
  <si>
    <t>/satanɪk/</t>
  </si>
  <si>
    <t>satanik</t>
  </si>
  <si>
    <t>demonic</t>
  </si>
  <si>
    <t>diabolic</t>
  </si>
  <si>
    <t>diabolical</t>
  </si>
  <si>
    <t>fiendish</t>
  </si>
  <si>
    <t>hellish</t>
  </si>
  <si>
    <t>infernal</t>
  </si>
  <si>
    <t>satanic</t>
  </si>
  <si>
    <t>unholy</t>
  </si>
  <si>
    <t>sataniques</t>
  </si>
  <si>
    <t>satanisme</t>
  </si>
  <si>
    <t>/satanɪs/</t>
  </si>
  <si>
    <t>satanis</t>
  </si>
  <si>
    <t>diabolism</t>
  </si>
  <si>
    <t>demonism</t>
  </si>
  <si>
    <t>Satanism</t>
  </si>
  <si>
    <t>satanismes</t>
  </si>
  <si>
    <t>scène</t>
  </si>
  <si>
    <t>stage</t>
  </si>
  <si>
    <t>leg</t>
  </si>
  <si>
    <t>view</t>
  </si>
  <si>
    <t>scenery</t>
  </si>
  <si>
    <t>microscope_stage</t>
  </si>
  <si>
    <t>setting</t>
  </si>
  <si>
    <t>picture</t>
  </si>
  <si>
    <t>fit</t>
  </si>
  <si>
    <t>tantrum</t>
  </si>
  <si>
    <t>conniption</t>
  </si>
  <si>
    <t>scènes</t>
  </si>
  <si>
    <t>schisme</t>
  </si>
  <si>
    <t>/ʃɪs/</t>
  </si>
  <si>
    <t>shis</t>
  </si>
  <si>
    <t>schism</t>
  </si>
  <si>
    <t>split</t>
  </si>
  <si>
    <t>schismes</t>
  </si>
  <si>
    <t>schiste</t>
  </si>
  <si>
    <t>schist</t>
  </si>
  <si>
    <t>shale</t>
  </si>
  <si>
    <t>schistes</t>
  </si>
  <si>
    <t>schuss</t>
  </si>
  <si>
    <t>/ʃʊs/</t>
  </si>
  <si>
    <t>shus</t>
  </si>
  <si>
    <t>scie</t>
  </si>
  <si>
    <t>cat's_cradle</t>
  </si>
  <si>
    <t>hacksaw</t>
  </si>
  <si>
    <t>hack_saw</t>
  </si>
  <si>
    <t>metal_saw</t>
  </si>
  <si>
    <t>power_saw</t>
  </si>
  <si>
    <t>saw</t>
  </si>
  <si>
    <t>sawing_machine</t>
  </si>
  <si>
    <t>proverb</t>
  </si>
  <si>
    <t>adage</t>
  </si>
  <si>
    <t>byword</t>
  </si>
  <si>
    <t>scient</t>
  </si>
  <si>
    <t>scies</t>
  </si>
  <si>
    <t>dry</t>
  </si>
  <si>
    <t>dry_out</t>
  </si>
  <si>
    <t>teetotal</t>
  </si>
  <si>
    <t>ironic</t>
  </si>
  <si>
    <t>ironical</t>
  </si>
  <si>
    <t>wry</t>
  </si>
  <si>
    <t>juiceless</t>
  </si>
  <si>
    <t>arid</t>
  </si>
  <si>
    <t>waterless</t>
  </si>
  <si>
    <t>dried</t>
  </si>
  <si>
    <t>dried-up</t>
  </si>
  <si>
    <t>sere</t>
  </si>
  <si>
    <t>sear</t>
  </si>
  <si>
    <t>shriveled</t>
  </si>
  <si>
    <t>shrivelled</t>
  </si>
  <si>
    <t>withered</t>
  </si>
  <si>
    <t>prohibitionist</t>
  </si>
  <si>
    <t>dryness</t>
  </si>
  <si>
    <t>waterlessness</t>
  </si>
  <si>
    <t>xerotes</t>
  </si>
  <si>
    <t>sèche</t>
  </si>
  <si>
    <t>sèchent</t>
  </si>
  <si>
    <t>sèches</t>
  </si>
  <si>
    <t>secs</t>
  </si>
  <si>
    <t>secte</t>
  </si>
  <si>
    <t>fad</t>
  </si>
  <si>
    <t>craze</t>
  </si>
  <si>
    <t>furor</t>
  </si>
  <si>
    <t>furore</t>
  </si>
  <si>
    <t>cult</t>
  </si>
  <si>
    <t>rage</t>
  </si>
  <si>
    <t>sect</t>
  </si>
  <si>
    <t>religious_sect</t>
  </si>
  <si>
    <t>religious_order</t>
  </si>
  <si>
    <t>faction</t>
  </si>
  <si>
    <t>sectes</t>
  </si>
  <si>
    <t>seiche</t>
  </si>
  <si>
    <t>squid</t>
  </si>
  <si>
    <t>cuttlefish</t>
  </si>
  <si>
    <t>cuttle</t>
  </si>
  <si>
    <t>seiches</t>
  </si>
  <si>
    <t>Seine</t>
  </si>
  <si>
    <t>seine</t>
  </si>
  <si>
    <t>Seine_River</t>
  </si>
  <si>
    <t>/sɪn/</t>
  </si>
  <si>
    <t>sin</t>
  </si>
  <si>
    <t>seines</t>
  </si>
  <si>
    <t>sel</t>
  </si>
  <si>
    <t>salt</t>
  </si>
  <si>
    <t>salty</t>
  </si>
  <si>
    <t>saltiness</t>
  </si>
  <si>
    <t>salinity</t>
  </si>
  <si>
    <t>Strategic_Arms_Limitation_Talks</t>
  </si>
  <si>
    <t>SALT</t>
  </si>
  <si>
    <t>table_salt</t>
  </si>
  <si>
    <t>common_salt</t>
  </si>
  <si>
    <t>sellai</t>
  </si>
  <si>
    <t>sellaient</t>
  </si>
  <si>
    <t>sellais</t>
  </si>
  <si>
    <t>sellait</t>
  </si>
  <si>
    <t>sellâmes</t>
  </si>
  <si>
    <t>sellasse</t>
  </si>
  <si>
    <t>sellassent</t>
  </si>
  <si>
    <t>sellasses</t>
  </si>
  <si>
    <t>selle</t>
  </si>
  <si>
    <t>charge</t>
  </si>
  <si>
    <t>saddle</t>
  </si>
  <si>
    <t>burden</t>
  </si>
  <si>
    <t>bicycle_seat</t>
  </si>
  <si>
    <t>yoke</t>
  </si>
  <si>
    <t>saddleback</t>
  </si>
  <si>
    <t>sellent</t>
  </si>
  <si>
    <t>selles</t>
  </si>
  <si>
    <t>sels</t>
  </si>
  <si>
    <t>SEM</t>
  </si>
  <si>
    <t>Shem</t>
  </si>
  <si>
    <t>sème</t>
  </si>
  <si>
    <t>sèmes</t>
  </si>
  <si>
    <t>senne</t>
  </si>
  <si>
    <t>sennes</t>
  </si>
  <si>
    <t>Seychelles</t>
  </si>
  <si>
    <t>/saʃal/</t>
  </si>
  <si>
    <t>sashal</t>
  </si>
  <si>
    <t>Seychelles_islands</t>
  </si>
  <si>
    <t>Republic_of_Seychelles</t>
  </si>
  <si>
    <t>shootai</t>
  </si>
  <si>
    <t>/ʃʊta/</t>
  </si>
  <si>
    <t>shuta</t>
  </si>
  <si>
    <t>shootaient</t>
  </si>
  <si>
    <t>shootais</t>
  </si>
  <si>
    <t>shootait</t>
  </si>
  <si>
    <t>shootâmes</t>
  </si>
  <si>
    <t>/ʃʊtam/</t>
  </si>
  <si>
    <t>shutam</t>
  </si>
  <si>
    <t>shootasse</t>
  </si>
  <si>
    <t>/ʃʊtas/</t>
  </si>
  <si>
    <t>shutas</t>
  </si>
  <si>
    <t>shootassent</t>
  </si>
  <si>
    <t>shootasses</t>
  </si>
  <si>
    <t>so</t>
  </si>
  <si>
    <t>yes</t>
  </si>
  <si>
    <t>Systeme_International_d'Unites</t>
  </si>
  <si>
    <t>Systeme_International</t>
  </si>
  <si>
    <t>SI_system</t>
  </si>
  <si>
    <t>SI</t>
  </si>
  <si>
    <t>SI_unit</t>
  </si>
  <si>
    <t>International_System_of_Units</t>
  </si>
  <si>
    <t>International_System</t>
  </si>
  <si>
    <t>silicon</t>
  </si>
  <si>
    <t>Si</t>
  </si>
  <si>
    <t>atomic_number_14</t>
  </si>
  <si>
    <t>sic</t>
  </si>
  <si>
    <t>Sicile</t>
  </si>
  <si>
    <t>/sɪsɪl/</t>
  </si>
  <si>
    <t>sisil</t>
  </si>
  <si>
    <t>Sicily</t>
  </si>
  <si>
    <t>Sicilia</t>
  </si>
  <si>
    <t>signai</t>
  </si>
  <si>
    <t>/siɲa/</t>
  </si>
  <si>
    <t>siña</t>
  </si>
  <si>
    <t>signaient</t>
  </si>
  <si>
    <t>signais</t>
  </si>
  <si>
    <t>signait</t>
  </si>
  <si>
    <t>signal</t>
  </si>
  <si>
    <t>/siɲal/</t>
  </si>
  <si>
    <t>siñal</t>
  </si>
  <si>
    <t>sign</t>
  </si>
  <si>
    <t>signalize</t>
  </si>
  <si>
    <t>signalise</t>
  </si>
  <si>
    <t>message</t>
  </si>
  <si>
    <t>signaling</t>
  </si>
  <si>
    <t>signalai</t>
  </si>
  <si>
    <t>/siɲala/</t>
  </si>
  <si>
    <t>siñala</t>
  </si>
  <si>
    <t>signalaient</t>
  </si>
  <si>
    <t>signalais</t>
  </si>
  <si>
    <t>signalait</t>
  </si>
  <si>
    <t>signalâmes</t>
  </si>
  <si>
    <t>/siɲalam/</t>
  </si>
  <si>
    <t>siñalam</t>
  </si>
  <si>
    <t>signalasse</t>
  </si>
  <si>
    <t>/siɲalas/</t>
  </si>
  <si>
    <t>siñalas</t>
  </si>
  <si>
    <t>signalassent</t>
  </si>
  <si>
    <t>signalasses</t>
  </si>
  <si>
    <t>signale</t>
  </si>
  <si>
    <t>signalent</t>
  </si>
  <si>
    <t>signales</t>
  </si>
  <si>
    <t>signâmes</t>
  </si>
  <si>
    <t>/siɲam/</t>
  </si>
  <si>
    <t>siñam</t>
  </si>
  <si>
    <t>signasse</t>
  </si>
  <si>
    <t>/siɲas/</t>
  </si>
  <si>
    <t>siñas</t>
  </si>
  <si>
    <t>signassent</t>
  </si>
  <si>
    <t>signasses</t>
  </si>
  <si>
    <t>signe</t>
  </si>
  <si>
    <t>mark</t>
  </si>
  <si>
    <t>sign_of_the_zodiac</t>
  </si>
  <si>
    <t>star_sign</t>
  </si>
  <si>
    <t>mansion</t>
  </si>
  <si>
    <t>house</t>
  </si>
  <si>
    <t>planetary_house</t>
  </si>
  <si>
    <t>polarity</t>
  </si>
  <si>
    <t>signent</t>
  </si>
  <si>
    <t>signes</t>
  </si>
  <si>
    <t>signet</t>
  </si>
  <si>
    <t>bookmark</t>
  </si>
  <si>
    <t>bookmarker</t>
  </si>
  <si>
    <t>signets</t>
  </si>
  <si>
    <t>sikh</t>
  </si>
  <si>
    <t>silice</t>
  </si>
  <si>
    <t>silica</t>
  </si>
  <si>
    <t>silicon_oxide</t>
  </si>
  <si>
    <t>silicon_dioxide</t>
  </si>
  <si>
    <t>sils</t>
  </si>
  <si>
    <t>simili</t>
  </si>
  <si>
    <t>/sɪmɪli/</t>
  </si>
  <si>
    <t>similis</t>
  </si>
  <si>
    <t>simoun</t>
  </si>
  <si>
    <t>/sɪmʊn/</t>
  </si>
  <si>
    <t>simun</t>
  </si>
  <si>
    <t>simoom</t>
  </si>
  <si>
    <t>simoon</t>
  </si>
  <si>
    <t>samiel</t>
  </si>
  <si>
    <t>simouns</t>
  </si>
  <si>
    <t>Sinaï</t>
  </si>
  <si>
    <t>/sɪnaj/</t>
  </si>
  <si>
    <t>sinay</t>
  </si>
  <si>
    <t>Sinai</t>
  </si>
  <si>
    <t>Sinai_Peninsula</t>
  </si>
  <si>
    <t>Sinai_Desert</t>
  </si>
  <si>
    <t>Mount_Sinai</t>
  </si>
  <si>
    <t>sinistre</t>
  </si>
  <si>
    <t>chilling</t>
  </si>
  <si>
    <t>scarey</t>
  </si>
  <si>
    <t>scary</t>
  </si>
  <si>
    <t>shivery</t>
  </si>
  <si>
    <t>shuddery</t>
  </si>
  <si>
    <t>ghastly</t>
  </si>
  <si>
    <t>grisly</t>
  </si>
  <si>
    <t>gruesome</t>
  </si>
  <si>
    <t>macabre</t>
  </si>
  <si>
    <t>insurance_claim</t>
  </si>
  <si>
    <t>sinistres</t>
  </si>
  <si>
    <t>sis</t>
  </si>
  <si>
    <t>located</t>
  </si>
  <si>
    <t>placed</t>
  </si>
  <si>
    <t>set</t>
  </si>
  <si>
    <t>situated</t>
  </si>
  <si>
    <t>sister</t>
  </si>
  <si>
    <t>sou</t>
  </si>
  <si>
    <t>penny</t>
  </si>
  <si>
    <t>souche</t>
  </si>
  <si>
    <t>/sʊʃ/</t>
  </si>
  <si>
    <t>sush</t>
  </si>
  <si>
    <t>striving</t>
  </si>
  <si>
    <t>nisus</t>
  </si>
  <si>
    <t>pains</t>
  </si>
  <si>
    <t>strain</t>
  </si>
  <si>
    <t>shank</t>
  </si>
  <si>
    <t>stem</t>
  </si>
  <si>
    <t>tenor</t>
  </si>
  <si>
    <t>souches</t>
  </si>
  <si>
    <t>souci</t>
  </si>
  <si>
    <t>/sʊsi/</t>
  </si>
  <si>
    <t>susi</t>
  </si>
  <si>
    <t>worry</t>
  </si>
  <si>
    <t>care</t>
  </si>
  <si>
    <t>concern</t>
  </si>
  <si>
    <t>headache</t>
  </si>
  <si>
    <t>vexation</t>
  </si>
  <si>
    <t>sake</t>
  </si>
  <si>
    <t>edginess</t>
  </si>
  <si>
    <t>uneasiness</t>
  </si>
  <si>
    <t>inquietude</t>
  </si>
  <si>
    <t>disquietude</t>
  </si>
  <si>
    <t>marigold</t>
  </si>
  <si>
    <t>soucie</t>
  </si>
  <si>
    <t>soucient</t>
  </si>
  <si>
    <t>soucies</t>
  </si>
  <si>
    <t>soucis</t>
  </si>
  <si>
    <t>calendula</t>
  </si>
  <si>
    <t>soucoupe</t>
  </si>
  <si>
    <t>/sʊkʊp/</t>
  </si>
  <si>
    <t>sukup</t>
  </si>
  <si>
    <t>discus</t>
  </si>
  <si>
    <t>saucer</t>
  </si>
  <si>
    <t>dish_aerial</t>
  </si>
  <si>
    <t>dish_antenna</t>
  </si>
  <si>
    <t>disk</t>
  </si>
  <si>
    <t>disc</t>
  </si>
  <si>
    <t>soucoupes</t>
  </si>
  <si>
    <t>souillai</t>
  </si>
  <si>
    <t>/sʊja/</t>
  </si>
  <si>
    <t>suya</t>
  </si>
  <si>
    <t>souillaient</t>
  </si>
  <si>
    <t>souillais</t>
  </si>
  <si>
    <t>souillait</t>
  </si>
  <si>
    <t>souillâmes</t>
  </si>
  <si>
    <t>/sʊjam/</t>
  </si>
  <si>
    <t>suyam</t>
  </si>
  <si>
    <t>souillasse</t>
  </si>
  <si>
    <t>/sʊjas/</t>
  </si>
  <si>
    <t>suyas</t>
  </si>
  <si>
    <t>souillassent</t>
  </si>
  <si>
    <t>souillasses</t>
  </si>
  <si>
    <t>souille</t>
  </si>
  <si>
    <t>/sʊj/</t>
  </si>
  <si>
    <t>suy</t>
  </si>
  <si>
    <t>souillent</t>
  </si>
  <si>
    <t>souilles</t>
  </si>
  <si>
    <t>souk</t>
  </si>
  <si>
    <t>/sʊk/</t>
  </si>
  <si>
    <t>suk</t>
  </si>
  <si>
    <t>souks</t>
  </si>
  <si>
    <t>soûl</t>
  </si>
  <si>
    <t>soûlai</t>
  </si>
  <si>
    <t>soûlaient</t>
  </si>
  <si>
    <t>soûlais</t>
  </si>
  <si>
    <t>soûlait</t>
  </si>
  <si>
    <t>soûlâmes</t>
  </si>
  <si>
    <t>soûlasse</t>
  </si>
  <si>
    <t>soûlassent</t>
  </si>
  <si>
    <t>soûlasses</t>
  </si>
  <si>
    <t>soûle</t>
  </si>
  <si>
    <t>soûlent</t>
  </si>
  <si>
    <t>soûles</t>
  </si>
  <si>
    <t>soulignai</t>
  </si>
  <si>
    <t>/sʊliɲa/</t>
  </si>
  <si>
    <t>suliña</t>
  </si>
  <si>
    <t>soulignaient</t>
  </si>
  <si>
    <t>soulignais</t>
  </si>
  <si>
    <t>soulignait</t>
  </si>
  <si>
    <t>soulignâmes</t>
  </si>
  <si>
    <t>/sʊliɲam/</t>
  </si>
  <si>
    <t>suliñam</t>
  </si>
  <si>
    <t>soulignasse</t>
  </si>
  <si>
    <t>/sʊliɲas/</t>
  </si>
  <si>
    <t>suliñas</t>
  </si>
  <si>
    <t>soulignassent</t>
  </si>
  <si>
    <t>soulignasses</t>
  </si>
  <si>
    <t>souligne</t>
  </si>
  <si>
    <t>/sʊliɲ/</t>
  </si>
  <si>
    <t>suliñ</t>
  </si>
  <si>
    <t>soulignent</t>
  </si>
  <si>
    <t>soulignes</t>
  </si>
  <si>
    <t>soûls</t>
  </si>
  <si>
    <t>soumet</t>
  </si>
  <si>
    <t>/sʊma/</t>
  </si>
  <si>
    <t>suma</t>
  </si>
  <si>
    <t>soumets</t>
  </si>
  <si>
    <t>soumettaient</t>
  </si>
  <si>
    <t>/sʊmata/</t>
  </si>
  <si>
    <t>sumata</t>
  </si>
  <si>
    <t>soumettais</t>
  </si>
  <si>
    <t>soumettait</t>
  </si>
  <si>
    <t>soumîmes</t>
  </si>
  <si>
    <t>/sʊmɪm/</t>
  </si>
  <si>
    <t>sumim</t>
  </si>
  <si>
    <t>soumis</t>
  </si>
  <si>
    <t>/sʊmi/</t>
  </si>
  <si>
    <t>sumi</t>
  </si>
  <si>
    <t>soumisse</t>
  </si>
  <si>
    <t>/sʊmɪs/</t>
  </si>
  <si>
    <t>sumis</t>
  </si>
  <si>
    <t>soumissent</t>
  </si>
  <si>
    <t>soumisses</t>
  </si>
  <si>
    <t>soumit</t>
  </si>
  <si>
    <t>soumît</t>
  </si>
  <si>
    <t>soupai</t>
  </si>
  <si>
    <t>/sʊpa/</t>
  </si>
  <si>
    <t>supa</t>
  </si>
  <si>
    <t>soupaient</t>
  </si>
  <si>
    <t>soupais</t>
  </si>
  <si>
    <t>soupait</t>
  </si>
  <si>
    <t>soupâmes</t>
  </si>
  <si>
    <t>/sʊpam/</t>
  </si>
  <si>
    <t>supam</t>
  </si>
  <si>
    <t>soupape</t>
  </si>
  <si>
    <t>/sʊpap/</t>
  </si>
  <si>
    <t>supap</t>
  </si>
  <si>
    <t>poppet</t>
  </si>
  <si>
    <t>poppet_valve</t>
  </si>
  <si>
    <t>valve</t>
  </si>
  <si>
    <t>soupapes</t>
  </si>
  <si>
    <t>soupasse</t>
  </si>
  <si>
    <t>/sʊpas/</t>
  </si>
  <si>
    <t>supas</t>
  </si>
  <si>
    <t>soupassent</t>
  </si>
  <si>
    <t>soupasses</t>
  </si>
  <si>
    <t>soupe</t>
  </si>
  <si>
    <t>/sʊp/</t>
  </si>
  <si>
    <t>sup</t>
  </si>
  <si>
    <t>soup</t>
  </si>
  <si>
    <t>soupent</t>
  </si>
  <si>
    <t>soupes</t>
  </si>
  <si>
    <t>souquai</t>
  </si>
  <si>
    <t>/sʊka/</t>
  </si>
  <si>
    <t>suka</t>
  </si>
  <si>
    <t>souquaient</t>
  </si>
  <si>
    <t>souquais</t>
  </si>
  <si>
    <t>souquait</t>
  </si>
  <si>
    <t>souquâmes</t>
  </si>
  <si>
    <t>/sʊkam/</t>
  </si>
  <si>
    <t>sukam</t>
  </si>
  <si>
    <t>souquasse</t>
  </si>
  <si>
    <t>/sʊkas/</t>
  </si>
  <si>
    <t>sukas</t>
  </si>
  <si>
    <t>souquassent</t>
  </si>
  <si>
    <t>souquasses</t>
  </si>
  <si>
    <t>souque</t>
  </si>
  <si>
    <t>souquent</t>
  </si>
  <si>
    <t>souques</t>
  </si>
  <si>
    <t>sous</t>
  </si>
  <si>
    <t>sous-couche</t>
  </si>
  <si>
    <t>/sʊkʊʃ/</t>
  </si>
  <si>
    <t>sukush</t>
  </si>
  <si>
    <t>flat_coat</t>
  </si>
  <si>
    <t>ground</t>
  </si>
  <si>
    <t>primer</t>
  </si>
  <si>
    <t>priming</t>
  </si>
  <si>
    <t>primer_coat</t>
  </si>
  <si>
    <t>priming_coat</t>
  </si>
  <si>
    <t>undercoat</t>
  </si>
  <si>
    <t>sous-couches</t>
  </si>
  <si>
    <t>sous-loue</t>
  </si>
  <si>
    <t>/sʊlu/</t>
  </si>
  <si>
    <t>sulu</t>
  </si>
  <si>
    <t>sous-louent</t>
  </si>
  <si>
    <t>sous-loues</t>
  </si>
  <si>
    <t>sous-ministre</t>
  </si>
  <si>
    <t>/sʊmɪnɪs/</t>
  </si>
  <si>
    <t>suminis</t>
  </si>
  <si>
    <t>sous-nappe</t>
  </si>
  <si>
    <t>/sʊnap/</t>
  </si>
  <si>
    <t>sunap</t>
  </si>
  <si>
    <t>sous-nappes</t>
  </si>
  <si>
    <t>sous-tasse</t>
  </si>
  <si>
    <t>/sʊtas/</t>
  </si>
  <si>
    <t>sutas</t>
  </si>
  <si>
    <t>sous-tasses</t>
  </si>
  <si>
    <t>soutane</t>
  </si>
  <si>
    <t>/sʊtan/</t>
  </si>
  <si>
    <t>sutan</t>
  </si>
  <si>
    <t>cassock</t>
  </si>
  <si>
    <t>soutanes</t>
  </si>
  <si>
    <t>ta</t>
  </si>
  <si>
    <t>/ta/</t>
  </si>
  <si>
    <t>tantalum</t>
  </si>
  <si>
    <t>Ta</t>
  </si>
  <si>
    <t>atomic_number_73</t>
  </si>
  <si>
    <t>tac</t>
  </si>
  <si>
    <t>/tak/</t>
  </si>
  <si>
    <t>tak</t>
  </si>
  <si>
    <t>tachai</t>
  </si>
  <si>
    <t>/taʃa/</t>
  </si>
  <si>
    <t>tasha</t>
  </si>
  <si>
    <t>tâchai</t>
  </si>
  <si>
    <t>tachaient</t>
  </si>
  <si>
    <t>tâchaient</t>
  </si>
  <si>
    <t>tachais</t>
  </si>
  <si>
    <t>tâchais</t>
  </si>
  <si>
    <t>tachait</t>
  </si>
  <si>
    <t>tâchait</t>
  </si>
  <si>
    <t>tachâmes</t>
  </si>
  <si>
    <t>/taʃam/</t>
  </si>
  <si>
    <t>tasham</t>
  </si>
  <si>
    <t>tâchâmes</t>
  </si>
  <si>
    <t>tachasse</t>
  </si>
  <si>
    <t>/taʃas/</t>
  </si>
  <si>
    <t>tashas</t>
  </si>
  <si>
    <t>tâchasse</t>
  </si>
  <si>
    <t>tachassent</t>
  </si>
  <si>
    <t>tâchassent</t>
  </si>
  <si>
    <t>tachasses</t>
  </si>
  <si>
    <t>tâchasses</t>
  </si>
  <si>
    <t>tache</t>
  </si>
  <si>
    <t>/taʃ/</t>
  </si>
  <si>
    <t>tash</t>
  </si>
  <si>
    <t>blot</t>
  </si>
  <si>
    <t>smear</t>
  </si>
  <si>
    <t>smirch</t>
  </si>
  <si>
    <t>spot</t>
  </si>
  <si>
    <t>stain</t>
  </si>
  <si>
    <t>doubling</t>
  </si>
  <si>
    <t>double</t>
  </si>
  <si>
    <t>fleck</t>
  </si>
  <si>
    <t>blob</t>
  </si>
  <si>
    <t>speckle</t>
  </si>
  <si>
    <t>dapple</t>
  </si>
  <si>
    <t>patch</t>
  </si>
  <si>
    <t>maculation</t>
  </si>
  <si>
    <t>dent</t>
  </si>
  <si>
    <t>ding</t>
  </si>
  <si>
    <t>gouge</t>
  </si>
  <si>
    <t>nick</t>
  </si>
  <si>
    <t>smudge</t>
  </si>
  <si>
    <t>daub</t>
  </si>
  <si>
    <t>slur</t>
  </si>
  <si>
    <t>blotch</t>
  </si>
  <si>
    <t>splodge</t>
  </si>
  <si>
    <t>splotch</t>
  </si>
  <si>
    <t>macule</t>
  </si>
  <si>
    <t>macula</t>
  </si>
  <si>
    <t>stigma</t>
  </si>
  <si>
    <t>brand</t>
  </si>
  <si>
    <t>contamination</t>
  </si>
  <si>
    <t>taint</t>
  </si>
  <si>
    <t>dirt</t>
  </si>
  <si>
    <t>filth</t>
  </si>
  <si>
    <t>grime</t>
  </si>
  <si>
    <t>soil</t>
  </si>
  <si>
    <t>grease</t>
  </si>
  <si>
    <t>grunge</t>
  </si>
  <si>
    <t>tâche</t>
  </si>
  <si>
    <t>job</t>
  </si>
  <si>
    <t>occupation</t>
  </si>
  <si>
    <t>business</t>
  </si>
  <si>
    <t>line_of_work</t>
  </si>
  <si>
    <t>task</t>
  </si>
  <si>
    <t>chore</t>
  </si>
  <si>
    <t>stint</t>
  </si>
  <si>
    <t>homework</t>
  </si>
  <si>
    <t>prep</t>
  </si>
  <si>
    <t>preparation</t>
  </si>
  <si>
    <t>assignment</t>
  </si>
  <si>
    <t>duty_assignment</t>
  </si>
  <si>
    <t>tax</t>
  </si>
  <si>
    <t>problem</t>
  </si>
  <si>
    <t>tachent</t>
  </si>
  <si>
    <t>tâchent</t>
  </si>
  <si>
    <t>taches</t>
  </si>
  <si>
    <t>tâches</t>
  </si>
  <si>
    <t>tachisme</t>
  </si>
  <si>
    <t>/taʃɪs/</t>
  </si>
  <si>
    <t>tashis</t>
  </si>
  <si>
    <t>tachismes</t>
  </si>
  <si>
    <t>tachiste</t>
  </si>
  <si>
    <t>tachistes</t>
  </si>
  <si>
    <t>tacs</t>
  </si>
  <si>
    <t>tact</t>
  </si>
  <si>
    <t>tactfulness</t>
  </si>
  <si>
    <t>measure</t>
  </si>
  <si>
    <t>bar</t>
  </si>
  <si>
    <t>touch</t>
  </si>
  <si>
    <t>tacts</t>
  </si>
  <si>
    <t>taie</t>
  </si>
  <si>
    <t>case</t>
  </si>
  <si>
    <t>pillowcase</t>
  </si>
  <si>
    <t>pillow_slip</t>
  </si>
  <si>
    <t>taies</t>
  </si>
  <si>
    <t>taillai</t>
  </si>
  <si>
    <t>/taja/</t>
  </si>
  <si>
    <t>taya</t>
  </si>
  <si>
    <t>taillaient</t>
  </si>
  <si>
    <t>taillais</t>
  </si>
  <si>
    <t>taillait</t>
  </si>
  <si>
    <t>taillâmes</t>
  </si>
  <si>
    <t>/tajam/</t>
  </si>
  <si>
    <t>tayam</t>
  </si>
  <si>
    <t>taillasse</t>
  </si>
  <si>
    <t>/tajas/</t>
  </si>
  <si>
    <t>tayas</t>
  </si>
  <si>
    <t>taillassent</t>
  </si>
  <si>
    <t>taillasses</t>
  </si>
  <si>
    <t>taille</t>
  </si>
  <si>
    <t>/taj/</t>
  </si>
  <si>
    <t>tay</t>
  </si>
  <si>
    <t>waist</t>
  </si>
  <si>
    <t>stature</t>
  </si>
  <si>
    <t>size</t>
  </si>
  <si>
    <t>extent</t>
  </si>
  <si>
    <t>width</t>
  </si>
  <si>
    <t>breadth</t>
  </si>
  <si>
    <t>waistline</t>
  </si>
  <si>
    <t>size_of_it</t>
  </si>
  <si>
    <t>taillent</t>
  </si>
  <si>
    <t>tailles</t>
  </si>
  <si>
    <t>taillis</t>
  </si>
  <si>
    <t>/taji/</t>
  </si>
  <si>
    <t>tayi</t>
  </si>
  <si>
    <t>tale</t>
  </si>
  <si>
    <t>/tal/</t>
  </si>
  <si>
    <t>tal</t>
  </si>
  <si>
    <t>tales</t>
  </si>
  <si>
    <t>tamis</t>
  </si>
  <si>
    <t>/tami/</t>
  </si>
  <si>
    <t>tami</t>
  </si>
  <si>
    <t>sieve</t>
  </si>
  <si>
    <t>sift</t>
  </si>
  <si>
    <t>screen_out</t>
  </si>
  <si>
    <t>sort</t>
  </si>
  <si>
    <t>tamoul</t>
  </si>
  <si>
    <t>/tamʊl/</t>
  </si>
  <si>
    <t>tamul</t>
  </si>
  <si>
    <t>Tamil</t>
  </si>
  <si>
    <t>tamouls</t>
  </si>
  <si>
    <t>tannai</t>
  </si>
  <si>
    <t>/tana/</t>
  </si>
  <si>
    <t>tana</t>
  </si>
  <si>
    <t>tannaient</t>
  </si>
  <si>
    <t>tannais</t>
  </si>
  <si>
    <t>tannait</t>
  </si>
  <si>
    <t>tannâmes</t>
  </si>
  <si>
    <t>/tanam/</t>
  </si>
  <si>
    <t>tanam</t>
  </si>
  <si>
    <t>tannasse</t>
  </si>
  <si>
    <t>/tanas/</t>
  </si>
  <si>
    <t>tanas</t>
  </si>
  <si>
    <t>tannassent</t>
  </si>
  <si>
    <t>tannasses</t>
  </si>
  <si>
    <t>tanne</t>
  </si>
  <si>
    <t>/tan/</t>
  </si>
  <si>
    <t>tan</t>
  </si>
  <si>
    <t>tannent</t>
  </si>
  <si>
    <t>tannes</t>
  </si>
  <si>
    <t>tapai</t>
  </si>
  <si>
    <t>/tapa/</t>
  </si>
  <si>
    <t>tapa</t>
  </si>
  <si>
    <t>tapaient</t>
  </si>
  <si>
    <t>tapais</t>
  </si>
  <si>
    <t>tapait</t>
  </si>
  <si>
    <t>tapâmes</t>
  </si>
  <si>
    <t>/tapam/</t>
  </si>
  <si>
    <t>tapam</t>
  </si>
  <si>
    <t>tapasse</t>
  </si>
  <si>
    <t>/tapas/</t>
  </si>
  <si>
    <t>tapas</t>
  </si>
  <si>
    <t>tapassent</t>
  </si>
  <si>
    <t>tapasses</t>
  </si>
  <si>
    <t>tape</t>
  </si>
  <si>
    <t>/tap/</t>
  </si>
  <si>
    <t>tap</t>
  </si>
  <si>
    <t>tapent</t>
  </si>
  <si>
    <t>tapes</t>
  </si>
  <si>
    <t>tapi</t>
  </si>
  <si>
    <t>/tapi/</t>
  </si>
  <si>
    <t>tapie</t>
  </si>
  <si>
    <t>tapies</t>
  </si>
  <si>
    <t>tapîmes</t>
  </si>
  <si>
    <t>/tapɪm/</t>
  </si>
  <si>
    <t>tapim</t>
  </si>
  <si>
    <t>tapinai</t>
  </si>
  <si>
    <t>/tapɪna/</t>
  </si>
  <si>
    <t>tapina</t>
  </si>
  <si>
    <t>tapinaient</t>
  </si>
  <si>
    <t>tapinais</t>
  </si>
  <si>
    <t>tapinait</t>
  </si>
  <si>
    <t>tapinâmes</t>
  </si>
  <si>
    <t>/tapɪnam/</t>
  </si>
  <si>
    <t>tapinam</t>
  </si>
  <si>
    <t>tapinasse</t>
  </si>
  <si>
    <t>/tapɪnas/</t>
  </si>
  <si>
    <t>tapinas</t>
  </si>
  <si>
    <t>tapinassent</t>
  </si>
  <si>
    <t>tapinasses</t>
  </si>
  <si>
    <t>tapine</t>
  </si>
  <si>
    <t>/tapɪn/</t>
  </si>
  <si>
    <t>tapin</t>
  </si>
  <si>
    <t>tapinent</t>
  </si>
  <si>
    <t>tapines</t>
  </si>
  <si>
    <t>tapis</t>
  </si>
  <si>
    <t>carpet</t>
  </si>
  <si>
    <t>rug</t>
  </si>
  <si>
    <t>carpeting</t>
  </si>
  <si>
    <t>tapissai</t>
  </si>
  <si>
    <t>/tapɪsa/</t>
  </si>
  <si>
    <t>tapisa</t>
  </si>
  <si>
    <t>tapissaient</t>
  </si>
  <si>
    <t>tapissais</t>
  </si>
  <si>
    <t>tapissait</t>
  </si>
  <si>
    <t>tapissâmes</t>
  </si>
  <si>
    <t>/tapɪsam/</t>
  </si>
  <si>
    <t>tapisam</t>
  </si>
  <si>
    <t>tapissasse</t>
  </si>
  <si>
    <t>/tapɪsas/</t>
  </si>
  <si>
    <t>tapisas</t>
  </si>
  <si>
    <t>tapissassent</t>
  </si>
  <si>
    <t>tapissasses</t>
  </si>
  <si>
    <t>tapisse</t>
  </si>
  <si>
    <t>/tapɪs/</t>
  </si>
  <si>
    <t>tapissent</t>
  </si>
  <si>
    <t>tapisses</t>
  </si>
  <si>
    <t>tapit</t>
  </si>
  <si>
    <t>tapît</t>
  </si>
  <si>
    <t>taquet</t>
  </si>
  <si>
    <t>/taka/</t>
  </si>
  <si>
    <t>taka</t>
  </si>
  <si>
    <t>taquets</t>
  </si>
  <si>
    <t>taquinai</t>
  </si>
  <si>
    <t>/takɪna/</t>
  </si>
  <si>
    <t>takina</t>
  </si>
  <si>
    <t>taquinaient</t>
  </si>
  <si>
    <t>taquinais</t>
  </si>
  <si>
    <t>taquinait</t>
  </si>
  <si>
    <t>taquinâmes</t>
  </si>
  <si>
    <t>/takɪnam/</t>
  </si>
  <si>
    <t>takinam</t>
  </si>
  <si>
    <t>taquinasse</t>
  </si>
  <si>
    <t>/takɪnas/</t>
  </si>
  <si>
    <t>takinas</t>
  </si>
  <si>
    <t>taquinassent</t>
  </si>
  <si>
    <t>taquinasses</t>
  </si>
  <si>
    <t>taquine</t>
  </si>
  <si>
    <t>/takɪn/</t>
  </si>
  <si>
    <t>takin</t>
  </si>
  <si>
    <t>taquinent</t>
  </si>
  <si>
    <t>taquines</t>
  </si>
  <si>
    <t>tassai</t>
  </si>
  <si>
    <t>/tasa/</t>
  </si>
  <si>
    <t>tasa</t>
  </si>
  <si>
    <t>tassaient</t>
  </si>
  <si>
    <t>tassais</t>
  </si>
  <si>
    <t>tassait</t>
  </si>
  <si>
    <t>tassâmes</t>
  </si>
  <si>
    <t>/tasam/</t>
  </si>
  <si>
    <t>tasam</t>
  </si>
  <si>
    <t>tassasse</t>
  </si>
  <si>
    <t>/tasas/</t>
  </si>
  <si>
    <t>tasas</t>
  </si>
  <si>
    <t>tassassent</t>
  </si>
  <si>
    <t>tassasses</t>
  </si>
  <si>
    <t>tasse</t>
  </si>
  <si>
    <t>/tas/</t>
  </si>
  <si>
    <t>tas</t>
  </si>
  <si>
    <t>transfuse</t>
  </si>
  <si>
    <t>cupful</t>
  </si>
  <si>
    <t>tassent</t>
  </si>
  <si>
    <t>tasses</t>
  </si>
  <si>
    <t>tâtai</t>
  </si>
  <si>
    <t>/tata/</t>
  </si>
  <si>
    <t>tata</t>
  </si>
  <si>
    <t>tâtaient</t>
  </si>
  <si>
    <t>tâtais</t>
  </si>
  <si>
    <t>tâtait</t>
  </si>
  <si>
    <t>tâtâmes</t>
  </si>
  <si>
    <t>/tatam/</t>
  </si>
  <si>
    <t>tatam</t>
  </si>
  <si>
    <t>tatami</t>
  </si>
  <si>
    <t>/tatami/</t>
  </si>
  <si>
    <t>tatamis</t>
  </si>
  <si>
    <t>tatane</t>
  </si>
  <si>
    <t>/tatan/</t>
  </si>
  <si>
    <t>tatan</t>
  </si>
  <si>
    <t>tatanes</t>
  </si>
  <si>
    <t>tâtasse</t>
  </si>
  <si>
    <t>/tatas/</t>
  </si>
  <si>
    <t>tatas</t>
  </si>
  <si>
    <t>tâtassent</t>
  </si>
  <si>
    <t>tâtasses</t>
  </si>
  <si>
    <t>tatou</t>
  </si>
  <si>
    <t>/tatu/</t>
  </si>
  <si>
    <t>tatu</t>
  </si>
  <si>
    <t>armadillo</t>
  </si>
  <si>
    <t>tatoue</t>
  </si>
  <si>
    <t>tatouent</t>
  </si>
  <si>
    <t>tatoues</t>
  </si>
  <si>
    <t>tatous</t>
  </si>
  <si>
    <t>teck</t>
  </si>
  <si>
    <t>teak</t>
  </si>
  <si>
    <t>Tectona_grandis</t>
  </si>
  <si>
    <t>teakwood</t>
  </si>
  <si>
    <t>tecks</t>
  </si>
  <si>
    <t>teignaient</t>
  </si>
  <si>
    <t>/taɲa/</t>
  </si>
  <si>
    <t>taña</t>
  </si>
  <si>
    <t>teignais</t>
  </si>
  <si>
    <t>teignait</t>
  </si>
  <si>
    <t>teigne</t>
  </si>
  <si>
    <t>/taɲ/</t>
  </si>
  <si>
    <t>tañ</t>
  </si>
  <si>
    <t>clothes_moth</t>
  </si>
  <si>
    <t>tinea</t>
  </si>
  <si>
    <t>ringworm</t>
  </si>
  <si>
    <t>roundworm</t>
  </si>
  <si>
    <t>teignent</t>
  </si>
  <si>
    <t>teignes</t>
  </si>
  <si>
    <t>teignîmes</t>
  </si>
  <si>
    <t>/taɲim/</t>
  </si>
  <si>
    <t>tañim</t>
  </si>
  <si>
    <t>teignis</t>
  </si>
  <si>
    <t>/taɲi/</t>
  </si>
  <si>
    <t>tañi</t>
  </si>
  <si>
    <t>teignisse</t>
  </si>
  <si>
    <t>/taɲis/</t>
  </si>
  <si>
    <t>tañis</t>
  </si>
  <si>
    <t>teignissent</t>
  </si>
  <si>
    <t>teignisses</t>
  </si>
  <si>
    <t>teignit</t>
  </si>
  <si>
    <t>teignît</t>
  </si>
  <si>
    <t>tek</t>
  </si>
  <si>
    <t>teks</t>
  </si>
  <si>
    <t>tel</t>
  </si>
  <si>
    <t>such</t>
  </si>
  <si>
    <t>one</t>
  </si>
  <si>
    <t>ace</t>
  </si>
  <si>
    <t>single</t>
  </si>
  <si>
    <t>unity</t>
  </si>
  <si>
    <t>telle</t>
  </si>
  <si>
    <t>telles</t>
  </si>
  <si>
    <t>tels</t>
  </si>
  <si>
    <t>test</t>
  </si>
  <si>
    <t>testing</t>
  </si>
  <si>
    <t>quiz</t>
  </si>
  <si>
    <t>trial</t>
  </si>
  <si>
    <t>mental_test</t>
  </si>
  <si>
    <t>mental_testing</t>
  </si>
  <si>
    <t>psychometric_test</t>
  </si>
  <si>
    <t>trial_run</t>
  </si>
  <si>
    <t>tryout</t>
  </si>
  <si>
    <t>examination</t>
  </si>
  <si>
    <t>exam</t>
  </si>
  <si>
    <t>teste</t>
  </si>
  <si>
    <t>testent</t>
  </si>
  <si>
    <t>testes</t>
  </si>
  <si>
    <t>tests</t>
  </si>
  <si>
    <t>thaï</t>
  </si>
  <si>
    <t>Thai</t>
  </si>
  <si>
    <t>Tai</t>
  </si>
  <si>
    <t>Siamese</t>
  </si>
  <si>
    <t>Central_Thai</t>
  </si>
  <si>
    <t>thème</t>
  </si>
  <si>
    <t>/tam/</t>
  </si>
  <si>
    <t>tam</t>
  </si>
  <si>
    <t>theme</t>
  </si>
  <si>
    <t>motif</t>
  </si>
  <si>
    <t>root</t>
  </si>
  <si>
    <t>root_word</t>
  </si>
  <si>
    <t>radical</t>
  </si>
  <si>
    <t>composition</t>
  </si>
  <si>
    <t>paper</t>
  </si>
  <si>
    <t>report</t>
  </si>
  <si>
    <t>subject</t>
  </si>
  <si>
    <t>topic</t>
  </si>
  <si>
    <t>melodic_theme</t>
  </si>
  <si>
    <t>musical_theme</t>
  </si>
  <si>
    <t>idea</t>
  </si>
  <si>
    <t>thèmes</t>
  </si>
  <si>
    <t>touchai</t>
  </si>
  <si>
    <t>/tʊʃa/</t>
  </si>
  <si>
    <t>tusha</t>
  </si>
  <si>
    <t>touchaient</t>
  </si>
  <si>
    <t>touchais</t>
  </si>
  <si>
    <t>touchait</t>
  </si>
  <si>
    <t>touchâmes</t>
  </si>
  <si>
    <t>/tʊʃam/</t>
  </si>
  <si>
    <t>tusham</t>
  </si>
  <si>
    <t>touchasse</t>
  </si>
  <si>
    <t>/tʊʃas/</t>
  </si>
  <si>
    <t>tushas</t>
  </si>
  <si>
    <t>touchassent</t>
  </si>
  <si>
    <t>touchasses</t>
  </si>
  <si>
    <t>touche</t>
  </si>
  <si>
    <t>/tʊʃ/</t>
  </si>
  <si>
    <t>tush</t>
  </si>
  <si>
    <t>avocation</t>
  </si>
  <si>
    <t>by-line</t>
  </si>
  <si>
    <t>hobby</t>
  </si>
  <si>
    <t>pursuit</t>
  </si>
  <si>
    <t>sideline</t>
  </si>
  <si>
    <t>spare-time_activity</t>
  </si>
  <si>
    <t>key</t>
  </si>
  <si>
    <t>operative</t>
  </si>
  <si>
    <t>piano_keyboard</t>
  </si>
  <si>
    <t>fingerboard</t>
  </si>
  <si>
    <t>clavier</t>
  </si>
  <si>
    <t>winder</t>
  </si>
  <si>
    <t>tonality</t>
  </si>
  <si>
    <t>cay</t>
  </si>
  <si>
    <t>Florida_key</t>
  </si>
  <si>
    <t>Key</t>
  </si>
  <si>
    <t>Francis_Scott_Key</t>
  </si>
  <si>
    <t>samara</t>
  </si>
  <si>
    <t>key_fruit</t>
  </si>
  <si>
    <t>touche-à-tout</t>
  </si>
  <si>
    <t>/tʊʃatu/</t>
  </si>
  <si>
    <t>tushatu</t>
  </si>
  <si>
    <t>busybody</t>
  </si>
  <si>
    <t>nosy-parker</t>
  </si>
  <si>
    <t>nosey-parker</t>
  </si>
  <si>
    <t>quidnunc</t>
  </si>
  <si>
    <t>handyman</t>
  </si>
  <si>
    <t>jack_of_all_trades</t>
  </si>
  <si>
    <t>odd-job_man</t>
  </si>
  <si>
    <t>Jack_of_all_trades</t>
  </si>
  <si>
    <t>touchent</t>
  </si>
  <si>
    <t>touches</t>
  </si>
  <si>
    <t>touillai</t>
  </si>
  <si>
    <t>/tʊja/</t>
  </si>
  <si>
    <t>tuya</t>
  </si>
  <si>
    <t>touillaient</t>
  </si>
  <si>
    <t>touillais</t>
  </si>
  <si>
    <t>touillait</t>
  </si>
  <si>
    <t>touillâmes</t>
  </si>
  <si>
    <t>/tʊjam/</t>
  </si>
  <si>
    <t>tuyam</t>
  </si>
  <si>
    <t>touillasse</t>
  </si>
  <si>
    <t>/tʊjas/</t>
  </si>
  <si>
    <t>tuyas</t>
  </si>
  <si>
    <t>touillassent</t>
  </si>
  <si>
    <t>touillasses</t>
  </si>
  <si>
    <t>touille</t>
  </si>
  <si>
    <t>/tʊj/</t>
  </si>
  <si>
    <t>tuy</t>
  </si>
  <si>
    <t>touillent</t>
  </si>
  <si>
    <t>touilles</t>
  </si>
  <si>
    <t>toune</t>
  </si>
  <si>
    <t>/tun/</t>
  </si>
  <si>
    <t>tun</t>
  </si>
  <si>
    <t>tounes</t>
  </si>
  <si>
    <t>toupet</t>
  </si>
  <si>
    <t>/tʊpa/</t>
  </si>
  <si>
    <t>tupa</t>
  </si>
  <si>
    <t>toupee</t>
  </si>
  <si>
    <t>toupe</t>
  </si>
  <si>
    <t>boldness</t>
  </si>
  <si>
    <t>nerve</t>
  </si>
  <si>
    <t>brass</t>
  </si>
  <si>
    <t>face</t>
  </si>
  <si>
    <t>cheek</t>
  </si>
  <si>
    <t>toupets</t>
  </si>
  <si>
    <t>toupie</t>
  </si>
  <si>
    <t>/tʊpi/</t>
  </si>
  <si>
    <t>tupi</t>
  </si>
  <si>
    <t>whirligig</t>
  </si>
  <si>
    <t>teetotum</t>
  </si>
  <si>
    <t>spinning_top</t>
  </si>
  <si>
    <t>toupies</t>
  </si>
  <si>
    <t>toussai</t>
  </si>
  <si>
    <t>/tʊsa/</t>
  </si>
  <si>
    <t>tusa</t>
  </si>
  <si>
    <t>toussaient</t>
  </si>
  <si>
    <t>toussais</t>
  </si>
  <si>
    <t>toussait</t>
  </si>
  <si>
    <t>toussâmes</t>
  </si>
  <si>
    <t>/tʊsam/</t>
  </si>
  <si>
    <t>tusam</t>
  </si>
  <si>
    <t>toussasse</t>
  </si>
  <si>
    <t>/tʊsas/</t>
  </si>
  <si>
    <t>tusas</t>
  </si>
  <si>
    <t>toussassent</t>
  </si>
  <si>
    <t>toussasses</t>
  </si>
  <si>
    <t>tousse</t>
  </si>
  <si>
    <t>/tʊs/</t>
  </si>
  <si>
    <t>tus</t>
  </si>
  <si>
    <t>toussent</t>
  </si>
  <si>
    <t>tousses</t>
  </si>
  <si>
    <t>tout à coup</t>
  </si>
  <si>
    <t>/tʊtaku/</t>
  </si>
  <si>
    <t>tutaku</t>
  </si>
  <si>
    <t>toutou</t>
  </si>
  <si>
    <t>/tʊtu/</t>
  </si>
  <si>
    <t>tutu</t>
  </si>
  <si>
    <t>pooch</t>
  </si>
  <si>
    <t>doggie</t>
  </si>
  <si>
    <t>doggy</t>
  </si>
  <si>
    <t>barker</t>
  </si>
  <si>
    <t>bow-wow</t>
  </si>
  <si>
    <t>toutous</t>
  </si>
  <si>
    <t>toux</t>
  </si>
  <si>
    <t>/tu/</t>
  </si>
  <si>
    <t>tu</t>
  </si>
  <si>
    <t>cough</t>
  </si>
  <si>
    <t>coughing</t>
  </si>
  <si>
    <t>y</t>
  </si>
  <si>
    <t>Y</t>
  </si>
  <si>
    <t>wye</t>
  </si>
  <si>
    <t>yttrium</t>
  </si>
  <si>
    <t>atomic_number_39</t>
  </si>
  <si>
    <t>yack</t>
  </si>
  <si>
    <t>/jak/</t>
  </si>
  <si>
    <t>yak</t>
  </si>
  <si>
    <t>Bos_grunniens</t>
  </si>
  <si>
    <t>yakety-yak</t>
  </si>
  <si>
    <t>chatter</t>
  </si>
  <si>
    <t>cackle</t>
  </si>
  <si>
    <t>yacks</t>
  </si>
  <si>
    <t>yaks</t>
  </si>
  <si>
    <t>yass</t>
  </si>
  <si>
    <t>/jas/</t>
  </si>
  <si>
    <t>yas</t>
  </si>
  <si>
    <t>yen</t>
  </si>
  <si>
    <t>yens</t>
  </si>
  <si>
    <t>yin</t>
  </si>
  <si>
    <t>/jɪn/</t>
  </si>
  <si>
    <t>youpi</t>
  </si>
  <si>
    <t>/jʊpi/</t>
  </si>
  <si>
    <t>yupi</t>
  </si>
  <si>
    <t>whoopee</t>
  </si>
  <si>
    <t>youpine</t>
  </si>
  <si>
    <t>/jʊpɪn/</t>
  </si>
  <si>
    <t>yupin</t>
  </si>
  <si>
    <t>youpines</t>
  </si>
  <si>
    <t>yuppie</t>
  </si>
  <si>
    <t>fr_FR.csv</t>
  </si>
  <si>
    <t>/apik/</t>
  </si>
  <si>
    <t>accoucha</t>
  </si>
  <si>
    <t>/akuʃa/</t>
  </si>
  <si>
    <t>/akuʃam/</t>
  </si>
  <si>
    <t>accouchas</t>
  </si>
  <si>
    <t>/akuʃas/</t>
  </si>
  <si>
    <t>accouchât</t>
  </si>
  <si>
    <t>/akuʃ/</t>
  </si>
  <si>
    <t>achat</t>
  </si>
  <si>
    <t>/aʃa/</t>
  </si>
  <si>
    <t>asha</t>
  </si>
  <si>
    <t>purchase</t>
  </si>
  <si>
    <t>buying</t>
  </si>
  <si>
    <t>purchasing</t>
  </si>
  <si>
    <t>succession</t>
  </si>
  <si>
    <t>taking_over</t>
  </si>
  <si>
    <t>shop_class</t>
  </si>
  <si>
    <t>shop</t>
  </si>
  <si>
    <t>bid</t>
  </si>
  <si>
    <t>tender</t>
  </si>
  <si>
    <t>leverage</t>
  </si>
  <si>
    <t>acquisition</t>
  </si>
  <si>
    <t>bargain</t>
  </si>
  <si>
    <t>buy</t>
  </si>
  <si>
    <t>steal</t>
  </si>
  <si>
    <t>achats</t>
  </si>
  <si>
    <t>procurement</t>
  </si>
  <si>
    <t>procurance</t>
  </si>
  <si>
    <t>procural</t>
  </si>
  <si>
    <t>/aʃil/</t>
  </si>
  <si>
    <t>acquitta</t>
  </si>
  <si>
    <t>/akita/</t>
  </si>
  <si>
    <t>/akitam/</t>
  </si>
  <si>
    <t>acquittas</t>
  </si>
  <si>
    <t>/akitas/</t>
  </si>
  <si>
    <t>acquittât</t>
  </si>
  <si>
    <t>ailla</t>
  </si>
  <si>
    <t>aillas</t>
  </si>
  <si>
    <t>aillât</t>
  </si>
  <si>
    <t>aligna</t>
  </si>
  <si>
    <t>alignas</t>
  </si>
  <si>
    <t>alignât</t>
  </si>
  <si>
    <t>/alita/</t>
  </si>
  <si>
    <t>/alitam/</t>
  </si>
  <si>
    <t>/alitas/</t>
  </si>
  <si>
    <t>alitât</t>
  </si>
  <si>
    <t>alla</t>
  </si>
  <si>
    <t>Allah</t>
  </si>
  <si>
    <t>allas</t>
  </si>
  <si>
    <t>amassa</t>
  </si>
  <si>
    <t>amassas</t>
  </si>
  <si>
    <t>amassât</t>
  </si>
  <si>
    <t>/amikal/</t>
  </si>
  <si>
    <t>analytique</t>
  </si>
  <si>
    <t>/analitik/</t>
  </si>
  <si>
    <t>analitik</t>
  </si>
  <si>
    <t>analytic</t>
  </si>
  <si>
    <t>analytical</t>
  </si>
  <si>
    <t>uninflected</t>
  </si>
  <si>
    <t>analytiques</t>
  </si>
  <si>
    <t>/anima/</t>
  </si>
  <si>
    <t>/animal/</t>
  </si>
  <si>
    <t>/animam/</t>
  </si>
  <si>
    <t>/animas/</t>
  </si>
  <si>
    <t>animât</t>
  </si>
  <si>
    <t>/anim/</t>
  </si>
  <si>
    <t>apathie</t>
  </si>
  <si>
    <t>/apati/</t>
  </si>
  <si>
    <t>apati</t>
  </si>
  <si>
    <t>apathy</t>
  </si>
  <si>
    <t>indifference</t>
  </si>
  <si>
    <t>numbness</t>
  </si>
  <si>
    <t>spiritlessness</t>
  </si>
  <si>
    <t>apathies</t>
  </si>
  <si>
    <t>apathique</t>
  </si>
  <si>
    <t>/apatik/</t>
  </si>
  <si>
    <t>apatik</t>
  </si>
  <si>
    <t>apathetic</t>
  </si>
  <si>
    <t>indifferent</t>
  </si>
  <si>
    <t>apathiques</t>
  </si>
  <si>
    <t>/apikal/</t>
  </si>
  <si>
    <t>appas</t>
  </si>
  <si>
    <t>/apa/</t>
  </si>
  <si>
    <t>apa</t>
  </si>
  <si>
    <t>appât</t>
  </si>
  <si>
    <t>bait</t>
  </si>
  <si>
    <t>decoy</t>
  </si>
  <si>
    <t>lure</t>
  </si>
  <si>
    <t>enticement</t>
  </si>
  <si>
    <t>come-on</t>
  </si>
  <si>
    <t>sweetener</t>
  </si>
  <si>
    <t>appâta</t>
  </si>
  <si>
    <t>appâtas</t>
  </si>
  <si>
    <t>appâtât</t>
  </si>
  <si>
    <t>appâts</t>
  </si>
  <si>
    <t>assassina</t>
  </si>
  <si>
    <t>/asasina/</t>
  </si>
  <si>
    <t>/asasinam/</t>
  </si>
  <si>
    <t>assassinas</t>
  </si>
  <si>
    <t>/asasinas/</t>
  </si>
  <si>
    <t>assassinat</t>
  </si>
  <si>
    <t>homicide</t>
  </si>
  <si>
    <t>murder</t>
  </si>
  <si>
    <t>slaying</t>
  </si>
  <si>
    <t>execution</t>
  </si>
  <si>
    <t>assassination</t>
  </si>
  <si>
    <t>mangle</t>
  </si>
  <si>
    <t>mutilate</t>
  </si>
  <si>
    <t>character_assassination</t>
  </si>
  <si>
    <t>blackwash</t>
  </si>
  <si>
    <t>assassinât</t>
  </si>
  <si>
    <t>assassinats</t>
  </si>
  <si>
    <t>/asasin/</t>
  </si>
  <si>
    <t>assigna</t>
  </si>
  <si>
    <t>assignas</t>
  </si>
  <si>
    <t>assignat</t>
  </si>
  <si>
    <t>assignât</t>
  </si>
  <si>
    <t>assignats</t>
  </si>
  <si>
    <t>assimila</t>
  </si>
  <si>
    <t>/asimila/</t>
  </si>
  <si>
    <t>/asimilam/</t>
  </si>
  <si>
    <t>assimilas</t>
  </si>
  <si>
    <t>/asimilas/</t>
  </si>
  <si>
    <t>assimilât</t>
  </si>
  <si>
    <t>/asimil/</t>
  </si>
  <si>
    <t>/asupi/</t>
  </si>
  <si>
    <t>/asupim/</t>
  </si>
  <si>
    <t>/asupis/</t>
  </si>
  <si>
    <t>attacha</t>
  </si>
  <si>
    <t>attachas</t>
  </si>
  <si>
    <t>attachât</t>
  </si>
  <si>
    <t>attaqua</t>
  </si>
  <si>
    <t>attaquas</t>
  </si>
  <si>
    <t>attaquât</t>
  </si>
  <si>
    <t>Attila</t>
  </si>
  <si>
    <t>/atila/</t>
  </si>
  <si>
    <t>atila</t>
  </si>
  <si>
    <t>Attila_the_Hun</t>
  </si>
  <si>
    <t>Scourge_of_God</t>
  </si>
  <si>
    <t>Scourge_of_the_Gods</t>
  </si>
  <si>
    <t>attique</t>
  </si>
  <si>
    <t>/atik/</t>
  </si>
  <si>
    <t>atik</t>
  </si>
  <si>
    <t>penthouse</t>
  </si>
  <si>
    <t>Attica</t>
  </si>
  <si>
    <t>attiques</t>
  </si>
  <si>
    <t>atypique</t>
  </si>
  <si>
    <t>/atipik/</t>
  </si>
  <si>
    <t>atipik</t>
  </si>
  <si>
    <t>atypiques</t>
  </si>
  <si>
    <t>ça</t>
  </si>
  <si>
    <t>çà</t>
  </si>
  <si>
    <t>cacas</t>
  </si>
  <si>
    <t>cacha</t>
  </si>
  <si>
    <t>cachas</t>
  </si>
  <si>
    <t>cachât</t>
  </si>
  <si>
    <t>/kasik/</t>
  </si>
  <si>
    <t>cailla</t>
  </si>
  <si>
    <t>caillas</t>
  </si>
  <si>
    <t>caillât</t>
  </si>
  <si>
    <t>cala</t>
  </si>
  <si>
    <t>/kalamin/</t>
  </si>
  <si>
    <t>calas</t>
  </si>
  <si>
    <t>calât</t>
  </si>
  <si>
    <t>/kalis/</t>
  </si>
  <si>
    <t>câlina</t>
  </si>
  <si>
    <t>/kalina/</t>
  </si>
  <si>
    <t>/kalinam/</t>
  </si>
  <si>
    <t>câlinas</t>
  </si>
  <si>
    <t>/kalinas/</t>
  </si>
  <si>
    <t>câlinât</t>
  </si>
  <si>
    <t>/kalin/</t>
  </si>
  <si>
    <t>cama</t>
  </si>
  <si>
    <t>camas</t>
  </si>
  <si>
    <t>camât</t>
  </si>
  <si>
    <t>cana</t>
  </si>
  <si>
    <t>canas</t>
  </si>
  <si>
    <t>canât</t>
  </si>
  <si>
    <t>/kaniʃ/</t>
  </si>
  <si>
    <t>/kanin/</t>
  </si>
  <si>
    <t>/kanis/</t>
  </si>
  <si>
    <t>canna</t>
  </si>
  <si>
    <t>cannas</t>
  </si>
  <si>
    <t>cannât</t>
  </si>
  <si>
    <t>/kapital/</t>
  </si>
  <si>
    <t>cas</t>
  </si>
  <si>
    <t>lawsuit</t>
  </si>
  <si>
    <t>suit</t>
  </si>
  <si>
    <t>cause</t>
  </si>
  <si>
    <t>causa</t>
  </si>
  <si>
    <t>display_case</t>
  </si>
  <si>
    <t>showcase</t>
  </si>
  <si>
    <t>vitrine</t>
  </si>
  <si>
    <t>casing</t>
  </si>
  <si>
    <t>shell</t>
  </si>
  <si>
    <t>sheath</t>
  </si>
  <si>
    <t>grammatical_case</t>
  </si>
  <si>
    <t>instance</t>
  </si>
  <si>
    <t>example</t>
  </si>
  <si>
    <t>circumstance</t>
  </si>
  <si>
    <t>character</t>
  </si>
  <si>
    <t>eccentric</t>
  </si>
  <si>
    <t>type</t>
  </si>
  <si>
    <t>guinea_pig</t>
  </si>
  <si>
    <t>caseful</t>
  </si>
  <si>
    <t>event</t>
  </si>
  <si>
    <t>occurrence</t>
  </si>
  <si>
    <t>cassa</t>
  </si>
  <si>
    <t>cassas</t>
  </si>
  <si>
    <t>cassât</t>
  </si>
  <si>
    <t>/kasis/</t>
  </si>
  <si>
    <t>catalytique</t>
  </si>
  <si>
    <t>/katalitik/</t>
  </si>
  <si>
    <t>katalitik</t>
  </si>
  <si>
    <t>catalytic</t>
  </si>
  <si>
    <t>catalytiques</t>
  </si>
  <si>
    <t>catimini</t>
  </si>
  <si>
    <t>/katimini/</t>
  </si>
  <si>
    <t>katimini</t>
  </si>
  <si>
    <t>chah</t>
  </si>
  <si>
    <t>Shah</t>
  </si>
  <si>
    <t>Shah_of_Iran</t>
  </si>
  <si>
    <t>chahs</t>
  </si>
  <si>
    <t>chaloupa</t>
  </si>
  <si>
    <t>/ʃalupa/</t>
  </si>
  <si>
    <t>/ʃalupam/</t>
  </si>
  <si>
    <t>chaloupas</t>
  </si>
  <si>
    <t>/ʃalupas/</t>
  </si>
  <si>
    <t>chaloupât</t>
  </si>
  <si>
    <t>/ʃalup/</t>
  </si>
  <si>
    <t>chamailla</t>
  </si>
  <si>
    <t>chamaillas</t>
  </si>
  <si>
    <t>chamaillât</t>
  </si>
  <si>
    <t>chas</t>
  </si>
  <si>
    <t>eye</t>
  </si>
  <si>
    <t>chassa</t>
  </si>
  <si>
    <t>chassas</t>
  </si>
  <si>
    <t>chassât</t>
  </si>
  <si>
    <t>châtie</t>
  </si>
  <si>
    <t>/ʃati/</t>
  </si>
  <si>
    <t>shati</t>
  </si>
  <si>
    <t>châtient</t>
  </si>
  <si>
    <t>châties</t>
  </si>
  <si>
    <t>chatouilla</t>
  </si>
  <si>
    <t>/ʃatuja/</t>
  </si>
  <si>
    <t>/ʃatujam/</t>
  </si>
  <si>
    <t>chatouillas</t>
  </si>
  <si>
    <t>/ʃatujas/</t>
  </si>
  <si>
    <t>chatouillât</t>
  </si>
  <si>
    <t>/ʃatuj/</t>
  </si>
  <si>
    <t>/ʃatuji/</t>
  </si>
  <si>
    <t>chats</t>
  </si>
  <si>
    <t>/ʃik/</t>
  </si>
  <si>
    <t>chicana</t>
  </si>
  <si>
    <t>/ʃikana/</t>
  </si>
  <si>
    <t>/ʃikanam/</t>
  </si>
  <si>
    <t>chicanas</t>
  </si>
  <si>
    <t>/ʃikanas/</t>
  </si>
  <si>
    <t>chicanât</t>
  </si>
  <si>
    <t>/ʃikan/</t>
  </si>
  <si>
    <t>/ʃiʃ/</t>
  </si>
  <si>
    <t>/ʃiʃi/</t>
  </si>
  <si>
    <t>/ʃili/</t>
  </si>
  <si>
    <t>/ʃimi/</t>
  </si>
  <si>
    <t>/ʃimik/</t>
  </si>
  <si>
    <t>/ʃina/</t>
  </si>
  <si>
    <t>/ʃinam/</t>
  </si>
  <si>
    <t>chinas</t>
  </si>
  <si>
    <t>/ʃinas/</t>
  </si>
  <si>
    <t>chinât</t>
  </si>
  <si>
    <t>/ʃin/</t>
  </si>
  <si>
    <t>chipa</t>
  </si>
  <si>
    <t>/ʃipa/</t>
  </si>
  <si>
    <t>/ʃipam/</t>
  </si>
  <si>
    <t>chipas</t>
  </si>
  <si>
    <t>/ʃipas/</t>
  </si>
  <si>
    <t>chipât</t>
  </si>
  <si>
    <t>/ʃip/</t>
  </si>
  <si>
    <t>/ʃipi/</t>
  </si>
  <si>
    <t>chiqua</t>
  </si>
  <si>
    <t>/ʃika/</t>
  </si>
  <si>
    <t>/ʃikam/</t>
  </si>
  <si>
    <t>chiquas</t>
  </si>
  <si>
    <t>/ʃikas/</t>
  </si>
  <si>
    <t>chiquât</t>
  </si>
  <si>
    <t>choucas</t>
  </si>
  <si>
    <t>/ʃuka/</t>
  </si>
  <si>
    <t>shuka</t>
  </si>
  <si>
    <t>jackdaw</t>
  </si>
  <si>
    <t>daw</t>
  </si>
  <si>
    <t>Corvus_monedula</t>
  </si>
  <si>
    <t>/ʃuʃu/</t>
  </si>
  <si>
    <t>chouchouta</t>
  </si>
  <si>
    <t>/ʃuʃuta/</t>
  </si>
  <si>
    <t>/ʃuʃutam/</t>
  </si>
  <si>
    <t>chouchoutas</t>
  </si>
  <si>
    <t>/ʃuʃutas/</t>
  </si>
  <si>
    <t>chouchoutât</t>
  </si>
  <si>
    <t>chouia</t>
  </si>
  <si>
    <t>/ʃuja/</t>
  </si>
  <si>
    <t>shuya</t>
  </si>
  <si>
    <t>/sil/</t>
  </si>
  <si>
    <t>/silis/</t>
  </si>
  <si>
    <t>cilla</t>
  </si>
  <si>
    <t>/sija/</t>
  </si>
  <si>
    <t>/sijam/</t>
  </si>
  <si>
    <t>cillas</t>
  </si>
  <si>
    <t>/sijas/</t>
  </si>
  <si>
    <t>cillât</t>
  </si>
  <si>
    <t>/sij/</t>
  </si>
  <si>
    <t>/sim/</t>
  </si>
  <si>
    <t>cita</t>
  </si>
  <si>
    <t>/sita/</t>
  </si>
  <si>
    <t>/sitam/</t>
  </si>
  <si>
    <t>citas</t>
  </si>
  <si>
    <t>/sitas/</t>
  </si>
  <si>
    <t>citât</t>
  </si>
  <si>
    <t>/kuki/</t>
  </si>
  <si>
    <t>/kul/</t>
  </si>
  <si>
    <t>coucha</t>
  </si>
  <si>
    <t>/kuʃa/</t>
  </si>
  <si>
    <t>/kuʃam/</t>
  </si>
  <si>
    <t>couchas</t>
  </si>
  <si>
    <t>/kuʃas/</t>
  </si>
  <si>
    <t>couchât</t>
  </si>
  <si>
    <t>/kuʃ/</t>
  </si>
  <si>
    <t>couci-couça</t>
  </si>
  <si>
    <t>/kusikusa/</t>
  </si>
  <si>
    <t>kusikusa</t>
  </si>
  <si>
    <t>acceptably</t>
  </si>
  <si>
    <t>tolerably</t>
  </si>
  <si>
    <t>so-so</t>
  </si>
  <si>
    <t>/kuku/</t>
  </si>
  <si>
    <t>/kuj/</t>
  </si>
  <si>
    <t>coula</t>
  </si>
  <si>
    <t>/kula/</t>
  </si>
  <si>
    <t>/kulam/</t>
  </si>
  <si>
    <t>coulas</t>
  </si>
  <si>
    <t>/kulas/</t>
  </si>
  <si>
    <t>coulât</t>
  </si>
  <si>
    <t>/kuli/</t>
  </si>
  <si>
    <t>coulissa</t>
  </si>
  <si>
    <t>/kulisa/</t>
  </si>
  <si>
    <t>/kulisam/</t>
  </si>
  <si>
    <t>coulissas</t>
  </si>
  <si>
    <t>/kulisas/</t>
  </si>
  <si>
    <t>coulissât</t>
  </si>
  <si>
    <t>/kulis/</t>
  </si>
  <si>
    <t>coupa</t>
  </si>
  <si>
    <t>/kupa/</t>
  </si>
  <si>
    <t>/kupam/</t>
  </si>
  <si>
    <t>coupas</t>
  </si>
  <si>
    <t>/kupas/</t>
  </si>
  <si>
    <t>coupât</t>
  </si>
  <si>
    <t>/kup/</t>
  </si>
  <si>
    <t>/kuk/</t>
  </si>
  <si>
    <t>coûta</t>
  </si>
  <si>
    <t>/kuta/</t>
  </si>
  <si>
    <t>/kutam/</t>
  </si>
  <si>
    <t>coûtas</t>
  </si>
  <si>
    <t>/kutas/</t>
  </si>
  <si>
    <t>coûtât</t>
  </si>
  <si>
    <t>coutil</t>
  </si>
  <si>
    <t>/kuti/</t>
  </si>
  <si>
    <t>kuti</t>
  </si>
  <si>
    <t>coutils</t>
  </si>
  <si>
    <t>/sinik/</t>
  </si>
  <si>
    <t>Himalaya</t>
  </si>
  <si>
    <t>/imalaja/</t>
  </si>
  <si>
    <t>imalaya</t>
  </si>
  <si>
    <t>Himalayas</t>
  </si>
  <si>
    <t>Himalaya_Mountains</t>
  </si>
  <si>
    <t>/ipik/</t>
  </si>
  <si>
    <t>/umus/</t>
  </si>
  <si>
    <t>IMA</t>
  </si>
  <si>
    <t>/ima/</t>
  </si>
  <si>
    <t>ima</t>
  </si>
  <si>
    <t>/imita/</t>
  </si>
  <si>
    <t>/imitam/</t>
  </si>
  <si>
    <t>/imitas/</t>
  </si>
  <si>
    <t>imitât</t>
  </si>
  <si>
    <t>immisça</t>
  </si>
  <si>
    <t>/imisa/</t>
  </si>
  <si>
    <t>/imisɑm/</t>
  </si>
  <si>
    <t>immisças</t>
  </si>
  <si>
    <t>/imisas/</t>
  </si>
  <si>
    <t>/imisɑ/</t>
  </si>
  <si>
    <t>/imis/</t>
  </si>
  <si>
    <t>INA</t>
  </si>
  <si>
    <t>/ina/</t>
  </si>
  <si>
    <t>ina</t>
  </si>
  <si>
    <t>/inamikal/</t>
  </si>
  <si>
    <t>inhala</t>
  </si>
  <si>
    <t>inhalas</t>
  </si>
  <si>
    <t>inhalât</t>
  </si>
  <si>
    <t>/inik/</t>
  </si>
  <si>
    <t>/inisi/</t>
  </si>
  <si>
    <t>/italik/</t>
  </si>
  <si>
    <t>kilogram</t>
  </si>
  <si>
    <t>kg</t>
  </si>
  <si>
    <t>kilo</t>
  </si>
  <si>
    <t>potassium</t>
  </si>
  <si>
    <t>atomic_number_19</t>
  </si>
  <si>
    <t>/kiki/</t>
  </si>
  <si>
    <t>/kil/</t>
  </si>
  <si>
    <t>kippa</t>
  </si>
  <si>
    <t>/kipa/</t>
  </si>
  <si>
    <t>kipa</t>
  </si>
  <si>
    <t>skullcap</t>
  </si>
  <si>
    <t>yarmulke</t>
  </si>
  <si>
    <t>yarmulka</t>
  </si>
  <si>
    <t>yarmelke</t>
  </si>
  <si>
    <t>là</t>
  </si>
  <si>
    <t>meanwhile</t>
  </si>
  <si>
    <t>meantime</t>
  </si>
  <si>
    <t>in_the_meantime</t>
  </si>
  <si>
    <t>there</t>
  </si>
  <si>
    <t>at_that_place</t>
  </si>
  <si>
    <t>in_that_location</t>
  </si>
  <si>
    <t>thither</t>
  </si>
  <si>
    <t>in_that_respect</t>
  </si>
  <si>
    <t>on_that_point</t>
  </si>
  <si>
    <t>/lapalis/</t>
  </si>
  <si>
    <t>laça</t>
  </si>
  <si>
    <t>laças</t>
  </si>
  <si>
    <t>lâcha</t>
  </si>
  <si>
    <t>lâchas</t>
  </si>
  <si>
    <t>lâchât</t>
  </si>
  <si>
    <t>lama</t>
  </si>
  <si>
    <t>/lama/</t>
  </si>
  <si>
    <t>llama</t>
  </si>
  <si>
    <t>Lama</t>
  </si>
  <si>
    <t>genus_Lama</t>
  </si>
  <si>
    <t>lamas</t>
  </si>
  <si>
    <t>/lamina/</t>
  </si>
  <si>
    <t>/laminam/</t>
  </si>
  <si>
    <t>/laminas/</t>
  </si>
  <si>
    <t>laminât</t>
  </si>
  <si>
    <t>/lamin/</t>
  </si>
  <si>
    <t>lapât</t>
  </si>
  <si>
    <t>/lapina/</t>
  </si>
  <si>
    <t>/lapinam/</t>
  </si>
  <si>
    <t>/lapinas/</t>
  </si>
  <si>
    <t>lapinât</t>
  </si>
  <si>
    <t>/lapin/</t>
  </si>
  <si>
    <t>/lapis/</t>
  </si>
  <si>
    <t>laqua</t>
  </si>
  <si>
    <t>laquas</t>
  </si>
  <si>
    <t>laquât</t>
  </si>
  <si>
    <t>lassa</t>
  </si>
  <si>
    <t>Lassa</t>
  </si>
  <si>
    <t>lassas</t>
  </si>
  <si>
    <t>lassât</t>
  </si>
  <si>
    <t>latine</t>
  </si>
  <si>
    <t>/latin/</t>
  </si>
  <si>
    <t>latin</t>
  </si>
  <si>
    <t>latines</t>
  </si>
  <si>
    <t>latta</t>
  </si>
  <si>
    <t>lattas</t>
  </si>
  <si>
    <t>lattât</t>
  </si>
  <si>
    <t>lattis</t>
  </si>
  <si>
    <t>/lati/</t>
  </si>
  <si>
    <t>lati</t>
  </si>
  <si>
    <t>/lis/</t>
  </si>
  <si>
    <t>licita</t>
  </si>
  <si>
    <t>/lisita/</t>
  </si>
  <si>
    <t>/lisitam/</t>
  </si>
  <si>
    <t>licitas</t>
  </si>
  <si>
    <t>/lisitas/</t>
  </si>
  <si>
    <t>licitât</t>
  </si>
  <si>
    <t>/liku/</t>
  </si>
  <si>
    <t>ligna</t>
  </si>
  <si>
    <t>lignas</t>
  </si>
  <si>
    <t>lignât</t>
  </si>
  <si>
    <t>lilas</t>
  </si>
  <si>
    <t>/lila/</t>
  </si>
  <si>
    <t>lila</t>
  </si>
  <si>
    <t>lavender</t>
  </si>
  <si>
    <t>lilac</t>
  </si>
  <si>
    <t>lilac-colored</t>
  </si>
  <si>
    <t>/lil/</t>
  </si>
  <si>
    <t>/lima/</t>
  </si>
  <si>
    <t>Lima</t>
  </si>
  <si>
    <t>capital_of_Peru</t>
  </si>
  <si>
    <t>/limas/</t>
  </si>
  <si>
    <t>/limaj/</t>
  </si>
  <si>
    <t>/limam/</t>
  </si>
  <si>
    <t>limât</t>
  </si>
  <si>
    <t>/lim/</t>
  </si>
  <si>
    <t>/limita/</t>
  </si>
  <si>
    <t>/limitam/</t>
  </si>
  <si>
    <t>/limitas/</t>
  </si>
  <si>
    <t>limitât</t>
  </si>
  <si>
    <t>/limu/</t>
  </si>
  <si>
    <t>/lip/</t>
  </si>
  <si>
    <t>lissa</t>
  </si>
  <si>
    <t>/lisa/</t>
  </si>
  <si>
    <t>/lisam/</t>
  </si>
  <si>
    <t>lissas</t>
  </si>
  <si>
    <t>/lisas/</t>
  </si>
  <si>
    <t>lissât</t>
  </si>
  <si>
    <t>/litani/</t>
  </si>
  <si>
    <t>/luk/</t>
  </si>
  <si>
    <t>loucha</t>
  </si>
  <si>
    <t>/luʃa/</t>
  </si>
  <si>
    <t>/luʃam/</t>
  </si>
  <si>
    <t>louchas</t>
  </si>
  <si>
    <t>/luʃas/</t>
  </si>
  <si>
    <t>louchât</t>
  </si>
  <si>
    <t>/luʃ/</t>
  </si>
  <si>
    <t>/lukum/</t>
  </si>
  <si>
    <t>/lulu/</t>
  </si>
  <si>
    <t>loupa</t>
  </si>
  <si>
    <t>/lupa/</t>
  </si>
  <si>
    <t>/lupam/</t>
  </si>
  <si>
    <t>loupas</t>
  </si>
  <si>
    <t>/lupas/</t>
  </si>
  <si>
    <t>loupât</t>
  </si>
  <si>
    <t>/lup/</t>
  </si>
  <si>
    <t>mâcha</t>
  </si>
  <si>
    <t>mâchas</t>
  </si>
  <si>
    <t>mâchât</t>
  </si>
  <si>
    <t>/maʃikuli/</t>
  </si>
  <si>
    <t>machina</t>
  </si>
  <si>
    <t>/maʃina/</t>
  </si>
  <si>
    <t>/maʃinal/</t>
  </si>
  <si>
    <t>/maʃinam/</t>
  </si>
  <si>
    <t>machinas</t>
  </si>
  <si>
    <t>/maʃinas/</t>
  </si>
  <si>
    <t>machinât</t>
  </si>
  <si>
    <t>/maʃin/</t>
  </si>
  <si>
    <t>machine-outil</t>
  </si>
  <si>
    <t>/maʃinuti/</t>
  </si>
  <si>
    <t>mashinuti</t>
  </si>
  <si>
    <t>machine_tool</t>
  </si>
  <si>
    <t>mâchouilla</t>
  </si>
  <si>
    <t>/maʃuja/</t>
  </si>
  <si>
    <t>/maʃujam/</t>
  </si>
  <si>
    <t>mâchouillas</t>
  </si>
  <si>
    <t>/maʃujas/</t>
  </si>
  <si>
    <t>mâchouillât</t>
  </si>
  <si>
    <t>/maʃuj/</t>
  </si>
  <si>
    <t>magna</t>
  </si>
  <si>
    <t>/maɲanim/</t>
  </si>
  <si>
    <t>magnas</t>
  </si>
  <si>
    <t>magnat</t>
  </si>
  <si>
    <t>baron</t>
  </si>
  <si>
    <t>big_businessman</t>
  </si>
  <si>
    <t>business_leader</t>
  </si>
  <si>
    <t>king</t>
  </si>
  <si>
    <t>magnate</t>
  </si>
  <si>
    <t>mogul</t>
  </si>
  <si>
    <t>power</t>
  </si>
  <si>
    <t>top_executive</t>
  </si>
  <si>
    <t>tycoon</t>
  </si>
  <si>
    <t>Mogul</t>
  </si>
  <si>
    <t>Moghul</t>
  </si>
  <si>
    <t>magnât</t>
  </si>
  <si>
    <t>magnats</t>
  </si>
  <si>
    <t>Malacca</t>
  </si>
  <si>
    <t>/malaka/</t>
  </si>
  <si>
    <t>malaka</t>
  </si>
  <si>
    <t>/malis/</t>
  </si>
  <si>
    <t>/malin/</t>
  </si>
  <si>
    <t>/manij/</t>
  </si>
  <si>
    <t>/manip/</t>
  </si>
  <si>
    <t>/manitu/</t>
  </si>
  <si>
    <t>/manuʃ/</t>
  </si>
  <si>
    <t>maqua</t>
  </si>
  <si>
    <t>maquas</t>
  </si>
  <si>
    <t>maquât</t>
  </si>
  <si>
    <t>maquilla</t>
  </si>
  <si>
    <t>/makija/</t>
  </si>
  <si>
    <t>/makijam/</t>
  </si>
  <si>
    <t>maquillas</t>
  </si>
  <si>
    <t>/makijas/</t>
  </si>
  <si>
    <t>maquillât</t>
  </si>
  <si>
    <t>/makij/</t>
  </si>
  <si>
    <t>massa</t>
  </si>
  <si>
    <t>massas</t>
  </si>
  <si>
    <t>massât</t>
  </si>
  <si>
    <t>/masik/</t>
  </si>
  <si>
    <t>mât</t>
  </si>
  <si>
    <t>flagpole</t>
  </si>
  <si>
    <t>flagstaff</t>
  </si>
  <si>
    <t>mast</t>
  </si>
  <si>
    <t>Flagstaff</t>
  </si>
  <si>
    <t>mâta</t>
  </si>
  <si>
    <t>mâtas</t>
  </si>
  <si>
    <t>matât</t>
  </si>
  <si>
    <t>mâtât</t>
  </si>
  <si>
    <t>mati</t>
  </si>
  <si>
    <t>/mati/</t>
  </si>
  <si>
    <t>matie</t>
  </si>
  <si>
    <t>maties</t>
  </si>
  <si>
    <t>matîmes</t>
  </si>
  <si>
    <t>/matim/</t>
  </si>
  <si>
    <t>matim</t>
  </si>
  <si>
    <t>mâtina</t>
  </si>
  <si>
    <t>/matina/</t>
  </si>
  <si>
    <t>matina</t>
  </si>
  <si>
    <t>matinal</t>
  </si>
  <si>
    <t>/matinal/</t>
  </si>
  <si>
    <t>matinale</t>
  </si>
  <si>
    <t>matinales</t>
  </si>
  <si>
    <t>mâtinâmes</t>
  </si>
  <si>
    <t>/matinam/</t>
  </si>
  <si>
    <t>matinam</t>
  </si>
  <si>
    <t>mâtinas</t>
  </si>
  <si>
    <t>mâtinasse</t>
  </si>
  <si>
    <t>/matinas/</t>
  </si>
  <si>
    <t>matinas</t>
  </si>
  <si>
    <t>mâtinassent</t>
  </si>
  <si>
    <t>mâtinasses</t>
  </si>
  <si>
    <t>mâtinât</t>
  </si>
  <si>
    <t>matine</t>
  </si>
  <si>
    <t>/matin/</t>
  </si>
  <si>
    <t>matin</t>
  </si>
  <si>
    <t>mâtine</t>
  </si>
  <si>
    <t>mâtinent</t>
  </si>
  <si>
    <t>matines</t>
  </si>
  <si>
    <t>matins</t>
  </si>
  <si>
    <t>morning_prayer</t>
  </si>
  <si>
    <t>mâtines</t>
  </si>
  <si>
    <t>matis</t>
  </si>
  <si>
    <t>matisse</t>
  </si>
  <si>
    <t>/matis/</t>
  </si>
  <si>
    <t>matissent</t>
  </si>
  <si>
    <t>matisses</t>
  </si>
  <si>
    <t>matit</t>
  </si>
  <si>
    <t>matît</t>
  </si>
  <si>
    <t>mâts</t>
  </si>
  <si>
    <t>mayas</t>
  </si>
  <si>
    <t>mica</t>
  </si>
  <si>
    <t>/mika/</t>
  </si>
  <si>
    <t>mika</t>
  </si>
  <si>
    <t>isinglass</t>
  </si>
  <si>
    <t>micas</t>
  </si>
  <si>
    <t>/miʃ/</t>
  </si>
  <si>
    <t>/mil/</t>
  </si>
  <si>
    <t>/milis/</t>
  </si>
  <si>
    <t>/milita/</t>
  </si>
  <si>
    <t>/militam/</t>
  </si>
  <si>
    <t>/militas/</t>
  </si>
  <si>
    <t>militât</t>
  </si>
  <si>
    <t>/mima/</t>
  </si>
  <si>
    <t>/mimam/</t>
  </si>
  <si>
    <t>/mimas/</t>
  </si>
  <si>
    <t>mimât</t>
  </si>
  <si>
    <t>/mim/</t>
  </si>
  <si>
    <t>/mimi/</t>
  </si>
  <si>
    <t>/mimik/</t>
  </si>
  <si>
    <t>/mina/</t>
  </si>
  <si>
    <t>/minam/</t>
  </si>
  <si>
    <t>/minas/</t>
  </si>
  <si>
    <t>minât</t>
  </si>
  <si>
    <t>/min/</t>
  </si>
  <si>
    <t>/mini/</t>
  </si>
  <si>
    <t>/minimal/</t>
  </si>
  <si>
    <t>/minim/</t>
  </si>
  <si>
    <t>/minu/</t>
  </si>
  <si>
    <t>/mis/</t>
  </si>
  <si>
    <t>/misil/</t>
  </si>
  <si>
    <t>/misisipi/</t>
  </si>
  <si>
    <t>/mita/</t>
  </si>
  <si>
    <t>/mitam/</t>
  </si>
  <si>
    <t>/mitas/</t>
  </si>
  <si>
    <t>mitât</t>
  </si>
  <si>
    <t>moucha</t>
  </si>
  <si>
    <t>/muʃa/</t>
  </si>
  <si>
    <t>/muʃam/</t>
  </si>
  <si>
    <t>mouchas</t>
  </si>
  <si>
    <t>/muʃas/</t>
  </si>
  <si>
    <t>mouchât</t>
  </si>
  <si>
    <t>/muʃ/</t>
  </si>
  <si>
    <t>mouilla</t>
  </si>
  <si>
    <t>/muja/</t>
  </si>
  <si>
    <t>/mujam/</t>
  </si>
  <si>
    <t>mouillas</t>
  </si>
  <si>
    <t>/mujas/</t>
  </si>
  <si>
    <t>mouillât</t>
  </si>
  <si>
    <t>/muj/</t>
  </si>
  <si>
    <t>moula</t>
  </si>
  <si>
    <t>/mula/</t>
  </si>
  <si>
    <t>/mulam/</t>
  </si>
  <si>
    <t>moulas</t>
  </si>
  <si>
    <t>/mulas/</t>
  </si>
  <si>
    <t>moulât</t>
  </si>
  <si>
    <t>/mul/</t>
  </si>
  <si>
    <t>moulina</t>
  </si>
  <si>
    <t>/mulina/</t>
  </si>
  <si>
    <t>/mulinam/</t>
  </si>
  <si>
    <t>moulinas</t>
  </si>
  <si>
    <t>/mulinas/</t>
  </si>
  <si>
    <t>moulinât</t>
  </si>
  <si>
    <t>/mulin/</t>
  </si>
  <si>
    <t>moussa</t>
  </si>
  <si>
    <t>/musa/</t>
  </si>
  <si>
    <t>moussaka</t>
  </si>
  <si>
    <t>/musaka/</t>
  </si>
  <si>
    <t>musaka</t>
  </si>
  <si>
    <t>/musam/</t>
  </si>
  <si>
    <t>moussas</t>
  </si>
  <si>
    <t>/musas/</t>
  </si>
  <si>
    <t>moussât</t>
  </si>
  <si>
    <t>/mus/</t>
  </si>
  <si>
    <t>mythique</t>
  </si>
  <si>
    <t>/mitik/</t>
  </si>
  <si>
    <t>mitik</t>
  </si>
  <si>
    <t>fabulous</t>
  </si>
  <si>
    <t>mythic</t>
  </si>
  <si>
    <t>mythical</t>
  </si>
  <si>
    <t>mythologic</t>
  </si>
  <si>
    <t>mythological</t>
  </si>
  <si>
    <t>mythiques</t>
  </si>
  <si>
    <t>na</t>
  </si>
  <si>
    <t>/na/</t>
  </si>
  <si>
    <t>sodium</t>
  </si>
  <si>
    <t>Na</t>
  </si>
  <si>
    <t>atomic_number_11</t>
  </si>
  <si>
    <t>nana</t>
  </si>
  <si>
    <t>/nana/</t>
  </si>
  <si>
    <t>chick</t>
  </si>
  <si>
    <t>dame</t>
  </si>
  <si>
    <t>doll</t>
  </si>
  <si>
    <t>wench</t>
  </si>
  <si>
    <t>skirt</t>
  </si>
  <si>
    <t>bird</t>
  </si>
  <si>
    <t>nanas</t>
  </si>
  <si>
    <t>nappa</t>
  </si>
  <si>
    <t>nappas</t>
  </si>
  <si>
    <t>nappât</t>
  </si>
  <si>
    <t>natta</t>
  </si>
  <si>
    <t>nattas</t>
  </si>
  <si>
    <t>nattât</t>
  </si>
  <si>
    <t>nicha</t>
  </si>
  <si>
    <t>/niʃa/</t>
  </si>
  <si>
    <t>/niʃam/</t>
  </si>
  <si>
    <t>nichas</t>
  </si>
  <si>
    <t>/niʃas/</t>
  </si>
  <si>
    <t>nichât</t>
  </si>
  <si>
    <t>/niʃ/</t>
  </si>
  <si>
    <t>/nil/</t>
  </si>
  <si>
    <t>/ninas/</t>
  </si>
  <si>
    <t>nippa</t>
  </si>
  <si>
    <t>/nipa/</t>
  </si>
  <si>
    <t>/nipam/</t>
  </si>
  <si>
    <t>nippas</t>
  </si>
  <si>
    <t>/nipas/</t>
  </si>
  <si>
    <t>nippât</t>
  </si>
  <si>
    <t>/nip/</t>
  </si>
  <si>
    <t>/nik/</t>
  </si>
  <si>
    <t>/nuj/</t>
  </si>
  <si>
    <t>/nunu/</t>
  </si>
  <si>
    <t>outil</t>
  </si>
  <si>
    <t>/uti/</t>
  </si>
  <si>
    <t>uti</t>
  </si>
  <si>
    <t>instrument</t>
  </si>
  <si>
    <t>tool</t>
  </si>
  <si>
    <t>instrumentate</t>
  </si>
  <si>
    <t>joyride</t>
  </si>
  <si>
    <t>tool_around</t>
  </si>
  <si>
    <t>appliance</t>
  </si>
  <si>
    <t>contraption</t>
  </si>
  <si>
    <t>contrivance</t>
  </si>
  <si>
    <t>convenience</t>
  </si>
  <si>
    <t>gadget</t>
  </si>
  <si>
    <t>gizmo</t>
  </si>
  <si>
    <t>gismo</t>
  </si>
  <si>
    <t>widget</t>
  </si>
  <si>
    <t>fitting</t>
  </si>
  <si>
    <t>implement</t>
  </si>
  <si>
    <t>utensil</t>
  </si>
  <si>
    <t>cock</t>
  </si>
  <si>
    <t>prick</t>
  </si>
  <si>
    <t>dick</t>
  </si>
  <si>
    <t>shaft</t>
  </si>
  <si>
    <t>peter</t>
  </si>
  <si>
    <t>putz</t>
  </si>
  <si>
    <t>instrumental_role</t>
  </si>
  <si>
    <t>puppet</t>
  </si>
  <si>
    <t>pawn</t>
  </si>
  <si>
    <t>cat's-paw</t>
  </si>
  <si>
    <t>outilla</t>
  </si>
  <si>
    <t>/utija/</t>
  </si>
  <si>
    <t>utiya</t>
  </si>
  <si>
    <t>outillâmes</t>
  </si>
  <si>
    <t>/utijam/</t>
  </si>
  <si>
    <t>utiyam</t>
  </si>
  <si>
    <t>outillas</t>
  </si>
  <si>
    <t>outillasse</t>
  </si>
  <si>
    <t>/utijas/</t>
  </si>
  <si>
    <t>utiyas</t>
  </si>
  <si>
    <t>outillassent</t>
  </si>
  <si>
    <t>outillasses</t>
  </si>
  <si>
    <t>outillât</t>
  </si>
  <si>
    <t>outille</t>
  </si>
  <si>
    <t>/utij/</t>
  </si>
  <si>
    <t>utiy</t>
  </si>
  <si>
    <t>outillent</t>
  </si>
  <si>
    <t>outilles</t>
  </si>
  <si>
    <t>outils</t>
  </si>
  <si>
    <t>PACA</t>
  </si>
  <si>
    <t>paca</t>
  </si>
  <si>
    <t>Cuniculus_paca</t>
  </si>
  <si>
    <t>pacha</t>
  </si>
  <si>
    <t>pachas</t>
  </si>
  <si>
    <t>pailla</t>
  </si>
  <si>
    <t>paillas</t>
  </si>
  <si>
    <t>paillât</t>
  </si>
  <si>
    <t>Palatinat</t>
  </si>
  <si>
    <t>/palatina/</t>
  </si>
  <si>
    <t>palatina</t>
  </si>
  <si>
    <t>Palatinate</t>
  </si>
  <si>
    <t>Pfalz</t>
  </si>
  <si>
    <t>/palatin/</t>
  </si>
  <si>
    <t>palatin</t>
  </si>
  <si>
    <t>palatines</t>
  </si>
  <si>
    <t>/palim/</t>
  </si>
  <si>
    <t>/palis/</t>
  </si>
  <si>
    <t>pâma</t>
  </si>
  <si>
    <t>pâmas</t>
  </si>
  <si>
    <t>pâmât</t>
  </si>
  <si>
    <t>panacha</t>
  </si>
  <si>
    <t>panachas</t>
  </si>
  <si>
    <t>panachât</t>
  </si>
  <si>
    <t>panama</t>
  </si>
  <si>
    <t>/panama/</t>
  </si>
  <si>
    <t>boater</t>
  </si>
  <si>
    <t>leghorn</t>
  </si>
  <si>
    <t>Panama</t>
  </si>
  <si>
    <t>Panama_hat</t>
  </si>
  <si>
    <t>sailor</t>
  </si>
  <si>
    <t>skimmer</t>
  </si>
  <si>
    <t>straw_hat</t>
  </si>
  <si>
    <t>Republic_of_Panama</t>
  </si>
  <si>
    <t>panamas</t>
  </si>
  <si>
    <t>panât</t>
  </si>
  <si>
    <t>/panini/</t>
  </si>
  <si>
    <t>paniqua</t>
  </si>
  <si>
    <t>/panika/</t>
  </si>
  <si>
    <t>/panikam/</t>
  </si>
  <si>
    <t>paniquas</t>
  </si>
  <si>
    <t>/panikas/</t>
  </si>
  <si>
    <t>paniquât</t>
  </si>
  <si>
    <t>/panik/</t>
  </si>
  <si>
    <t>/papij/</t>
  </si>
  <si>
    <t>/papuj/</t>
  </si>
  <si>
    <t>not</t>
  </si>
  <si>
    <t>non</t>
  </si>
  <si>
    <t>nowhere</t>
  </si>
  <si>
    <t>pitch</t>
  </si>
  <si>
    <t>delivery</t>
  </si>
  <si>
    <t>incorrectly</t>
  </si>
  <si>
    <t>wrong</t>
  </si>
  <si>
    <t>stride</t>
  </si>
  <si>
    <t>step</t>
  </si>
  <si>
    <t>pace</t>
  </si>
  <si>
    <t>tread</t>
  </si>
  <si>
    <t>footstep</t>
  </si>
  <si>
    <t>lurch</t>
  </si>
  <si>
    <t>pitching</t>
  </si>
  <si>
    <t>auction_pitch</t>
  </si>
  <si>
    <t>dance_step</t>
  </si>
  <si>
    <t>screw_thread</t>
  </si>
  <si>
    <t>thread</t>
  </si>
  <si>
    <t>stair</t>
  </si>
  <si>
    <t>footprint</t>
  </si>
  <si>
    <t>footmark</t>
  </si>
  <si>
    <t>no</t>
  </si>
  <si>
    <t>footfall</t>
  </si>
  <si>
    <t>ribbon</t>
  </si>
  <si>
    <t>gait</t>
  </si>
  <si>
    <t>tempo</t>
  </si>
  <si>
    <t>passa</t>
  </si>
  <si>
    <t>passas</t>
  </si>
  <si>
    <t>passât</t>
  </si>
  <si>
    <t>patata</t>
  </si>
  <si>
    <t>/patata/</t>
  </si>
  <si>
    <t>patati</t>
  </si>
  <si>
    <t>/patati/</t>
  </si>
  <si>
    <t>pâti</t>
  </si>
  <si>
    <t>/pati/</t>
  </si>
  <si>
    <t>pati</t>
  </si>
  <si>
    <t>pâtie</t>
  </si>
  <si>
    <t>pâties</t>
  </si>
  <si>
    <t>pâtîmes</t>
  </si>
  <si>
    <t>/patim/</t>
  </si>
  <si>
    <t>patim</t>
  </si>
  <si>
    <t>/patina/</t>
  </si>
  <si>
    <t>patinâmes</t>
  </si>
  <si>
    <t>/patinam/</t>
  </si>
  <si>
    <t>patinam</t>
  </si>
  <si>
    <t>patinas</t>
  </si>
  <si>
    <t>patinasse</t>
  </si>
  <si>
    <t>/patinas/</t>
  </si>
  <si>
    <t>patinassent</t>
  </si>
  <si>
    <t>patinasses</t>
  </si>
  <si>
    <t>patinât</t>
  </si>
  <si>
    <t>patine</t>
  </si>
  <si>
    <t>/patin/</t>
  </si>
  <si>
    <t>patin</t>
  </si>
  <si>
    <t>patinent</t>
  </si>
  <si>
    <t>patines</t>
  </si>
  <si>
    <t>pâtis</t>
  </si>
  <si>
    <t>pâtisse</t>
  </si>
  <si>
    <t>/patis/</t>
  </si>
  <si>
    <t>patis</t>
  </si>
  <si>
    <t>pâtissent</t>
  </si>
  <si>
    <t>pâtisses</t>
  </si>
  <si>
    <t>pâtit</t>
  </si>
  <si>
    <t>pâtît</t>
  </si>
  <si>
    <t>patouilla</t>
  </si>
  <si>
    <t>/patuja/</t>
  </si>
  <si>
    <t>/patujam/</t>
  </si>
  <si>
    <t>patouillas</t>
  </si>
  <si>
    <t>/patujas/</t>
  </si>
  <si>
    <t>patouillât</t>
  </si>
  <si>
    <t>/patuj/</t>
  </si>
  <si>
    <t>/pik/</t>
  </si>
  <si>
    <t>/pila/</t>
  </si>
  <si>
    <t>/pilam/</t>
  </si>
  <si>
    <t>/pilas/</t>
  </si>
  <si>
    <t>pilât</t>
  </si>
  <si>
    <t>/pil/</t>
  </si>
  <si>
    <t>/pilipili/</t>
  </si>
  <si>
    <t>pilla</t>
  </si>
  <si>
    <t>/pija/</t>
  </si>
  <si>
    <t>/pijam/</t>
  </si>
  <si>
    <t>pillas</t>
  </si>
  <si>
    <t>/pijas/</t>
  </si>
  <si>
    <t>pillât</t>
  </si>
  <si>
    <t>/pij/</t>
  </si>
  <si>
    <t>/pilu/</t>
  </si>
  <si>
    <t>pinailla</t>
  </si>
  <si>
    <t>/pinaja/</t>
  </si>
  <si>
    <t>/pinajam/</t>
  </si>
  <si>
    <t>pinaillas</t>
  </si>
  <si>
    <t>/pinajas/</t>
  </si>
  <si>
    <t>pinaillât</t>
  </si>
  <si>
    <t>/pinaj/</t>
  </si>
  <si>
    <t>/pinas/</t>
  </si>
  <si>
    <t>/pipa/</t>
  </si>
  <si>
    <t>Pipa</t>
  </si>
  <si>
    <t>genus_Pipa</t>
  </si>
  <si>
    <t>Surinam_toad</t>
  </si>
  <si>
    <t>Pipa_pipa</t>
  </si>
  <si>
    <t>Pipa_americana</t>
  </si>
  <si>
    <t>/pipam/</t>
  </si>
  <si>
    <t>/pipas/</t>
  </si>
  <si>
    <t>pipât</t>
  </si>
  <si>
    <t>/pip/</t>
  </si>
  <si>
    <t>/pipi/</t>
  </si>
  <si>
    <t>piqua</t>
  </si>
  <si>
    <t>/pika/</t>
  </si>
  <si>
    <t>/pikam/</t>
  </si>
  <si>
    <t>piquas</t>
  </si>
  <si>
    <t>/pikas/</t>
  </si>
  <si>
    <t>piquât</t>
  </si>
  <si>
    <t>/pisin/</t>
  </si>
  <si>
    <t>pissa</t>
  </si>
  <si>
    <t>/pisa/</t>
  </si>
  <si>
    <t>/pisam/</t>
  </si>
  <si>
    <t>pissas</t>
  </si>
  <si>
    <t>/pisas/</t>
  </si>
  <si>
    <t>pissât</t>
  </si>
  <si>
    <t>/pis/</t>
  </si>
  <si>
    <t>pita</t>
  </si>
  <si>
    <t>/pita/</t>
  </si>
  <si>
    <t>pocket_bread</t>
  </si>
  <si>
    <t>/pul/</t>
  </si>
  <si>
    <t>/puliʃ/</t>
  </si>
  <si>
    <t>/puli/</t>
  </si>
  <si>
    <t>poulina</t>
  </si>
  <si>
    <t>/pulina/</t>
  </si>
  <si>
    <t>/pulinam/</t>
  </si>
  <si>
    <t>poulinas</t>
  </si>
  <si>
    <t>/pulinas/</t>
  </si>
  <si>
    <t>poulinât</t>
  </si>
  <si>
    <t>/pulin/</t>
  </si>
  <si>
    <t>/pup/</t>
  </si>
  <si>
    <t>/pupin/</t>
  </si>
  <si>
    <t>poussa</t>
  </si>
  <si>
    <t>/pusa/</t>
  </si>
  <si>
    <t>/pusam/</t>
  </si>
  <si>
    <t>poussas</t>
  </si>
  <si>
    <t>/pusas/</t>
  </si>
  <si>
    <t>poussât</t>
  </si>
  <si>
    <t>/pusin/</t>
  </si>
  <si>
    <t>pythie</t>
  </si>
  <si>
    <t>/piti/</t>
  </si>
  <si>
    <t>piti</t>
  </si>
  <si>
    <t>Pythia</t>
  </si>
  <si>
    <t>Pythoness</t>
  </si>
  <si>
    <t>pythies</t>
  </si>
  <si>
    <t>/kiʃ/</t>
  </si>
  <si>
    <t>/kij/</t>
  </si>
  <si>
    <t>/kinin/</t>
  </si>
  <si>
    <t>quitta</t>
  </si>
  <si>
    <t>/kita/</t>
  </si>
  <si>
    <t>/kitam/</t>
  </si>
  <si>
    <t>quittas</t>
  </si>
  <si>
    <t>/kitas/</t>
  </si>
  <si>
    <t>quittât</t>
  </si>
  <si>
    <t>sacqua</t>
  </si>
  <si>
    <t>sacquas</t>
  </si>
  <si>
    <t>sacquât</t>
  </si>
  <si>
    <t>wage</t>
  </si>
  <si>
    <t>earnings</t>
  </si>
  <si>
    <t>remuneration</t>
  </si>
  <si>
    <t>salary</t>
  </si>
  <si>
    <t>salât</t>
  </si>
  <si>
    <t>salat</t>
  </si>
  <si>
    <t>salaat</t>
  </si>
  <si>
    <t>salah</t>
  </si>
  <si>
    <t>salaah</t>
  </si>
  <si>
    <t>/salisilik/</t>
  </si>
  <si>
    <t>/salim/</t>
  </si>
  <si>
    <t>/salin/</t>
  </si>
  <si>
    <t>/salik/</t>
  </si>
  <si>
    <t>/salis/</t>
  </si>
  <si>
    <t>/salun/</t>
  </si>
  <si>
    <t>sana</t>
  </si>
  <si>
    <t>/sana/</t>
  </si>
  <si>
    <t>sanas</t>
  </si>
  <si>
    <t>saoula</t>
  </si>
  <si>
    <t>/sula/</t>
  </si>
  <si>
    <t>/sulam/</t>
  </si>
  <si>
    <t>saoulas</t>
  </si>
  <si>
    <t>/sulas/</t>
  </si>
  <si>
    <t>saoulât</t>
  </si>
  <si>
    <t>/sul/</t>
  </si>
  <si>
    <t>sapât</t>
  </si>
  <si>
    <t>/sapin/</t>
  </si>
  <si>
    <t>saqua</t>
  </si>
  <si>
    <t>saquas</t>
  </si>
  <si>
    <t>saquât</t>
  </si>
  <si>
    <t>/satanik/</t>
  </si>
  <si>
    <t>satina</t>
  </si>
  <si>
    <t>/satina/</t>
  </si>
  <si>
    <t>satinâmes</t>
  </si>
  <si>
    <t>/satinam/</t>
  </si>
  <si>
    <t>satinam</t>
  </si>
  <si>
    <t>satinas</t>
  </si>
  <si>
    <t>satinasse</t>
  </si>
  <si>
    <t>/satinas/</t>
  </si>
  <si>
    <t>satinassent</t>
  </si>
  <si>
    <t>satinasses</t>
  </si>
  <si>
    <t>satinât</t>
  </si>
  <si>
    <t>satine</t>
  </si>
  <si>
    <t>/satin/</t>
  </si>
  <si>
    <t>satin</t>
  </si>
  <si>
    <t>satinent</t>
  </si>
  <si>
    <t>satines</t>
  </si>
  <si>
    <t>/ʃus/</t>
  </si>
  <si>
    <t>/sin/</t>
  </si>
  <si>
    <t>shah</t>
  </si>
  <si>
    <t>shahs</t>
  </si>
  <si>
    <t>shoota</t>
  </si>
  <si>
    <t>/ʃuta/</t>
  </si>
  <si>
    <t>/ʃutam/</t>
  </si>
  <si>
    <t>shootas</t>
  </si>
  <si>
    <t>/ʃutas/</t>
  </si>
  <si>
    <t>shootât</t>
  </si>
  <si>
    <t>/sik/</t>
  </si>
  <si>
    <t>/sisil/</t>
  </si>
  <si>
    <t>signa</t>
  </si>
  <si>
    <t>signala</t>
  </si>
  <si>
    <t>signalas</t>
  </si>
  <si>
    <t>signalât</t>
  </si>
  <si>
    <t>signas</t>
  </si>
  <si>
    <t>signât</t>
  </si>
  <si>
    <t>/simili/</t>
  </si>
  <si>
    <t>/simun/</t>
  </si>
  <si>
    <t>/sinaj/</t>
  </si>
  <si>
    <t>sit-in</t>
  </si>
  <si>
    <t>/sitin/</t>
  </si>
  <si>
    <t>sitin</t>
  </si>
  <si>
    <t>/suʃ/</t>
  </si>
  <si>
    <t>/susi/</t>
  </si>
  <si>
    <t>/sukup/</t>
  </si>
  <si>
    <t>souilla</t>
  </si>
  <si>
    <t>/suja/</t>
  </si>
  <si>
    <t>/sujam/</t>
  </si>
  <si>
    <t>souillas</t>
  </si>
  <si>
    <t>/sujas/</t>
  </si>
  <si>
    <t>souillât</t>
  </si>
  <si>
    <t>/suj/</t>
  </si>
  <si>
    <t>/suk/</t>
  </si>
  <si>
    <t>soûla</t>
  </si>
  <si>
    <t>soûlas</t>
  </si>
  <si>
    <t>soûlât</t>
  </si>
  <si>
    <t>souligna</t>
  </si>
  <si>
    <t>/suliɲa/</t>
  </si>
  <si>
    <t>/suliɲam/</t>
  </si>
  <si>
    <t>soulignas</t>
  </si>
  <si>
    <t>/suliɲas/</t>
  </si>
  <si>
    <t>soulignât</t>
  </si>
  <si>
    <t>/suliɲ/</t>
  </si>
  <si>
    <t>/sumim/</t>
  </si>
  <si>
    <t>/sumi/</t>
  </si>
  <si>
    <t>/sumis/</t>
  </si>
  <si>
    <t>soupa</t>
  </si>
  <si>
    <t>/supa/</t>
  </si>
  <si>
    <t>/supam/</t>
  </si>
  <si>
    <t>/supap/</t>
  </si>
  <si>
    <t>soupas</t>
  </si>
  <si>
    <t>/supas/</t>
  </si>
  <si>
    <t>soupât</t>
  </si>
  <si>
    <t>/sup/</t>
  </si>
  <si>
    <t>souqua</t>
  </si>
  <si>
    <t>/suka/</t>
  </si>
  <si>
    <t>/sukam/</t>
  </si>
  <si>
    <t>souquas</t>
  </si>
  <si>
    <t>/sukas/</t>
  </si>
  <si>
    <t>souquât</t>
  </si>
  <si>
    <t>/sukuʃ/</t>
  </si>
  <si>
    <t>/sulu/</t>
  </si>
  <si>
    <t>/sunap/</t>
  </si>
  <si>
    <t>/sutas/</t>
  </si>
  <si>
    <t>/sutan/</t>
  </si>
  <si>
    <t>tacha</t>
  </si>
  <si>
    <t>tâcha</t>
  </si>
  <si>
    <t>tachas</t>
  </si>
  <si>
    <t>tâchas</t>
  </si>
  <si>
    <t>tachât</t>
  </si>
  <si>
    <t>tâchât</t>
  </si>
  <si>
    <t>tailla</t>
  </si>
  <si>
    <t>taillas</t>
  </si>
  <si>
    <t>taillât</t>
  </si>
  <si>
    <t>/tamul/</t>
  </si>
  <si>
    <t>tanna</t>
  </si>
  <si>
    <t>tannas</t>
  </si>
  <si>
    <t>tannât</t>
  </si>
  <si>
    <t>Estonia</t>
  </si>
  <si>
    <t>Esthonia</t>
  </si>
  <si>
    <t>Republic_of_Estonia</t>
  </si>
  <si>
    <t>tapât</t>
  </si>
  <si>
    <t>/tapim/</t>
  </si>
  <si>
    <t>/tapina/</t>
  </si>
  <si>
    <t>/tapinam/</t>
  </si>
  <si>
    <t>/tapinas/</t>
  </si>
  <si>
    <t>tapinât</t>
  </si>
  <si>
    <t>/tapin/</t>
  </si>
  <si>
    <t>tapissa</t>
  </si>
  <si>
    <t>/tapisa/</t>
  </si>
  <si>
    <t>/tapisam/</t>
  </si>
  <si>
    <t>tapissas</t>
  </si>
  <si>
    <t>/tapisas/</t>
  </si>
  <si>
    <t>tapissât</t>
  </si>
  <si>
    <t>/tapis/</t>
  </si>
  <si>
    <t>taquina</t>
  </si>
  <si>
    <t>/takina/</t>
  </si>
  <si>
    <t>/takinam/</t>
  </si>
  <si>
    <t>taquinas</t>
  </si>
  <si>
    <t>/takinas/</t>
  </si>
  <si>
    <t>taquinât</t>
  </si>
  <si>
    <t>/takin/</t>
  </si>
  <si>
    <t>tassa</t>
  </si>
  <si>
    <t>tassas</t>
  </si>
  <si>
    <t>tassât</t>
  </si>
  <si>
    <t>aunt</t>
  </si>
  <si>
    <t>auntie</t>
  </si>
  <si>
    <t>aunty</t>
  </si>
  <si>
    <t>tâta</t>
  </si>
  <si>
    <t>tâtas</t>
  </si>
  <si>
    <t>tâtât</t>
  </si>
  <si>
    <t>Tati</t>
  </si>
  <si>
    <t>/tati/</t>
  </si>
  <si>
    <t>tati</t>
  </si>
  <si>
    <t>tatie</t>
  </si>
  <si>
    <t>tee</t>
  </si>
  <si>
    <t>/ti/</t>
  </si>
  <si>
    <t>ti</t>
  </si>
  <si>
    <t>tees</t>
  </si>
  <si>
    <t>tic</t>
  </si>
  <si>
    <t>/tik/</t>
  </si>
  <si>
    <t>tik</t>
  </si>
  <si>
    <t>twitch</t>
  </si>
  <si>
    <t>communication</t>
  </si>
  <si>
    <t>tics</t>
  </si>
  <si>
    <t>tignasse</t>
  </si>
  <si>
    <t>/tiɲas/</t>
  </si>
  <si>
    <t>tiñas</t>
  </si>
  <si>
    <t>tignasses</t>
  </si>
  <si>
    <t>TIP</t>
  </si>
  <si>
    <t>/tip/</t>
  </si>
  <si>
    <t>tipi</t>
  </si>
  <si>
    <t>/tipi/</t>
  </si>
  <si>
    <t>lodge</t>
  </si>
  <si>
    <t>indian_lodge</t>
  </si>
  <si>
    <t>tepee</t>
  </si>
  <si>
    <t>teepee</t>
  </si>
  <si>
    <t>tiqua</t>
  </si>
  <si>
    <t>/tika/</t>
  </si>
  <si>
    <t>tika</t>
  </si>
  <si>
    <t>tiquâmes</t>
  </si>
  <si>
    <t>/tikam/</t>
  </si>
  <si>
    <t>tikam</t>
  </si>
  <si>
    <t>tiquas</t>
  </si>
  <si>
    <t>tiquasse</t>
  </si>
  <si>
    <t>/tikas/</t>
  </si>
  <si>
    <t>tikas</t>
  </si>
  <si>
    <t>tiquassent</t>
  </si>
  <si>
    <t>tiquasses</t>
  </si>
  <si>
    <t>tiquât</t>
  </si>
  <si>
    <t>tique</t>
  </si>
  <si>
    <t>tick</t>
  </si>
  <si>
    <t>retick</t>
  </si>
  <si>
    <t>Argasidae</t>
  </si>
  <si>
    <t>family_Argasidae</t>
  </si>
  <si>
    <t>ticktock</t>
  </si>
  <si>
    <t>ticktack</t>
  </si>
  <si>
    <t>click</t>
  </si>
  <si>
    <t>check_mark</t>
  </si>
  <si>
    <t>ticking</t>
  </si>
  <si>
    <t>tiquent</t>
  </si>
  <si>
    <t>tiques</t>
  </si>
  <si>
    <t>tissa</t>
  </si>
  <si>
    <t>/tisa/</t>
  </si>
  <si>
    <t>tisa</t>
  </si>
  <si>
    <t>tissâmes</t>
  </si>
  <si>
    <t>/tisam/</t>
  </si>
  <si>
    <t>tisam</t>
  </si>
  <si>
    <t>tissas</t>
  </si>
  <si>
    <t>tissasse</t>
  </si>
  <si>
    <t>/tisas/</t>
  </si>
  <si>
    <t>tisas</t>
  </si>
  <si>
    <t>tissassent</t>
  </si>
  <si>
    <t>tissasses</t>
  </si>
  <si>
    <t>tissât</t>
  </si>
  <si>
    <t>tisse</t>
  </si>
  <si>
    <t>/tis/</t>
  </si>
  <si>
    <t>tis</t>
  </si>
  <si>
    <t>tissent</t>
  </si>
  <si>
    <t>tisses</t>
  </si>
  <si>
    <t>titane</t>
  </si>
  <si>
    <t>/titan/</t>
  </si>
  <si>
    <t>titan</t>
  </si>
  <si>
    <t>titanium</t>
  </si>
  <si>
    <t>Ti</t>
  </si>
  <si>
    <t>atomic_number_22</t>
  </si>
  <si>
    <t>titanes</t>
  </si>
  <si>
    <t>titi</t>
  </si>
  <si>
    <t>/titi/</t>
  </si>
  <si>
    <t>Titicaca</t>
  </si>
  <si>
    <t>/titikaka/</t>
  </si>
  <si>
    <t>titikaka</t>
  </si>
  <si>
    <t>titilla</t>
  </si>
  <si>
    <t>/titija/</t>
  </si>
  <si>
    <t>titiya</t>
  </si>
  <si>
    <t>titillâmes</t>
  </si>
  <si>
    <t>/titijam/</t>
  </si>
  <si>
    <t>titiyam</t>
  </si>
  <si>
    <t>titillas</t>
  </si>
  <si>
    <t>titillasse</t>
  </si>
  <si>
    <t>/titijas/</t>
  </si>
  <si>
    <t>titiyas</t>
  </si>
  <si>
    <t>titillassent</t>
  </si>
  <si>
    <t>titillasses</t>
  </si>
  <si>
    <t>titillât</t>
  </si>
  <si>
    <t>titille</t>
  </si>
  <si>
    <t>/titij/</t>
  </si>
  <si>
    <t>titiy</t>
  </si>
  <si>
    <t>titillent</t>
  </si>
  <si>
    <t>titilles</t>
  </si>
  <si>
    <t>titis</t>
  </si>
  <si>
    <t>toucha</t>
  </si>
  <si>
    <t>/tuʃa/</t>
  </si>
  <si>
    <t>/tuʃam/</t>
  </si>
  <si>
    <t>touchas</t>
  </si>
  <si>
    <t>/tuʃas/</t>
  </si>
  <si>
    <t>touchât</t>
  </si>
  <si>
    <t>/tuʃ/</t>
  </si>
  <si>
    <t>/tuʃatu/</t>
  </si>
  <si>
    <t>touilla</t>
  </si>
  <si>
    <t>/tuja/</t>
  </si>
  <si>
    <t>/tujam/</t>
  </si>
  <si>
    <t>touillas</t>
  </si>
  <si>
    <t>/tujas/</t>
  </si>
  <si>
    <t>touillât</t>
  </si>
  <si>
    <t>/tuj/</t>
  </si>
  <si>
    <t>/tupi/</t>
  </si>
  <si>
    <t>toussa</t>
  </si>
  <si>
    <t>/tusa/</t>
  </si>
  <si>
    <t>/tusam/</t>
  </si>
  <si>
    <t>toussas</t>
  </si>
  <si>
    <t>/tusas/</t>
  </si>
  <si>
    <t>toussât</t>
  </si>
  <si>
    <t>/tus/</t>
  </si>
  <si>
    <t>/tutaku/</t>
  </si>
  <si>
    <t>/tutu/</t>
  </si>
  <si>
    <t>kind</t>
  </si>
  <si>
    <t>form</t>
  </si>
  <si>
    <t>variety</t>
  </si>
  <si>
    <t>make</t>
  </si>
  <si>
    <t>type_specimen</t>
  </si>
  <si>
    <t>holotype</t>
  </si>
  <si>
    <t>variant</t>
  </si>
  <si>
    <t>var.</t>
  </si>
  <si>
    <t>covey</t>
  </si>
  <si>
    <t>nature</t>
  </si>
  <si>
    <t>types</t>
  </si>
  <si>
    <t>typique</t>
  </si>
  <si>
    <t>/tipik/</t>
  </si>
  <si>
    <t>tipik</t>
  </si>
  <si>
    <t>distinctive</t>
  </si>
  <si>
    <t>typical</t>
  </si>
  <si>
    <t>typiques</t>
  </si>
  <si>
    <t>/jin/</t>
  </si>
  <si>
    <t>youpala</t>
  </si>
  <si>
    <t>/jupala/</t>
  </si>
  <si>
    <t>yupala</t>
  </si>
  <si>
    <t>/jupi/</t>
  </si>
  <si>
    <t>/jupin/</t>
  </si>
  <si>
    <t>yucca</t>
  </si>
  <si>
    <t>/juka/</t>
  </si>
  <si>
    <t>yuka</t>
  </si>
  <si>
    <t>yuccas</t>
  </si>
  <si>
    <t>jam.csv</t>
  </si>
  <si>
    <t>jamaican</t>
  </si>
  <si>
    <t>angstrom</t>
  </si>
  <si>
    <t>angstrom_unit</t>
  </si>
  <si>
    <t>ana</t>
  </si>
  <si>
    <t>/ana/</t>
  </si>
  <si>
    <t>api</t>
  </si>
  <si>
    <t>/api/</t>
  </si>
  <si>
    <t>hanalisis</t>
  </si>
  <si>
    <t>/hanalisis/</t>
  </si>
  <si>
    <t>hanimal</t>
  </si>
  <si>
    <t>/hanimal/</t>
  </si>
  <si>
    <t>hayan</t>
  </si>
  <si>
    <t>/hajan/</t>
  </si>
  <si>
    <t>hinishal</t>
  </si>
  <si>
    <t>/hiniʃal/</t>
  </si>
  <si>
    <t>ikanami</t>
  </si>
  <si>
    <t>/ikanami/</t>
  </si>
  <si>
    <t>ikanamik</t>
  </si>
  <si>
    <t>/ikanamik/</t>
  </si>
  <si>
    <t>Itali</t>
  </si>
  <si>
    <t>kalalu</t>
  </si>
  <si>
    <t>/kalalu/</t>
  </si>
  <si>
    <t>kalani</t>
  </si>
  <si>
    <t>/kalani/</t>
  </si>
  <si>
    <t>kalanis</t>
  </si>
  <si>
    <t>/kalanis/</t>
  </si>
  <si>
    <t>kaman</t>
  </si>
  <si>
    <t>/kaman/</t>
  </si>
  <si>
    <t>kin</t>
  </si>
  <si>
    <t>/kin/</t>
  </si>
  <si>
    <t>kunu</t>
  </si>
  <si>
    <t>/kunu/</t>
  </si>
  <si>
    <t>local_area_network</t>
  </si>
  <si>
    <t>LAN</t>
  </si>
  <si>
    <t>lik</t>
  </si>
  <si>
    <t>/lik/</t>
  </si>
  <si>
    <t>lili</t>
  </si>
  <si>
    <t>/lili/</t>
  </si>
  <si>
    <t>lis a</t>
  </si>
  <si>
    <t>manita</t>
  </si>
  <si>
    <t>/manita/</t>
  </si>
  <si>
    <t>miliyan</t>
  </si>
  <si>
    <t>/milijan/</t>
  </si>
  <si>
    <t>niyilis</t>
  </si>
  <si>
    <t>/nijilis/</t>
  </si>
  <si>
    <t>nyam</t>
  </si>
  <si>
    <t>/ɲam/</t>
  </si>
  <si>
    <t>ñam</t>
  </si>
  <si>
    <t>nyami-nyami</t>
  </si>
  <si>
    <t>/ɲamiɲami/</t>
  </si>
  <si>
    <t>ñamiñami</t>
  </si>
  <si>
    <t>palisi</t>
  </si>
  <si>
    <t>/palisi/</t>
  </si>
  <si>
    <t>palitikal</t>
  </si>
  <si>
    <t>/palitikal/</t>
  </si>
  <si>
    <t>palitishan</t>
  </si>
  <si>
    <t>/palitiʃan/</t>
  </si>
  <si>
    <t>papila</t>
  </si>
  <si>
    <t>/papila/</t>
  </si>
  <si>
    <t>pilikin</t>
  </si>
  <si>
    <t>/pilikin/</t>
  </si>
  <si>
    <t>Salaman</t>
  </si>
  <si>
    <t>/salaman/</t>
  </si>
  <si>
    <t>salaman</t>
  </si>
  <si>
    <t>sasayati</t>
  </si>
  <si>
    <t>/sasajati/</t>
  </si>
  <si>
    <t>sataya</t>
  </si>
  <si>
    <t>/sataja/</t>
  </si>
  <si>
    <t>siti</t>
  </si>
  <si>
    <t>/siti/</t>
  </si>
  <si>
    <t>susu</t>
  </si>
  <si>
    <t>/susu/</t>
  </si>
  <si>
    <t>Tamas</t>
  </si>
  <si>
    <t>/tamas/</t>
  </si>
  <si>
    <t>tamas</t>
  </si>
  <si>
    <t>tapik</t>
  </si>
  <si>
    <t>/tapik/</t>
  </si>
  <si>
    <t>tumatis</t>
  </si>
  <si>
    <t>/tumatis/</t>
  </si>
  <si>
    <t>uman</t>
  </si>
  <si>
    <t>/uman/</t>
  </si>
  <si>
    <t>unu</t>
  </si>
  <si>
    <t>/unu/</t>
  </si>
  <si>
    <t>/ja/</t>
  </si>
  <si>
    <t>/jam/</t>
  </si>
  <si>
    <t>yu</t>
  </si>
  <si>
    <t>/ju/</t>
  </si>
  <si>
    <t>yumaniti</t>
  </si>
  <si>
    <t>/jumaniti/</t>
  </si>
  <si>
    <t>ja.csv</t>
  </si>
  <si>
    <t>jpn</t>
  </si>
  <si>
    <t>ＮＡＳＡ</t>
  </si>
  <si>
    <t>/nasa/</t>
  </si>
  <si>
    <t>nasa</t>
  </si>
  <si>
    <t>あ</t>
  </si>
  <si>
    <t>あかまた</t>
  </si>
  <si>
    <t>/akamata/</t>
  </si>
  <si>
    <t>akamata</t>
  </si>
  <si>
    <t>あな</t>
  </si>
  <si>
    <t>あなや</t>
  </si>
  <si>
    <t>/anaja/</t>
  </si>
  <si>
    <t>anaya</t>
  </si>
  <si>
    <t>あはは</t>
  </si>
  <si>
    <t>/ahaha/</t>
  </si>
  <si>
    <t>ahaha</t>
  </si>
  <si>
    <t>あま味</t>
  </si>
  <si>
    <t>/amami/</t>
  </si>
  <si>
    <t>amami</t>
  </si>
  <si>
    <t>sweetness</t>
  </si>
  <si>
    <t>sweet</t>
  </si>
  <si>
    <t>sugariness</t>
  </si>
  <si>
    <t>あや</t>
  </si>
  <si>
    <t>あら</t>
  </si>
  <si>
    <t>/aɾa/</t>
  </si>
  <si>
    <t>ara</t>
  </si>
  <si>
    <t>ありき</t>
  </si>
  <si>
    <t>/aɾiki/</t>
  </si>
  <si>
    <t>ariki</t>
  </si>
  <si>
    <t>あり方</t>
  </si>
  <si>
    <t>/aɾikata/</t>
  </si>
  <si>
    <t>arikata</t>
  </si>
  <si>
    <t>state</t>
  </si>
  <si>
    <t>い</t>
  </si>
  <si>
    <t>いやはや</t>
  </si>
  <si>
    <t>/ijahaja/</t>
  </si>
  <si>
    <t>iyahaya</t>
  </si>
  <si>
    <t>か</t>
  </si>
  <si>
    <t>かき菜</t>
  </si>
  <si>
    <t>/kakina/</t>
  </si>
  <si>
    <t>kakina</t>
  </si>
  <si>
    <t>かさかさ</t>
  </si>
  <si>
    <t>/kasakasa/</t>
  </si>
  <si>
    <t>kasakasa</t>
  </si>
  <si>
    <t>adust</t>
  </si>
  <si>
    <t>baked</t>
  </si>
  <si>
    <t>parched</t>
  </si>
  <si>
    <t>scorched</t>
  </si>
  <si>
    <t>sunbaked</t>
  </si>
  <si>
    <t>かたかた</t>
  </si>
  <si>
    <t>/katakata/</t>
  </si>
  <si>
    <t>katakata</t>
  </si>
  <si>
    <t>かたり</t>
  </si>
  <si>
    <t>/kataɾi/</t>
  </si>
  <si>
    <t>katari</t>
  </si>
  <si>
    <t>かた焼</t>
  </si>
  <si>
    <t>/katajaki/</t>
  </si>
  <si>
    <t>katayaki</t>
  </si>
  <si>
    <t>かた焼き</t>
  </si>
  <si>
    <t>かな</t>
  </si>
  <si>
    <t>かなにか</t>
  </si>
  <si>
    <t>/kananika/</t>
  </si>
  <si>
    <t>kananika</t>
  </si>
  <si>
    <t>かに玉</t>
  </si>
  <si>
    <t>/kanitama/</t>
  </si>
  <si>
    <t>kanitama</t>
  </si>
  <si>
    <t>かぴかぴ</t>
  </si>
  <si>
    <t>/kapikapi/</t>
  </si>
  <si>
    <t>kapikapi</t>
  </si>
  <si>
    <t>かや</t>
  </si>
  <si>
    <t>かやかや</t>
  </si>
  <si>
    <t>/kajakaja/</t>
  </si>
  <si>
    <t>kayakaya</t>
  </si>
  <si>
    <t>から</t>
  </si>
  <si>
    <t>/kaɾa/</t>
  </si>
  <si>
    <t>kara</t>
  </si>
  <si>
    <t>through</t>
  </si>
  <si>
    <t>through_and_through</t>
  </si>
  <si>
    <t>からから</t>
  </si>
  <si>
    <t>/kaɾakaɾa/</t>
  </si>
  <si>
    <t>karakara</t>
  </si>
  <si>
    <t>からきり</t>
  </si>
  <si>
    <t>/kaɾakiɾi/</t>
  </si>
  <si>
    <t>karakiri</t>
  </si>
  <si>
    <t>wholly</t>
  </si>
  <si>
    <t>completely</t>
  </si>
  <si>
    <t>totally</t>
  </si>
  <si>
    <t>all</t>
  </si>
  <si>
    <t>altogether</t>
  </si>
  <si>
    <t>whole</t>
  </si>
  <si>
    <t>からには</t>
  </si>
  <si>
    <t>/kaɾaniha/</t>
  </si>
  <si>
    <t>karaniha</t>
  </si>
  <si>
    <t>からみ</t>
  </si>
  <si>
    <t>/kaɾami/</t>
  </si>
  <si>
    <t>karami</t>
  </si>
  <si>
    <t>からり</t>
  </si>
  <si>
    <t>/kaɾaɾi/</t>
  </si>
  <si>
    <t>karari</t>
  </si>
  <si>
    <t>から傘</t>
  </si>
  <si>
    <t>/kaɾakasa/</t>
  </si>
  <si>
    <t>karakasa</t>
  </si>
  <si>
    <t>かりかり</t>
  </si>
  <si>
    <t>/kaɾikaɾi/</t>
  </si>
  <si>
    <t>karikari</t>
  </si>
  <si>
    <t>きなきな</t>
  </si>
  <si>
    <t>/kinakina/</t>
  </si>
  <si>
    <t>kinakina</t>
  </si>
  <si>
    <t>きらきら</t>
  </si>
  <si>
    <t>/kiɾakiɾa/</t>
  </si>
  <si>
    <t>kirakira</t>
  </si>
  <si>
    <t>brilliantly</t>
  </si>
  <si>
    <t>brightly</t>
  </si>
  <si>
    <t>bright</t>
  </si>
  <si>
    <t>きらり</t>
  </si>
  <si>
    <t>/kiɾaɾi/</t>
  </si>
  <si>
    <t>kirari</t>
  </si>
  <si>
    <t>きりきり</t>
  </si>
  <si>
    <t>/kiɾikiɾi/</t>
  </si>
  <si>
    <t>kirikiri</t>
  </si>
  <si>
    <t>quickly</t>
  </si>
  <si>
    <t>rapidly</t>
  </si>
  <si>
    <t>speedily</t>
  </si>
  <si>
    <t>chop-chop</t>
  </si>
  <si>
    <t>apace</t>
  </si>
  <si>
    <t>きりり</t>
  </si>
  <si>
    <t>/kiɾiɾi/</t>
  </si>
  <si>
    <t>kiriri</t>
  </si>
  <si>
    <t>さ</t>
  </si>
  <si>
    <t>ささ身</t>
  </si>
  <si>
    <t>/sasami/</t>
  </si>
  <si>
    <t>sasami</t>
  </si>
  <si>
    <t>さやさや</t>
  </si>
  <si>
    <t>/sajasaja/</t>
  </si>
  <si>
    <t>sayasaya</t>
  </si>
  <si>
    <t>さらさら</t>
  </si>
  <si>
    <t>/saɾasaɾa/</t>
  </si>
  <si>
    <t>sarasara</t>
  </si>
  <si>
    <t>rustle</t>
  </si>
  <si>
    <t>rustling</t>
  </si>
  <si>
    <t>whisper</t>
  </si>
  <si>
    <t>whispering</t>
  </si>
  <si>
    <t>さらり</t>
  </si>
  <si>
    <t>/saɾaɾi/</t>
  </si>
  <si>
    <t>sarari</t>
  </si>
  <si>
    <t>た</t>
  </si>
  <si>
    <t>たかり</t>
  </si>
  <si>
    <t>/takaɾi/</t>
  </si>
  <si>
    <t>takari</t>
  </si>
  <si>
    <t>blackmail</t>
  </si>
  <si>
    <t>blackmailer</t>
  </si>
  <si>
    <t>extortioner</t>
  </si>
  <si>
    <t>extortionist</t>
  </si>
  <si>
    <t>racketeer</t>
  </si>
  <si>
    <t>たか派</t>
  </si>
  <si>
    <t>/takaha/</t>
  </si>
  <si>
    <t>takaha</t>
  </si>
  <si>
    <t>たら</t>
  </si>
  <si>
    <t>/taɾa/</t>
  </si>
  <si>
    <t>tara</t>
  </si>
  <si>
    <t>たらたら</t>
  </si>
  <si>
    <t>/taɾataɾa/</t>
  </si>
  <si>
    <t>taratara</t>
  </si>
  <si>
    <t>たり</t>
  </si>
  <si>
    <t>/taɾi/</t>
  </si>
  <si>
    <t>tari</t>
  </si>
  <si>
    <t>な</t>
  </si>
  <si>
    <t>なみなみ</t>
  </si>
  <si>
    <t>/naminami/</t>
  </si>
  <si>
    <t>naminami</t>
  </si>
  <si>
    <t>なら</t>
  </si>
  <si>
    <t>/naɾa/</t>
  </si>
  <si>
    <t>nara</t>
  </si>
  <si>
    <t>なり</t>
  </si>
  <si>
    <t>/naɾi/</t>
  </si>
  <si>
    <t>nari</t>
  </si>
  <si>
    <t>なりに</t>
  </si>
  <si>
    <t>/naɾini/</t>
  </si>
  <si>
    <t>narini</t>
  </si>
  <si>
    <t>に</t>
  </si>
  <si>
    <t>にたにた</t>
  </si>
  <si>
    <t>/nitanita/</t>
  </si>
  <si>
    <t>nitanita</t>
  </si>
  <si>
    <t>ironically</t>
  </si>
  <si>
    <t>にたり</t>
  </si>
  <si>
    <t>/nitaɾi/</t>
  </si>
  <si>
    <t>nitari</t>
  </si>
  <si>
    <t>には</t>
  </si>
  <si>
    <t>/niha/</t>
  </si>
  <si>
    <t>niha</t>
  </si>
  <si>
    <t>にやにや</t>
  </si>
  <si>
    <t>/nijanija/</t>
  </si>
  <si>
    <t>niyaniya</t>
  </si>
  <si>
    <t>smile</t>
  </si>
  <si>
    <t>smiling</t>
  </si>
  <si>
    <t>grin</t>
  </si>
  <si>
    <t>grinning</t>
  </si>
  <si>
    <t>にやり</t>
  </si>
  <si>
    <t>/nijaɾi/</t>
  </si>
  <si>
    <t>niyari</t>
  </si>
  <si>
    <t>は</t>
  </si>
  <si>
    <t>/ha/</t>
  </si>
  <si>
    <t>はきはき</t>
  </si>
  <si>
    <t>/hakihaki/</t>
  </si>
  <si>
    <t>hakihaki</t>
  </si>
  <si>
    <t>actively</t>
  </si>
  <si>
    <t>briskly</t>
  </si>
  <si>
    <t>はさみ焼き</t>
  </si>
  <si>
    <t>/hasamijaki/</t>
  </si>
  <si>
    <t>hasamiyaki</t>
  </si>
  <si>
    <t>はたはた</t>
  </si>
  <si>
    <t>/hatahata/</t>
  </si>
  <si>
    <t>hatahata</t>
  </si>
  <si>
    <t>grasshopper</t>
  </si>
  <si>
    <t>hopper</t>
  </si>
  <si>
    <t>はなきり</t>
  </si>
  <si>
    <t>/hanakiɾi/</t>
  </si>
  <si>
    <t>hanakiri</t>
  </si>
  <si>
    <t>はにかみ屋</t>
  </si>
  <si>
    <t>/hanikamija/</t>
  </si>
  <si>
    <t>hanikamiya</t>
  </si>
  <si>
    <t>ははは</t>
  </si>
  <si>
    <t>/hahaha/</t>
  </si>
  <si>
    <t>hahaha</t>
  </si>
  <si>
    <t>はらはら</t>
  </si>
  <si>
    <t>/haɾahaɾa/</t>
  </si>
  <si>
    <t>harahara</t>
  </si>
  <si>
    <t>はらり</t>
  </si>
  <si>
    <t>/haɾaɾi/</t>
  </si>
  <si>
    <t>harari</t>
  </si>
  <si>
    <t>lightly</t>
  </si>
  <si>
    <t>softly</t>
  </si>
  <si>
    <t>gently</t>
  </si>
  <si>
    <t>はりはり</t>
  </si>
  <si>
    <t>/haɾihaɾi/</t>
  </si>
  <si>
    <t>harihari</t>
  </si>
  <si>
    <t>ぱ</t>
  </si>
  <si>
    <t>ぱかぱか</t>
  </si>
  <si>
    <t>/pakapaka/</t>
  </si>
  <si>
    <t>pakapaka</t>
  </si>
  <si>
    <t>ぱたぱた</t>
  </si>
  <si>
    <t>/patapata/</t>
  </si>
  <si>
    <t>patapata</t>
  </si>
  <si>
    <t>pitter-patter</t>
  </si>
  <si>
    <t>ぱたり</t>
  </si>
  <si>
    <t>/pataɾi/</t>
  </si>
  <si>
    <t>patari</t>
  </si>
  <si>
    <t>ぱらぱら</t>
  </si>
  <si>
    <t>/paɾapaɾa/</t>
  </si>
  <si>
    <t>parapara</t>
  </si>
  <si>
    <t>scattered</t>
  </si>
  <si>
    <t>ぱらり</t>
  </si>
  <si>
    <t>/paɾaɾi/</t>
  </si>
  <si>
    <t>parari</t>
  </si>
  <si>
    <t>ぱりぱり</t>
  </si>
  <si>
    <t>/paɾipaɾi/</t>
  </si>
  <si>
    <t>paripari</t>
  </si>
  <si>
    <t>coagulated</t>
  </si>
  <si>
    <t>solidified</t>
  </si>
  <si>
    <t>ぴかぴか</t>
  </si>
  <si>
    <t>/pikapika/</t>
  </si>
  <si>
    <t>pikapika</t>
  </si>
  <si>
    <t>burnished</t>
  </si>
  <si>
    <t>lustrous</t>
  </si>
  <si>
    <t>shining</t>
  </si>
  <si>
    <t>shiny</t>
  </si>
  <si>
    <t>ぴかり</t>
  </si>
  <si>
    <t>/pikaɾi/</t>
  </si>
  <si>
    <t>pikari</t>
  </si>
  <si>
    <t>ぴたり</t>
  </si>
  <si>
    <t>/pitaɾi/</t>
  </si>
  <si>
    <t>pitari</t>
  </si>
  <si>
    <t>tightly</t>
  </si>
  <si>
    <t>closely</t>
  </si>
  <si>
    <t>incisively</t>
  </si>
  <si>
    <t>close</t>
  </si>
  <si>
    <t>tight</t>
  </si>
  <si>
    <t>ぴらぴら</t>
  </si>
  <si>
    <t>/piɾapiɾa/</t>
  </si>
  <si>
    <t>pirapira</t>
  </si>
  <si>
    <t>ぴりぴり</t>
  </si>
  <si>
    <t>/piɾipiɾi/</t>
  </si>
  <si>
    <t>piripiri</t>
  </si>
  <si>
    <t>nervously</t>
  </si>
  <si>
    <t>ぴりり</t>
  </si>
  <si>
    <t>/piɾiɾi/</t>
  </si>
  <si>
    <t>piriri</t>
  </si>
  <si>
    <t>ぴり辛</t>
  </si>
  <si>
    <t>/piɾikaɾa/</t>
  </si>
  <si>
    <t>pirikara</t>
  </si>
  <si>
    <t>ま</t>
  </si>
  <si>
    <t>み</t>
  </si>
  <si>
    <t>みな様</t>
  </si>
  <si>
    <t>/minasama/</t>
  </si>
  <si>
    <t>minasama</t>
  </si>
  <si>
    <t>や</t>
  </si>
  <si>
    <t>やか</t>
  </si>
  <si>
    <t>/jaka/</t>
  </si>
  <si>
    <t>yaka</t>
  </si>
  <si>
    <t>やみ屋</t>
  </si>
  <si>
    <t>/jamija/</t>
  </si>
  <si>
    <t>yamiya</t>
  </si>
  <si>
    <t>やや</t>
  </si>
  <si>
    <t>/jaja/</t>
  </si>
  <si>
    <t>yaya</t>
  </si>
  <si>
    <t>a_bit</t>
  </si>
  <si>
    <t>a_little</t>
  </si>
  <si>
    <t>a_trifle</t>
  </si>
  <si>
    <t>baby</t>
  </si>
  <si>
    <t>babe</t>
  </si>
  <si>
    <t>infant</t>
  </si>
  <si>
    <t>やら</t>
  </si>
  <si>
    <t>/jaɾa/</t>
  </si>
  <si>
    <t>yara</t>
  </si>
  <si>
    <t>やらはた</t>
  </si>
  <si>
    <t>/jaɾahata/</t>
  </si>
  <si>
    <t>yarahata</t>
  </si>
  <si>
    <t>やらやら</t>
  </si>
  <si>
    <t>/jaɾajaɾa/</t>
  </si>
  <si>
    <t>yarayara</t>
  </si>
  <si>
    <t>やり方</t>
  </si>
  <si>
    <t>/jaɾikata/</t>
  </si>
  <si>
    <t>yarikata</t>
  </si>
  <si>
    <t>course_of_action</t>
  </si>
  <si>
    <t>means</t>
  </si>
  <si>
    <t>agency</t>
  </si>
  <si>
    <t>fashion</t>
  </si>
  <si>
    <t>operation</t>
  </si>
  <si>
    <t>procedure</t>
  </si>
  <si>
    <t>operating_procedure</t>
  </si>
  <si>
    <t>manner</t>
  </si>
  <si>
    <t>personal_manner</t>
  </si>
  <si>
    <t>mode</t>
  </si>
  <si>
    <t>method</t>
  </si>
  <si>
    <t>らか</t>
  </si>
  <si>
    <t>/ɾaka/</t>
  </si>
  <si>
    <t>raka</t>
  </si>
  <si>
    <t>アカ</t>
  </si>
  <si>
    <t>アカハタ</t>
  </si>
  <si>
    <t>/akahata/</t>
  </si>
  <si>
    <t>akahata</t>
  </si>
  <si>
    <t>アカハラ</t>
  </si>
  <si>
    <t>/akahaɾa/</t>
  </si>
  <si>
    <t>akahara</t>
  </si>
  <si>
    <t>アカマタ</t>
  </si>
  <si>
    <t>アサリ</t>
  </si>
  <si>
    <t>/asaɾi/</t>
  </si>
  <si>
    <t>asari</t>
  </si>
  <si>
    <t>アタリ</t>
  </si>
  <si>
    <t>/ataɾi/</t>
  </si>
  <si>
    <t>atari</t>
  </si>
  <si>
    <t>アナ</t>
  </si>
  <si>
    <t>アニカラ</t>
  </si>
  <si>
    <t>/anikaɾa/</t>
  </si>
  <si>
    <t>anikara</t>
  </si>
  <si>
    <t>アニキ</t>
  </si>
  <si>
    <t>/aniki/</t>
  </si>
  <si>
    <t>aniki</t>
  </si>
  <si>
    <t>アニマ</t>
  </si>
  <si>
    <t>アハハ</t>
  </si>
  <si>
    <t>アフィ</t>
  </si>
  <si>
    <t>/aɸi/</t>
  </si>
  <si>
    <t>アフィリ</t>
  </si>
  <si>
    <t>/aɸiɾi/</t>
  </si>
  <si>
    <t>apiri</t>
  </si>
  <si>
    <t>アマ</t>
  </si>
  <si>
    <t>maid</t>
  </si>
  <si>
    <t>maidservant</t>
  </si>
  <si>
    <t>housemaid</t>
  </si>
  <si>
    <t>amah</t>
  </si>
  <si>
    <t>アマナ</t>
  </si>
  <si>
    <t>/amana/</t>
  </si>
  <si>
    <t>amana</t>
  </si>
  <si>
    <t>アミ</t>
  </si>
  <si>
    <t>lover</t>
  </si>
  <si>
    <t>girlfriend</t>
  </si>
  <si>
    <t>girl</t>
  </si>
  <si>
    <t>lady_friend</t>
  </si>
  <si>
    <t>アラ</t>
  </si>
  <si>
    <t>アラキ</t>
  </si>
  <si>
    <t>/aɾaki/</t>
  </si>
  <si>
    <t>araki</t>
  </si>
  <si>
    <t>アリ</t>
  </si>
  <si>
    <t>/aɾi/</t>
  </si>
  <si>
    <t>ari</t>
  </si>
  <si>
    <t>ant</t>
  </si>
  <si>
    <t>emmet</t>
  </si>
  <si>
    <t>pismire</t>
  </si>
  <si>
    <t>Ali</t>
  </si>
  <si>
    <t>Muhammad_Ali</t>
  </si>
  <si>
    <t>Cassius_Clay</t>
  </si>
  <si>
    <t>Cassius_Marcellus_Clay</t>
  </si>
  <si>
    <t>アリマキ</t>
  </si>
  <si>
    <t>/aɾimaki/</t>
  </si>
  <si>
    <t>arimaki</t>
  </si>
  <si>
    <t>イ</t>
  </si>
  <si>
    <t>イカ</t>
  </si>
  <si>
    <t>/ika/</t>
  </si>
  <si>
    <t>ika</t>
  </si>
  <si>
    <t>calamari</t>
  </si>
  <si>
    <t>calamary</t>
  </si>
  <si>
    <t>イキ</t>
  </si>
  <si>
    <t>/iki/</t>
  </si>
  <si>
    <t>iki</t>
  </si>
  <si>
    <t>イサキ</t>
  </si>
  <si>
    <t>/isaki/</t>
  </si>
  <si>
    <t>isaki</t>
  </si>
  <si>
    <t>grunt</t>
  </si>
  <si>
    <t>イニ</t>
  </si>
  <si>
    <t>/ini/</t>
  </si>
  <si>
    <t>ini</t>
  </si>
  <si>
    <t>イヤ</t>
  </si>
  <si>
    <t>/ija/</t>
  </si>
  <si>
    <t>iya</t>
  </si>
  <si>
    <t>カ</t>
  </si>
  <si>
    <t>カカリ</t>
  </si>
  <si>
    <t>/kakaɾi/</t>
  </si>
  <si>
    <t>kakari</t>
  </si>
  <si>
    <t>カキ</t>
  </si>
  <si>
    <t>oyster</t>
  </si>
  <si>
    <t>huitre</t>
  </si>
  <si>
    <t>カキナ</t>
  </si>
  <si>
    <t>カサカサ</t>
  </si>
  <si>
    <t>カタカナ</t>
  </si>
  <si>
    <t>/katakana/</t>
  </si>
  <si>
    <t>katakana</t>
  </si>
  <si>
    <t>カナカ</t>
  </si>
  <si>
    <t>/kanaka/</t>
  </si>
  <si>
    <t>kanaka</t>
  </si>
  <si>
    <t>カナカナ</t>
  </si>
  <si>
    <t>/kanakana/</t>
  </si>
  <si>
    <t>kanakana</t>
  </si>
  <si>
    <t>カナリヤ</t>
  </si>
  <si>
    <t>/kanaɾija/</t>
  </si>
  <si>
    <t>kanariya</t>
  </si>
  <si>
    <t>canary</t>
  </si>
  <si>
    <t>カニ</t>
  </si>
  <si>
    <t>/kani/</t>
  </si>
  <si>
    <t>kani</t>
  </si>
  <si>
    <t>crab</t>
  </si>
  <si>
    <t>crabmeat</t>
  </si>
  <si>
    <t>カニカマ</t>
  </si>
  <si>
    <t>/kanikama/</t>
  </si>
  <si>
    <t>kanikama</t>
  </si>
  <si>
    <t>カニ蒲</t>
  </si>
  <si>
    <t>カピカピ</t>
  </si>
  <si>
    <t>カマキリ</t>
  </si>
  <si>
    <t>/kamakiɾi/</t>
  </si>
  <si>
    <t>kamakiri</t>
  </si>
  <si>
    <t>カヤ</t>
  </si>
  <si>
    <t>カヤカヤ</t>
  </si>
  <si>
    <t>カラカラ</t>
  </si>
  <si>
    <t>カリ</t>
  </si>
  <si>
    <t>/kaɾi/</t>
  </si>
  <si>
    <t>kari</t>
  </si>
  <si>
    <t>Cali</t>
  </si>
  <si>
    <t>potash</t>
  </si>
  <si>
    <t>caustic_potash</t>
  </si>
  <si>
    <t>potassium_hydroxide</t>
  </si>
  <si>
    <t>カリカリ</t>
  </si>
  <si>
    <t>キタタキ</t>
  </si>
  <si>
    <t>/kitataki/</t>
  </si>
  <si>
    <t>kitataki</t>
  </si>
  <si>
    <t>キタラ</t>
  </si>
  <si>
    <t>/kitaɾa/</t>
  </si>
  <si>
    <t>kitara</t>
  </si>
  <si>
    <t>キニラ</t>
  </si>
  <si>
    <t>/kiniɾa/</t>
  </si>
  <si>
    <t>kinira</t>
  </si>
  <si>
    <t>キラキラ</t>
  </si>
  <si>
    <t>キリ</t>
  </si>
  <si>
    <t>/kiɾi/</t>
  </si>
  <si>
    <t>kiri</t>
  </si>
  <si>
    <t>ササミ</t>
  </si>
  <si>
    <t>サハラ</t>
  </si>
  <si>
    <t>/sahaɾa/</t>
  </si>
  <si>
    <t>sahara</t>
  </si>
  <si>
    <t>Western_Sahara</t>
  </si>
  <si>
    <t>Spanish_Sahara</t>
  </si>
  <si>
    <t>Sahara</t>
  </si>
  <si>
    <t>Sahara_Desert</t>
  </si>
  <si>
    <t>サファリ</t>
  </si>
  <si>
    <t>/saɸaɾi/</t>
  </si>
  <si>
    <t>sapari</t>
  </si>
  <si>
    <t>campaign</t>
  </si>
  <si>
    <t>hunting_expedition</t>
  </si>
  <si>
    <t>safari</t>
  </si>
  <si>
    <t>サマリ</t>
  </si>
  <si>
    <t>/samaɾi/</t>
  </si>
  <si>
    <t>samari</t>
  </si>
  <si>
    <t>summary</t>
  </si>
  <si>
    <t>sum-up</t>
  </si>
  <si>
    <t>outline</t>
  </si>
  <si>
    <t>synopsis</t>
  </si>
  <si>
    <t>precis</t>
  </si>
  <si>
    <t>サラ</t>
  </si>
  <si>
    <t>/saɾa/</t>
  </si>
  <si>
    <t>sara</t>
  </si>
  <si>
    <t>サラサハタ</t>
  </si>
  <si>
    <t>/saɾasahata/</t>
  </si>
  <si>
    <t>sarasahata</t>
  </si>
  <si>
    <t>サラミ</t>
  </si>
  <si>
    <t>/saɾami/</t>
  </si>
  <si>
    <t>sarami</t>
  </si>
  <si>
    <t>タカナ</t>
  </si>
  <si>
    <t>/takana/</t>
  </si>
  <si>
    <t>takana</t>
  </si>
  <si>
    <t>Chinese_mustard</t>
  </si>
  <si>
    <t>タカハヤ</t>
  </si>
  <si>
    <t>/takahaja/</t>
  </si>
  <si>
    <t>takahaya</t>
  </si>
  <si>
    <t>タカ派</t>
  </si>
  <si>
    <t>hawk</t>
  </si>
  <si>
    <t>war_hawk</t>
  </si>
  <si>
    <t>タタキ</t>
  </si>
  <si>
    <t>/tataki/</t>
  </si>
  <si>
    <t>tataki</t>
  </si>
  <si>
    <t>タピ</t>
  </si>
  <si>
    <t>タラ</t>
  </si>
  <si>
    <t>cod</t>
  </si>
  <si>
    <t>codfish</t>
  </si>
  <si>
    <t>ニ</t>
  </si>
  <si>
    <t>ニタニタ</t>
  </si>
  <si>
    <t>ニタリ</t>
  </si>
  <si>
    <t>ニヤニヤ</t>
  </si>
  <si>
    <t>ニヤリ</t>
  </si>
  <si>
    <t>ニラ</t>
  </si>
  <si>
    <t>/niɾa/</t>
  </si>
  <si>
    <t>nira</t>
  </si>
  <si>
    <t>ネ申</t>
  </si>
  <si>
    <t>/kami/</t>
  </si>
  <si>
    <t>kami</t>
  </si>
  <si>
    <t>ハ</t>
  </si>
  <si>
    <t>ハサミ</t>
  </si>
  <si>
    <t>/hasami/</t>
  </si>
  <si>
    <t>hasami</t>
  </si>
  <si>
    <t>ハタハタ</t>
  </si>
  <si>
    <t>ハハハ</t>
  </si>
  <si>
    <t>ハマ</t>
  </si>
  <si>
    <t>/hama/</t>
  </si>
  <si>
    <t>hama</t>
  </si>
  <si>
    <t>ハマナ</t>
  </si>
  <si>
    <t>/hamana/</t>
  </si>
  <si>
    <t>hamana</t>
  </si>
  <si>
    <t>ハミ</t>
  </si>
  <si>
    <t>/hami/</t>
  </si>
  <si>
    <t>hami</t>
  </si>
  <si>
    <t>ハラカ</t>
  </si>
  <si>
    <t>/haɾaka/</t>
  </si>
  <si>
    <t>haraka</t>
  </si>
  <si>
    <t>ハラハラ</t>
  </si>
  <si>
    <t>ハラミ</t>
  </si>
  <si>
    <t>/haɾami/</t>
  </si>
  <si>
    <t>harami</t>
  </si>
  <si>
    <t>ハリハリ</t>
  </si>
  <si>
    <t>ハリファ</t>
  </si>
  <si>
    <t>/haɾiɸa/</t>
  </si>
  <si>
    <t>haripa</t>
  </si>
  <si>
    <t>パ</t>
  </si>
  <si>
    <t>パカ</t>
  </si>
  <si>
    <t>パカパカ</t>
  </si>
  <si>
    <t>パサパサ</t>
  </si>
  <si>
    <t>/pasapasa/</t>
  </si>
  <si>
    <t>pasapasa</t>
  </si>
  <si>
    <t>パナラマ</t>
  </si>
  <si>
    <t>/panaɾama/</t>
  </si>
  <si>
    <t>panarama</t>
  </si>
  <si>
    <t>パパ</t>
  </si>
  <si>
    <t>パラ</t>
  </si>
  <si>
    <t>/paɾa/</t>
  </si>
  <si>
    <t>para</t>
  </si>
  <si>
    <t>parity</t>
  </si>
  <si>
    <t>パラパラ</t>
  </si>
  <si>
    <t>パリパリ</t>
  </si>
  <si>
    <t>ピカ</t>
  </si>
  <si>
    <t>atom_bomb</t>
  </si>
  <si>
    <t>atomic_bomb</t>
  </si>
  <si>
    <t>A-bomb</t>
  </si>
  <si>
    <t>fission_bomb</t>
  </si>
  <si>
    <t>plutonium_bomb</t>
  </si>
  <si>
    <t>ピカり</t>
  </si>
  <si>
    <t>ピカタ</t>
  </si>
  <si>
    <t>/pikata/</t>
  </si>
  <si>
    <t>pikata</t>
  </si>
  <si>
    <t>ピタ</t>
  </si>
  <si>
    <t>ピパ</t>
  </si>
  <si>
    <t>ピパ科</t>
  </si>
  <si>
    <t>/pipaka/</t>
  </si>
  <si>
    <t>pipaka</t>
  </si>
  <si>
    <t>Pipidae</t>
  </si>
  <si>
    <t>family_Pipidae</t>
  </si>
  <si>
    <t>ピラピラ</t>
  </si>
  <si>
    <t>ピリ</t>
  </si>
  <si>
    <t>/piɾi/</t>
  </si>
  <si>
    <t>piri</t>
  </si>
  <si>
    <t>ピリピリ</t>
  </si>
  <si>
    <t>ピリ辛</t>
  </si>
  <si>
    <t>ファ</t>
  </si>
  <si>
    <t>/ɸa/</t>
  </si>
  <si>
    <t>fa</t>
  </si>
  <si>
    <t>ファミリ</t>
  </si>
  <si>
    <t>/ɸamiɾi/</t>
  </si>
  <si>
    <t>pamiri</t>
  </si>
  <si>
    <t>family</t>
  </si>
  <si>
    <t>family_unit</t>
  </si>
  <si>
    <t>household</t>
  </si>
  <si>
    <t>home</t>
  </si>
  <si>
    <t>menage</t>
  </si>
  <si>
    <t>マカ</t>
  </si>
  <si>
    <t>マカニ</t>
  </si>
  <si>
    <t>/makani/</t>
  </si>
  <si>
    <t>makani</t>
  </si>
  <si>
    <t>マキ</t>
  </si>
  <si>
    <t>マサキ</t>
  </si>
  <si>
    <t>/masaki/</t>
  </si>
  <si>
    <t>masaki</t>
  </si>
  <si>
    <t>マサラ</t>
  </si>
  <si>
    <t>/masaɾa/</t>
  </si>
  <si>
    <t>masara</t>
  </si>
  <si>
    <t>マタハラ</t>
  </si>
  <si>
    <t>/matahaɾa/</t>
  </si>
  <si>
    <t>matahara</t>
  </si>
  <si>
    <t>マナ</t>
  </si>
  <si>
    <t>/mana/</t>
  </si>
  <si>
    <t>mana</t>
  </si>
  <si>
    <t>マニヤ</t>
  </si>
  <si>
    <t>/manija/</t>
  </si>
  <si>
    <t>maniya</t>
  </si>
  <si>
    <t>fan</t>
  </si>
  <si>
    <t>buff</t>
  </si>
  <si>
    <t>devotee</t>
  </si>
  <si>
    <t>マニラ</t>
  </si>
  <si>
    <t>/maniɾa/</t>
  </si>
  <si>
    <t>manira</t>
  </si>
  <si>
    <t>マハタ</t>
  </si>
  <si>
    <t>/mahata/</t>
  </si>
  <si>
    <t>mahata</t>
  </si>
  <si>
    <t>ママ</t>
  </si>
  <si>
    <t>/mama/</t>
  </si>
  <si>
    <t>Mama</t>
  </si>
  <si>
    <t>ママカリ</t>
  </si>
  <si>
    <t>/mamakaɾi/</t>
  </si>
  <si>
    <t>mamakari</t>
  </si>
  <si>
    <t>マヤ</t>
  </si>
  <si>
    <t>マリ</t>
  </si>
  <si>
    <t>/maɾi/</t>
  </si>
  <si>
    <t>mari</t>
  </si>
  <si>
    <t>マリナラ</t>
  </si>
  <si>
    <t>/maɾinaɾa/</t>
  </si>
  <si>
    <t>marinara</t>
  </si>
  <si>
    <t>マリファナ</t>
  </si>
  <si>
    <t>/maɾiɸana/</t>
  </si>
  <si>
    <t>maripana</t>
  </si>
  <si>
    <t>ミ</t>
  </si>
  <si>
    <t>ミキサ</t>
  </si>
  <si>
    <t>/mikisa/</t>
  </si>
  <si>
    <t>mikisa</t>
  </si>
  <si>
    <t>ミサ</t>
  </si>
  <si>
    <t>/misa/</t>
  </si>
  <si>
    <t>misa</t>
  </si>
  <si>
    <t>ミニ</t>
  </si>
  <si>
    <t>miniskirt</t>
  </si>
  <si>
    <t>ミリ</t>
  </si>
  <si>
    <t>/miɾi/</t>
  </si>
  <si>
    <t>miri</t>
  </si>
  <si>
    <t>millimeter</t>
  </si>
  <si>
    <t>millimetre</t>
  </si>
  <si>
    <t>mm</t>
  </si>
  <si>
    <t>ミリ波</t>
  </si>
  <si>
    <t>/miɾiha/</t>
  </si>
  <si>
    <t>miriha</t>
  </si>
  <si>
    <t>ヤニ</t>
  </si>
  <si>
    <t>/jani/</t>
  </si>
  <si>
    <t>yani</t>
  </si>
  <si>
    <t>ヤラハタ</t>
  </si>
  <si>
    <t>ラ</t>
  </si>
  <si>
    <t>/ɾa/</t>
  </si>
  <si>
    <t>ra</t>
  </si>
  <si>
    <t>ラサ</t>
  </si>
  <si>
    <t>/ɾasa/</t>
  </si>
  <si>
    <t>rasa</t>
  </si>
  <si>
    <t>Lhasa</t>
  </si>
  <si>
    <t>Lhasa_apso</t>
  </si>
  <si>
    <t>capital_of_Tibet</t>
  </si>
  <si>
    <t>Forbidden_City</t>
  </si>
  <si>
    <t>ラサニヤ</t>
  </si>
  <si>
    <t>/ɾasanija/</t>
  </si>
  <si>
    <t>rasaniya</t>
  </si>
  <si>
    <t>ラマ</t>
  </si>
  <si>
    <t>/ɾama/</t>
  </si>
  <si>
    <t>rama</t>
  </si>
  <si>
    <t>リハ</t>
  </si>
  <si>
    <t>/ɾiha/</t>
  </si>
  <si>
    <t>riha</t>
  </si>
  <si>
    <t>rehearsal</t>
  </si>
  <si>
    <t>dry_run</t>
  </si>
  <si>
    <t>リマ</t>
  </si>
  <si>
    <t>/ɾima/</t>
  </si>
  <si>
    <t>rima</t>
  </si>
  <si>
    <t>リミタ</t>
  </si>
  <si>
    <t>/ɾimita/</t>
  </si>
  <si>
    <t>rimita</t>
  </si>
  <si>
    <t>リヤ</t>
  </si>
  <si>
    <t>/ɾija/</t>
  </si>
  <si>
    <t>riya</t>
  </si>
  <si>
    <t>リラ</t>
  </si>
  <si>
    <t>/ɾiɾa/</t>
  </si>
  <si>
    <t>rira</t>
  </si>
  <si>
    <t>Lyra</t>
  </si>
  <si>
    <t>lira</t>
  </si>
  <si>
    <t>Italian_lira</t>
  </si>
  <si>
    <t>Turkish_lira</t>
  </si>
  <si>
    <t>Maltese_lira</t>
  </si>
  <si>
    <t>亜</t>
  </si>
  <si>
    <t>亜科</t>
  </si>
  <si>
    <t>subfamily</t>
  </si>
  <si>
    <t>亜麻</t>
  </si>
  <si>
    <t>flax</t>
  </si>
  <si>
    <t>亜麻仁</t>
  </si>
  <si>
    <t>/amani/</t>
  </si>
  <si>
    <t>amani</t>
  </si>
  <si>
    <t>linseed</t>
  </si>
  <si>
    <t>flaxseed</t>
  </si>
  <si>
    <t>阿魔</t>
  </si>
  <si>
    <t>阿媽</t>
  </si>
  <si>
    <t>葵花</t>
  </si>
  <si>
    <t>/kika/</t>
  </si>
  <si>
    <t>kika</t>
  </si>
  <si>
    <t>綾</t>
  </si>
  <si>
    <t>安芸</t>
  </si>
  <si>
    <t>闇</t>
  </si>
  <si>
    <t>/jami/</t>
  </si>
  <si>
    <t>yami</t>
  </si>
  <si>
    <t>darkness</t>
  </si>
  <si>
    <t>dark</t>
  </si>
  <si>
    <t>shadow</t>
  </si>
  <si>
    <t>total_darkness</t>
  </si>
  <si>
    <t>lightlessness</t>
  </si>
  <si>
    <t>blackness</t>
  </si>
  <si>
    <t>pitch_blackness</t>
  </si>
  <si>
    <t>black</t>
  </si>
  <si>
    <t>闇々</t>
  </si>
  <si>
    <t>/jamijami/</t>
  </si>
  <si>
    <t>yamiyami</t>
  </si>
  <si>
    <t>闇闇</t>
  </si>
  <si>
    <t>闇屋</t>
  </si>
  <si>
    <t>伊</t>
  </si>
  <si>
    <t>伊万里焼</t>
  </si>
  <si>
    <t>/imaɾijaki/</t>
  </si>
  <si>
    <t>imariyaki</t>
  </si>
  <si>
    <t>伊良</t>
  </si>
  <si>
    <t>/iɾa/</t>
  </si>
  <si>
    <t>ira</t>
  </si>
  <si>
    <t>位記</t>
  </si>
  <si>
    <t>委棄</t>
  </si>
  <si>
    <t>abandonment</t>
  </si>
  <si>
    <t>forsaking</t>
  </si>
  <si>
    <t>desertion</t>
  </si>
  <si>
    <t>relinquishment</t>
  </si>
  <si>
    <t>relinquishing</t>
  </si>
  <si>
    <t>威高</t>
  </si>
  <si>
    <t>/itaka/</t>
  </si>
  <si>
    <t>itaka</t>
  </si>
  <si>
    <t>意</t>
  </si>
  <si>
    <t>heart</t>
  </si>
  <si>
    <t>spirit</t>
  </si>
  <si>
    <t>meaning</t>
  </si>
  <si>
    <t>substance</t>
  </si>
  <si>
    <t>significance</t>
  </si>
  <si>
    <t>signification</t>
  </si>
  <si>
    <t>import</t>
  </si>
  <si>
    <t>sense</t>
  </si>
  <si>
    <t>signified</t>
  </si>
  <si>
    <t>intent</t>
  </si>
  <si>
    <t>purport</t>
  </si>
  <si>
    <t>意気</t>
  </si>
  <si>
    <t>energy</t>
  </si>
  <si>
    <t>push</t>
  </si>
  <si>
    <t>get-up-and-go</t>
  </si>
  <si>
    <t>mettle</t>
  </si>
  <si>
    <t>spunk</t>
  </si>
  <si>
    <t>backbone</t>
  </si>
  <si>
    <t>grit</t>
  </si>
  <si>
    <t>guts</t>
  </si>
  <si>
    <t>moxie</t>
  </si>
  <si>
    <t>sand</t>
  </si>
  <si>
    <t>gumption</t>
  </si>
  <si>
    <t>vigor</t>
  </si>
  <si>
    <t>vigour</t>
  </si>
  <si>
    <t>zip</t>
  </si>
  <si>
    <t>意味</t>
  </si>
  <si>
    <t>/imi/</t>
  </si>
  <si>
    <t>imi</t>
  </si>
  <si>
    <t>drift</t>
  </si>
  <si>
    <t>意氣</t>
  </si>
  <si>
    <t>為り</t>
  </si>
  <si>
    <t>異化</t>
  </si>
  <si>
    <t>異派</t>
  </si>
  <si>
    <t>/iha/</t>
  </si>
  <si>
    <t>iha</t>
  </si>
  <si>
    <t>移記</t>
  </si>
  <si>
    <t>胃</t>
  </si>
  <si>
    <t>stomach</t>
  </si>
  <si>
    <t>tummy</t>
  </si>
  <si>
    <t>tum</t>
  </si>
  <si>
    <t>breadbasket</t>
  </si>
  <si>
    <t>衣架</t>
  </si>
  <si>
    <t>遺棄</t>
  </si>
  <si>
    <t>医家</t>
  </si>
  <si>
    <t>doctor</t>
  </si>
  <si>
    <t>doc</t>
  </si>
  <si>
    <t>physician</t>
  </si>
  <si>
    <t>MD</t>
  </si>
  <si>
    <t>Dr.</t>
  </si>
  <si>
    <t>medico</t>
  </si>
  <si>
    <t>医科</t>
  </si>
  <si>
    <t>medical_science</t>
  </si>
  <si>
    <t>亥</t>
  </si>
  <si>
    <t>域</t>
  </si>
  <si>
    <t>degree</t>
  </si>
  <si>
    <t>grade</t>
  </si>
  <si>
    <t>area</t>
  </si>
  <si>
    <t>稲荷</t>
  </si>
  <si>
    <t>/inaɾi/</t>
  </si>
  <si>
    <t>inari</t>
  </si>
  <si>
    <t>fox</t>
  </si>
  <si>
    <t>烏賊</t>
  </si>
  <si>
    <t>羽太</t>
  </si>
  <si>
    <t>/hata/</t>
  </si>
  <si>
    <t>hata</t>
  </si>
  <si>
    <t>雨止み</t>
  </si>
  <si>
    <t>/amajami/</t>
  </si>
  <si>
    <t>amayami</t>
  </si>
  <si>
    <t>厭に</t>
  </si>
  <si>
    <t>/ijani/</t>
  </si>
  <si>
    <t>iyani</t>
  </si>
  <si>
    <t>厭み</t>
  </si>
  <si>
    <t>/ijami/</t>
  </si>
  <si>
    <t>iyami</t>
  </si>
  <si>
    <t>sarcasm</t>
  </si>
  <si>
    <t>irony</t>
  </si>
  <si>
    <t>satire</t>
  </si>
  <si>
    <t>caustic_remark</t>
  </si>
  <si>
    <t>厭や</t>
  </si>
  <si>
    <t>厭味</t>
  </si>
  <si>
    <t>鉛</t>
  </si>
  <si>
    <t>/namaɾi/</t>
  </si>
  <si>
    <t>namari</t>
  </si>
  <si>
    <t>Pb</t>
  </si>
  <si>
    <t>atomic_number_82</t>
  </si>
  <si>
    <t>黄</t>
  </si>
  <si>
    <t>yellowness</t>
  </si>
  <si>
    <t>黄にら</t>
  </si>
  <si>
    <t>黄み</t>
  </si>
  <si>
    <t>/kimi/</t>
  </si>
  <si>
    <t>kimi</t>
  </si>
  <si>
    <t>黄身</t>
  </si>
  <si>
    <t>egg_yolk</t>
  </si>
  <si>
    <t>yolk</t>
  </si>
  <si>
    <t>黄韮</t>
  </si>
  <si>
    <t>黄味</t>
  </si>
  <si>
    <t>屋</t>
  </si>
  <si>
    <t>dwelling</t>
  </si>
  <si>
    <t>domicile</t>
  </si>
  <si>
    <t>abode</t>
  </si>
  <si>
    <t>habitation</t>
  </si>
  <si>
    <t>dwelling_house</t>
  </si>
  <si>
    <t>屋形</t>
  </si>
  <si>
    <t>/jakata/</t>
  </si>
  <si>
    <t>yakata</t>
  </si>
  <si>
    <t>温かみ</t>
  </si>
  <si>
    <t>/atatakami/</t>
  </si>
  <si>
    <t>atatakami</t>
  </si>
  <si>
    <t>kindness</t>
  </si>
  <si>
    <t>affection</t>
  </si>
  <si>
    <t>affectionateness</t>
  </si>
  <si>
    <t>fondness</t>
  </si>
  <si>
    <t>tenderness</t>
  </si>
  <si>
    <t>warmness</t>
  </si>
  <si>
    <t>warmheartedness</t>
  </si>
  <si>
    <t>philia</t>
  </si>
  <si>
    <t>warmth</t>
  </si>
  <si>
    <t>下記</t>
  </si>
  <si>
    <t>下吏</t>
  </si>
  <si>
    <t>化</t>
  </si>
  <si>
    <t>仮に</t>
  </si>
  <si>
    <t>/kaɾini/</t>
  </si>
  <si>
    <t>karini</t>
  </si>
  <si>
    <t>provisionally</t>
  </si>
  <si>
    <t>tentatively</t>
  </si>
  <si>
    <t>expediently</t>
  </si>
  <si>
    <t>inadvisably</t>
  </si>
  <si>
    <t>仮り</t>
  </si>
  <si>
    <t>仮屋</t>
  </si>
  <si>
    <t>/kaɾija/</t>
  </si>
  <si>
    <t>kariya</t>
  </si>
  <si>
    <t>仮宮</t>
  </si>
  <si>
    <t>/kaɾimija/</t>
  </si>
  <si>
    <t>karimiya</t>
  </si>
  <si>
    <t>仮字</t>
  </si>
  <si>
    <t>何々</t>
  </si>
  <si>
    <t>/naninani/</t>
  </si>
  <si>
    <t>naninani</t>
  </si>
  <si>
    <t>何か彼にか</t>
  </si>
  <si>
    <t>/nanikakanika/</t>
  </si>
  <si>
    <t>nanikakanika</t>
  </si>
  <si>
    <t>何さま</t>
  </si>
  <si>
    <t>/nanisama/</t>
  </si>
  <si>
    <t>nanisama</t>
  </si>
  <si>
    <t>何やら</t>
  </si>
  <si>
    <t>/nanijaɾa/</t>
  </si>
  <si>
    <t>naniyara</t>
  </si>
  <si>
    <t>何やらかにやら</t>
  </si>
  <si>
    <t>/nanijaɾakanijaɾa/</t>
  </si>
  <si>
    <t>naniyarakaniyara</t>
  </si>
  <si>
    <t>何やら彼にやら</t>
  </si>
  <si>
    <t>何やら彼やら</t>
  </si>
  <si>
    <t>/nanijaɾakajaɾa/</t>
  </si>
  <si>
    <t>naniyarakayara</t>
  </si>
  <si>
    <t>何や彼や</t>
  </si>
  <si>
    <t>/nanijakaja/</t>
  </si>
  <si>
    <t>naniyakaya</t>
  </si>
  <si>
    <t>何何</t>
  </si>
  <si>
    <t>何様</t>
  </si>
  <si>
    <t>佳</t>
  </si>
  <si>
    <t>beautiful</t>
  </si>
  <si>
    <t>lovely</t>
  </si>
  <si>
    <t>佳味</t>
  </si>
  <si>
    <t>加</t>
  </si>
  <si>
    <t>increase</t>
  </si>
  <si>
    <t>step-up</t>
  </si>
  <si>
    <t>加味</t>
  </si>
  <si>
    <t>flavorer</t>
  </si>
  <si>
    <t>flavourer</t>
  </si>
  <si>
    <t>flavoring</t>
  </si>
  <si>
    <t>flavouring</t>
  </si>
  <si>
    <t>seasoner</t>
  </si>
  <si>
    <t>seasoning</t>
  </si>
  <si>
    <t>加里</t>
  </si>
  <si>
    <t>可</t>
  </si>
  <si>
    <t>可成</t>
  </si>
  <si>
    <t>/kanaɾi/</t>
  </si>
  <si>
    <t>kanari</t>
  </si>
  <si>
    <t>well</t>
  </si>
  <si>
    <t>considerably</t>
  </si>
  <si>
    <t>substantially</t>
  </si>
  <si>
    <t>rather</t>
  </si>
  <si>
    <t>kind_of</t>
  </si>
  <si>
    <t>kinda</t>
  </si>
  <si>
    <t>sort_of</t>
  </si>
  <si>
    <t>quite</t>
  </si>
  <si>
    <t>quite_a</t>
  </si>
  <si>
    <t>quite_an</t>
  </si>
  <si>
    <t>reasonably</t>
  </si>
  <si>
    <t>moderately</t>
  </si>
  <si>
    <t>pretty</t>
  </si>
  <si>
    <t>jolly</t>
  </si>
  <si>
    <t>somewhat</t>
  </si>
  <si>
    <t>fairly</t>
  </si>
  <si>
    <t>middling</t>
  </si>
  <si>
    <t>passably</t>
  </si>
  <si>
    <t>considerable</t>
  </si>
  <si>
    <t>goodly</t>
  </si>
  <si>
    <t>goodish</t>
  </si>
  <si>
    <t>healthy</t>
  </si>
  <si>
    <t>hefty</t>
  </si>
  <si>
    <t>respectable</t>
  </si>
  <si>
    <t>sizable</t>
  </si>
  <si>
    <t>sizeable</t>
  </si>
  <si>
    <t>tidy</t>
  </si>
  <si>
    <t>ample</t>
  </si>
  <si>
    <t>可也</t>
  </si>
  <si>
    <t>夏期</t>
  </si>
  <si>
    <t>summer</t>
  </si>
  <si>
    <t>summertime</t>
  </si>
  <si>
    <t>家鳴り</t>
  </si>
  <si>
    <t>/janaɾi/</t>
  </si>
  <si>
    <t>yanari</t>
  </si>
  <si>
    <t>火器</t>
  </si>
  <si>
    <t>gun</t>
  </si>
  <si>
    <t>花</t>
  </si>
  <si>
    <t>/hana/</t>
  </si>
  <si>
    <t>hana</t>
  </si>
  <si>
    <t>花やか</t>
  </si>
  <si>
    <t>/hanajaka/</t>
  </si>
  <si>
    <t>hanayaka</t>
  </si>
  <si>
    <t>gorgeous</t>
  </si>
  <si>
    <t>花屋</t>
  </si>
  <si>
    <t>/hanaja/</t>
  </si>
  <si>
    <t>hanaya</t>
  </si>
  <si>
    <t>florist</t>
  </si>
  <si>
    <t>florist_shop</t>
  </si>
  <si>
    <t>flower_store</t>
  </si>
  <si>
    <t>花器</t>
  </si>
  <si>
    <t>花期</t>
  </si>
  <si>
    <t>花季</t>
  </si>
  <si>
    <t>花見</t>
  </si>
  <si>
    <t>/hanami/</t>
  </si>
  <si>
    <t>hanami</t>
  </si>
  <si>
    <t>花卉</t>
  </si>
  <si>
    <t>荷足り</t>
  </si>
  <si>
    <t>華</t>
  </si>
  <si>
    <t>flamboyance</t>
  </si>
  <si>
    <t>floridness</t>
  </si>
  <si>
    <t>floridity</t>
  </si>
  <si>
    <t>showiness</t>
  </si>
  <si>
    <t>blooming</t>
  </si>
  <si>
    <t>華やか</t>
  </si>
  <si>
    <t>glorious</t>
  </si>
  <si>
    <t>resplendent</t>
  </si>
  <si>
    <t>splendid</t>
  </si>
  <si>
    <t>splendiferous</t>
  </si>
  <si>
    <t>菓</t>
  </si>
  <si>
    <t>課</t>
  </si>
  <si>
    <t>lesson</t>
  </si>
  <si>
    <t>department</t>
  </si>
  <si>
    <t>division</t>
  </si>
  <si>
    <t>貨</t>
  </si>
  <si>
    <t>/takaɾa/</t>
  </si>
  <si>
    <t>takara</t>
  </si>
  <si>
    <t>過</t>
  </si>
  <si>
    <t>failure</t>
  </si>
  <si>
    <t>erroneousness</t>
  </si>
  <si>
    <t>error</t>
  </si>
  <si>
    <t>wrongdoing</t>
  </si>
  <si>
    <t>過多</t>
  </si>
  <si>
    <t>excessive</t>
  </si>
  <si>
    <t>inordinate</t>
  </si>
  <si>
    <t>undue</t>
  </si>
  <si>
    <t>unreasonable</t>
  </si>
  <si>
    <t>excess</t>
  </si>
  <si>
    <t>extra</t>
  </si>
  <si>
    <t>redundant</t>
  </si>
  <si>
    <t>spare</t>
  </si>
  <si>
    <t>supererogatory</t>
  </si>
  <si>
    <t>superfluous</t>
  </si>
  <si>
    <t>supernumerary</t>
  </si>
  <si>
    <t>surplus</t>
  </si>
  <si>
    <t>蚊</t>
  </si>
  <si>
    <t>mosquito</t>
  </si>
  <si>
    <t>蚊屋</t>
  </si>
  <si>
    <t>mosquito_net</t>
  </si>
  <si>
    <t>蚊遣</t>
  </si>
  <si>
    <t>/kajaɾi/</t>
  </si>
  <si>
    <t>kayari</t>
  </si>
  <si>
    <t>蚊遣り</t>
  </si>
  <si>
    <t>蚊遣器</t>
  </si>
  <si>
    <t>/kajaɾiki/</t>
  </si>
  <si>
    <t>kayariki</t>
  </si>
  <si>
    <t>塊</t>
  </si>
  <si>
    <t>/katamaɾi/</t>
  </si>
  <si>
    <t>katamari</t>
  </si>
  <si>
    <t>bunch</t>
  </si>
  <si>
    <t>clump</t>
  </si>
  <si>
    <t>cluster</t>
  </si>
  <si>
    <t>clustering</t>
  </si>
  <si>
    <t>clod</t>
  </si>
  <si>
    <t>glob</t>
  </si>
  <si>
    <t>chunk</t>
  </si>
  <si>
    <t>crowd</t>
  </si>
  <si>
    <t>hunk</t>
  </si>
  <si>
    <t>塊まり</t>
  </si>
  <si>
    <t>海人</t>
  </si>
  <si>
    <t>fisherman</t>
  </si>
  <si>
    <t>fisher</t>
  </si>
  <si>
    <t>皆々</t>
  </si>
  <si>
    <t>/minamina/</t>
  </si>
  <si>
    <t>minamina</t>
  </si>
  <si>
    <t>皆々様</t>
  </si>
  <si>
    <t>/minaminasama/</t>
  </si>
  <si>
    <t>minaminasama</t>
  </si>
  <si>
    <t>皆さま</t>
  </si>
  <si>
    <t>皆皆</t>
  </si>
  <si>
    <t>皆皆様</t>
  </si>
  <si>
    <t>皆様</t>
  </si>
  <si>
    <t>蟹</t>
  </si>
  <si>
    <t>蟹蒲</t>
  </si>
  <si>
    <t>蟹玉</t>
  </si>
  <si>
    <t>垣</t>
  </si>
  <si>
    <t>fence</t>
  </si>
  <si>
    <t>fencing</t>
  </si>
  <si>
    <t>wall</t>
  </si>
  <si>
    <t>掛かりきり</t>
  </si>
  <si>
    <t>/kakaɾikiɾi/</t>
  </si>
  <si>
    <t>kakarikiri</t>
  </si>
  <si>
    <t>掛かり切り</t>
  </si>
  <si>
    <t>掛り切り</t>
  </si>
  <si>
    <t>掛羅</t>
  </si>
  <si>
    <t>掛絡</t>
  </si>
  <si>
    <t>掛落</t>
  </si>
  <si>
    <t>笠</t>
  </si>
  <si>
    <t>hat</t>
  </si>
  <si>
    <t>chapeau</t>
  </si>
  <si>
    <t>lid</t>
  </si>
  <si>
    <t>sunhat</t>
  </si>
  <si>
    <t>sun_hat</t>
  </si>
  <si>
    <t>pileus</t>
  </si>
  <si>
    <t>潟</t>
  </si>
  <si>
    <t>bay</t>
  </si>
  <si>
    <t>embayment</t>
  </si>
  <si>
    <t>inlet</t>
  </si>
  <si>
    <t>lagoon</t>
  </si>
  <si>
    <t>laguna</t>
  </si>
  <si>
    <t>lagune</t>
  </si>
  <si>
    <t>活き</t>
  </si>
  <si>
    <t>釜</t>
  </si>
  <si>
    <t>kettle</t>
  </si>
  <si>
    <t>boiler</t>
  </si>
  <si>
    <t>鎌</t>
  </si>
  <si>
    <t>sickle</t>
  </si>
  <si>
    <t>reaping_hook</t>
  </si>
  <si>
    <t>reap_hook</t>
  </si>
  <si>
    <t>鎌切</t>
  </si>
  <si>
    <t>鎌槍</t>
  </si>
  <si>
    <t>/kamajaɾi/</t>
  </si>
  <si>
    <t>kamayari</t>
  </si>
  <si>
    <t>萱</t>
  </si>
  <si>
    <t>刈</t>
  </si>
  <si>
    <t>刈り田</t>
  </si>
  <si>
    <t>/kaɾita/</t>
  </si>
  <si>
    <t>karita</t>
  </si>
  <si>
    <t>刈田</t>
  </si>
  <si>
    <t>巻き</t>
  </si>
  <si>
    <t>coil</t>
  </si>
  <si>
    <t>spiral</t>
  </si>
  <si>
    <t>volute</t>
  </si>
  <si>
    <t>whorl</t>
  </si>
  <si>
    <t>helix</t>
  </si>
  <si>
    <t>book</t>
  </si>
  <si>
    <t>scroll</t>
  </si>
  <si>
    <t>roller</t>
  </si>
  <si>
    <t>rolling_wave</t>
  </si>
  <si>
    <t>甘やか</t>
  </si>
  <si>
    <t>/amajaka/</t>
  </si>
  <si>
    <t>amayaka</t>
  </si>
  <si>
    <t>甘辛</t>
  </si>
  <si>
    <t>/amakaɾa/</t>
  </si>
  <si>
    <t>amakara</t>
  </si>
  <si>
    <t>間々</t>
  </si>
  <si>
    <t>occasionally</t>
  </si>
  <si>
    <t>on_occasion</t>
  </si>
  <si>
    <t>once_in_a_while</t>
  </si>
  <si>
    <t>now_and_then</t>
  </si>
  <si>
    <t>now_and_again</t>
  </si>
  <si>
    <t>at_times</t>
  </si>
  <si>
    <t>from_time_to_time</t>
  </si>
  <si>
    <t>sometimes</t>
  </si>
  <si>
    <t>frequently</t>
  </si>
  <si>
    <t>often</t>
  </si>
  <si>
    <t>oftentimes</t>
  </si>
  <si>
    <t>oft</t>
  </si>
  <si>
    <t>ofttimes</t>
  </si>
  <si>
    <t>much</t>
  </si>
  <si>
    <t>a_great_deal</t>
  </si>
  <si>
    <t>間間</t>
  </si>
  <si>
    <t>韓</t>
  </si>
  <si>
    <t>South_Korea</t>
  </si>
  <si>
    <t>Republic_of_Korea</t>
  </si>
  <si>
    <t>含羞屋</t>
  </si>
  <si>
    <t>危</t>
  </si>
  <si>
    <t>danger</t>
  </si>
  <si>
    <t>危機</t>
  </si>
  <si>
    <t>risk</t>
  </si>
  <si>
    <t>peril</t>
  </si>
  <si>
    <t>emergency</t>
  </si>
  <si>
    <t>exigency</t>
  </si>
  <si>
    <t>crisis</t>
  </si>
  <si>
    <t>hazard</t>
  </si>
  <si>
    <t>jeopardy</t>
  </si>
  <si>
    <t>endangerment</t>
  </si>
  <si>
    <t>喜々</t>
  </si>
  <si>
    <t>喜喜</t>
  </si>
  <si>
    <t>器機</t>
  </si>
  <si>
    <t>equipment</t>
  </si>
  <si>
    <t>奇</t>
  </si>
  <si>
    <t>unusual</t>
  </si>
  <si>
    <t>odd</t>
  </si>
  <si>
    <t>bizarre</t>
  </si>
  <si>
    <t>freakish</t>
  </si>
  <si>
    <t>freaky</t>
  </si>
  <si>
    <t>flaky</t>
  </si>
  <si>
    <t>flakey</t>
  </si>
  <si>
    <t>gonzo</t>
  </si>
  <si>
    <t>off-the-wall</t>
  </si>
  <si>
    <t>outlandish</t>
  </si>
  <si>
    <t>outre</t>
  </si>
  <si>
    <t>uneven</t>
  </si>
  <si>
    <t>strange</t>
  </si>
  <si>
    <t>奇貨</t>
  </si>
  <si>
    <t>奇利</t>
  </si>
  <si>
    <t>boom</t>
  </si>
  <si>
    <t>bonanza</t>
  </si>
  <si>
    <t>gold_rush</t>
  </si>
  <si>
    <t>gravy</t>
  </si>
  <si>
    <t>godsend</t>
  </si>
  <si>
    <t>windfall</t>
  </si>
  <si>
    <t>bunce</t>
  </si>
  <si>
    <t>嬉々</t>
  </si>
  <si>
    <t>嬉嬉</t>
  </si>
  <si>
    <t>忌み</t>
  </si>
  <si>
    <t>abstinence</t>
  </si>
  <si>
    <t>taboo</t>
  </si>
  <si>
    <t>tabu</t>
  </si>
  <si>
    <t>忌寸</t>
  </si>
  <si>
    <t>/imiki/</t>
  </si>
  <si>
    <t>imiki</t>
  </si>
  <si>
    <t>机下</t>
  </si>
  <si>
    <t>旗</t>
  </si>
  <si>
    <t>banner</t>
  </si>
  <si>
    <t>streamer</t>
  </si>
  <si>
    <t>standard</t>
  </si>
  <si>
    <t>signal_flag</t>
  </si>
  <si>
    <t>旗下</t>
  </si>
  <si>
    <t>期</t>
  </si>
  <si>
    <t>time_period</t>
  </si>
  <si>
    <t>period_of_time</t>
  </si>
  <si>
    <t>period</t>
  </si>
  <si>
    <t>term</t>
  </si>
  <si>
    <t>機屋</t>
  </si>
  <si>
    <t>/hataja/</t>
  </si>
  <si>
    <t>hataya</t>
  </si>
  <si>
    <t>機化</t>
  </si>
  <si>
    <t>機器</t>
  </si>
  <si>
    <t>device</t>
  </si>
  <si>
    <t>帰化</t>
  </si>
  <si>
    <t>naturalization</t>
  </si>
  <si>
    <t>naturalisation</t>
  </si>
  <si>
    <t>気まま</t>
  </si>
  <si>
    <t>/kimama/</t>
  </si>
  <si>
    <t>kimama</t>
  </si>
  <si>
    <t>self-indulgently</t>
  </si>
  <si>
    <t>footloose</t>
  </si>
  <si>
    <t>selfishness</t>
  </si>
  <si>
    <t>opportunism</t>
  </si>
  <si>
    <t>self-interest</t>
  </si>
  <si>
    <t>self-seeking</t>
  </si>
  <si>
    <t>expedience</t>
  </si>
  <si>
    <t>indulgence</t>
  </si>
  <si>
    <t>self-indulgence</t>
  </si>
  <si>
    <t>気化</t>
  </si>
  <si>
    <t>vaporization</t>
  </si>
  <si>
    <t>vaporisation</t>
  </si>
  <si>
    <t>gasification</t>
  </si>
  <si>
    <t>vapor</t>
  </si>
  <si>
    <t>vapour</t>
  </si>
  <si>
    <t>evaporation</t>
  </si>
  <si>
    <t>気化器</t>
  </si>
  <si>
    <t>/kikaki/</t>
  </si>
  <si>
    <t>kikaki</t>
  </si>
  <si>
    <t>気侭</t>
  </si>
  <si>
    <t>気儘</t>
  </si>
  <si>
    <t>季</t>
  </si>
  <si>
    <t>season</t>
  </si>
  <si>
    <t>time_of_year</t>
  </si>
  <si>
    <t>季夏</t>
  </si>
  <si>
    <t>紀</t>
  </si>
  <si>
    <t>規那</t>
  </si>
  <si>
    <t>/kina/</t>
  </si>
  <si>
    <t>kina</t>
  </si>
  <si>
    <t>記</t>
  </si>
  <si>
    <t>document</t>
  </si>
  <si>
    <t>written_document</t>
  </si>
  <si>
    <t>papers</t>
  </si>
  <si>
    <t>record</t>
  </si>
  <si>
    <t>record_book</t>
  </si>
  <si>
    <t>symbol</t>
  </si>
  <si>
    <t>記紀</t>
  </si>
  <si>
    <t>貴下</t>
  </si>
  <si>
    <t>貴家</t>
  </si>
  <si>
    <t>貴男</t>
  </si>
  <si>
    <t>/anata/</t>
  </si>
  <si>
    <t>anata</t>
  </si>
  <si>
    <t>貴様</t>
  </si>
  <si>
    <t>/kisama/</t>
  </si>
  <si>
    <t>kisama</t>
  </si>
  <si>
    <t>輝々</t>
  </si>
  <si>
    <t>輝輝</t>
  </si>
  <si>
    <t>騎</t>
  </si>
  <si>
    <t>鬼気</t>
  </si>
  <si>
    <t>蟻</t>
  </si>
  <si>
    <t>蟻巻</t>
  </si>
  <si>
    <t>Aphis</t>
  </si>
  <si>
    <t>genus_Aphis</t>
  </si>
  <si>
    <t>greenfly</t>
  </si>
  <si>
    <t>鞠</t>
  </si>
  <si>
    <t>逆さ</t>
  </si>
  <si>
    <t>/sakasa/</t>
  </si>
  <si>
    <t>sakasa</t>
  </si>
  <si>
    <t>reverse</t>
  </si>
  <si>
    <t>contrary</t>
  </si>
  <si>
    <t>opposite</t>
  </si>
  <si>
    <t>inverse</t>
  </si>
  <si>
    <t>逆さま</t>
  </si>
  <si>
    <t>/sakasama/</t>
  </si>
  <si>
    <t>sakasama</t>
  </si>
  <si>
    <t>逆波</t>
  </si>
  <si>
    <t>/sakanami/</t>
  </si>
  <si>
    <t>sakanami</t>
  </si>
  <si>
    <t>逆様</t>
  </si>
  <si>
    <t>inverted</t>
  </si>
  <si>
    <t>upside-down</t>
  </si>
  <si>
    <t>宮様</t>
  </si>
  <si>
    <t>/mijasama/</t>
  </si>
  <si>
    <t>miyasama</t>
  </si>
  <si>
    <t>泣き</t>
  </si>
  <si>
    <t>/naki/</t>
  </si>
  <si>
    <t>naki</t>
  </si>
  <si>
    <t>crying</t>
  </si>
  <si>
    <t>weeping</t>
  </si>
  <si>
    <t>tears</t>
  </si>
  <si>
    <t>居間</t>
  </si>
  <si>
    <t>living_room</t>
  </si>
  <si>
    <t>living-room</t>
  </si>
  <si>
    <t>sitting_room</t>
  </si>
  <si>
    <t>front_room</t>
  </si>
  <si>
    <t>parlor</t>
  </si>
  <si>
    <t>parlour</t>
  </si>
  <si>
    <t>居高</t>
  </si>
  <si>
    <t>魚屋</t>
  </si>
  <si>
    <t>/sakanaja/</t>
  </si>
  <si>
    <t>sakanaya</t>
  </si>
  <si>
    <t>fishmonger</t>
  </si>
  <si>
    <t>fishwife</t>
  </si>
  <si>
    <t>魚焼き器</t>
  </si>
  <si>
    <t>/sakanajakiki/</t>
  </si>
  <si>
    <t>sakanayakiki</t>
  </si>
  <si>
    <t>挟み焼き</t>
  </si>
  <si>
    <t>響銅</t>
  </si>
  <si>
    <t>/sahaɾi/</t>
  </si>
  <si>
    <t>sahari</t>
  </si>
  <si>
    <t>極り</t>
  </si>
  <si>
    <t>/kimaɾi/</t>
  </si>
  <si>
    <t>kimari</t>
  </si>
  <si>
    <t>玉ははき</t>
  </si>
  <si>
    <t>/tamahahaki/</t>
  </si>
  <si>
    <t>tamahahaki</t>
  </si>
  <si>
    <t>玉屋</t>
  </si>
  <si>
    <t>/tamaja/</t>
  </si>
  <si>
    <t>tamaya</t>
  </si>
  <si>
    <t>jewelry_maker</t>
  </si>
  <si>
    <t>jeweler</t>
  </si>
  <si>
    <t>jeweller</t>
  </si>
  <si>
    <t>玉菜</t>
  </si>
  <si>
    <t>/tamana/</t>
  </si>
  <si>
    <t>tamana</t>
  </si>
  <si>
    <t>桐</t>
  </si>
  <si>
    <t>空き</t>
  </si>
  <si>
    <t>leisure</t>
  </si>
  <si>
    <t>elbow_room</t>
  </si>
  <si>
    <t>space</t>
  </si>
  <si>
    <t>hollowness</t>
  </si>
  <si>
    <t>vacancy</t>
  </si>
  <si>
    <t>opening</t>
  </si>
  <si>
    <t>overtime</t>
  </si>
  <si>
    <t>extra_time</t>
  </si>
  <si>
    <t>空き屋</t>
  </si>
  <si>
    <t>/akija/</t>
  </si>
  <si>
    <t>akiya</t>
  </si>
  <si>
    <t>空き家</t>
  </si>
  <si>
    <t>空き間</t>
  </si>
  <si>
    <t>/akima/</t>
  </si>
  <si>
    <t>akima</t>
  </si>
  <si>
    <t>空屋</t>
  </si>
  <si>
    <t>空家</t>
  </si>
  <si>
    <t>空荷</t>
  </si>
  <si>
    <t>/kaɾani/</t>
  </si>
  <si>
    <t>karani</t>
  </si>
  <si>
    <t>空身</t>
  </si>
  <si>
    <t>偶々</t>
  </si>
  <si>
    <t>/tamatama/</t>
  </si>
  <si>
    <t>tamatama</t>
  </si>
  <si>
    <t>by_chance</t>
  </si>
  <si>
    <t>accidentally</t>
  </si>
  <si>
    <t>circumstantially</t>
  </si>
  <si>
    <t>unexpectedly</t>
  </si>
  <si>
    <t>unintentionally</t>
  </si>
  <si>
    <t>incidentally</t>
  </si>
  <si>
    <t>haply</t>
  </si>
  <si>
    <t>by_luck</t>
  </si>
  <si>
    <t>perchance</t>
  </si>
  <si>
    <t>偶さか</t>
  </si>
  <si>
    <t>/tamasaka/</t>
  </si>
  <si>
    <t>tamasaka</t>
  </si>
  <si>
    <t>偶に</t>
  </si>
  <si>
    <t>/tamani/</t>
  </si>
  <si>
    <t>tamani</t>
  </si>
  <si>
    <t>偶偶</t>
  </si>
  <si>
    <t>君ら</t>
  </si>
  <si>
    <t>/kimiɾa/</t>
  </si>
  <si>
    <t>kimira</t>
  </si>
  <si>
    <t>君等</t>
  </si>
  <si>
    <t>係り</t>
  </si>
  <si>
    <t>relationship</t>
  </si>
  <si>
    <t>human_relationship</t>
  </si>
  <si>
    <t>connection</t>
  </si>
  <si>
    <t>connexion</t>
  </si>
  <si>
    <t>connectedness</t>
  </si>
  <si>
    <t>link</t>
  </si>
  <si>
    <t>nexus</t>
  </si>
  <si>
    <t>兄貴</t>
  </si>
  <si>
    <t>brother</t>
  </si>
  <si>
    <t>blood_brother</t>
  </si>
  <si>
    <t>兄矢</t>
  </si>
  <si>
    <t>/haja/</t>
  </si>
  <si>
    <t>haya</t>
  </si>
  <si>
    <t>形見</t>
  </si>
  <si>
    <t>/katami/</t>
  </si>
  <si>
    <t>katami</t>
  </si>
  <si>
    <t>keepsake</t>
  </si>
  <si>
    <t>souvenir</t>
  </si>
  <si>
    <t>token</t>
  </si>
  <si>
    <t>relic</t>
  </si>
  <si>
    <t>memento</t>
  </si>
  <si>
    <t>渓</t>
  </si>
  <si>
    <t>/tani/</t>
  </si>
  <si>
    <t>tani</t>
  </si>
  <si>
    <t>valley</t>
  </si>
  <si>
    <t>vale</t>
  </si>
  <si>
    <t>計り</t>
  </si>
  <si>
    <t>/hakaɾi/</t>
  </si>
  <si>
    <t>hakari</t>
  </si>
  <si>
    <t>measurement</t>
  </si>
  <si>
    <t>measuring</t>
  </si>
  <si>
    <t>mensuration</t>
  </si>
  <si>
    <t>決まり</t>
  </si>
  <si>
    <t>convention</t>
  </si>
  <si>
    <t>normal</t>
  </si>
  <si>
    <t>pattern</t>
  </si>
  <si>
    <t>rule</t>
  </si>
  <si>
    <t>formula</t>
  </si>
  <si>
    <t>wont</t>
  </si>
  <si>
    <t>settlement</t>
  </si>
  <si>
    <t>resolution</t>
  </si>
  <si>
    <t>closure</t>
  </si>
  <si>
    <t>regulation</t>
  </si>
  <si>
    <t>prescript</t>
  </si>
  <si>
    <t>ordinance</t>
  </si>
  <si>
    <t>決り</t>
  </si>
  <si>
    <t>end</t>
  </si>
  <si>
    <t>last</t>
  </si>
  <si>
    <t>final_stage</t>
  </si>
  <si>
    <t>堅さ</t>
  </si>
  <si>
    <t>/katasa/</t>
  </si>
  <si>
    <t>katasa</t>
  </si>
  <si>
    <t>fixedness</t>
  </si>
  <si>
    <t>unalterability</t>
  </si>
  <si>
    <t>fastness</t>
  </si>
  <si>
    <t>fixity</t>
  </si>
  <si>
    <t>fixture</t>
  </si>
  <si>
    <t>secureness</t>
  </si>
  <si>
    <t>solidity</t>
  </si>
  <si>
    <t>solidness</t>
  </si>
  <si>
    <t>certainty</t>
  </si>
  <si>
    <t>堅焼</t>
  </si>
  <si>
    <t>堅焼き</t>
  </si>
  <si>
    <t>嫌に</t>
  </si>
  <si>
    <t>嫌み</t>
  </si>
  <si>
    <t>嫌味</t>
  </si>
  <si>
    <t>懸かり</t>
  </si>
  <si>
    <t>懸り</t>
  </si>
  <si>
    <t>肩</t>
  </si>
  <si>
    <t>shoulder</t>
  </si>
  <si>
    <t>shoulder_joint</t>
  </si>
  <si>
    <t>articulatio_humeri</t>
  </si>
  <si>
    <t>肩たたき</t>
  </si>
  <si>
    <t>/katatataki/</t>
  </si>
  <si>
    <t>katatataki</t>
  </si>
  <si>
    <t>肩山</t>
  </si>
  <si>
    <t>/katajama/</t>
  </si>
  <si>
    <t>katayama</t>
  </si>
  <si>
    <t>肩身</t>
  </si>
  <si>
    <t>肩先</t>
  </si>
  <si>
    <t>/katasaki/</t>
  </si>
  <si>
    <t>katasaki</t>
  </si>
  <si>
    <t>肩叩き</t>
  </si>
  <si>
    <t>見切り</t>
  </si>
  <si>
    <t>/mikiɾi/</t>
  </si>
  <si>
    <t>mikiri</t>
  </si>
  <si>
    <t>見張り</t>
  </si>
  <si>
    <t>/mihaɾi/</t>
  </si>
  <si>
    <t>mihari</t>
  </si>
  <si>
    <t>guard_duty</t>
  </si>
  <si>
    <t>guard</t>
  </si>
  <si>
    <t>sentry_duty</t>
  </si>
  <si>
    <t>sentry_go</t>
  </si>
  <si>
    <t>watch</t>
  </si>
  <si>
    <t>vigil</t>
  </si>
  <si>
    <t>lookout</t>
  </si>
  <si>
    <t>outlook</t>
  </si>
  <si>
    <t>見聞き</t>
  </si>
  <si>
    <t>/mikiki/</t>
  </si>
  <si>
    <t>mikiki</t>
  </si>
  <si>
    <t>experience</t>
  </si>
  <si>
    <t>見方</t>
  </si>
  <si>
    <t>/mikata/</t>
  </si>
  <si>
    <t>mikata</t>
  </si>
  <si>
    <t>perception</t>
  </si>
  <si>
    <t>position</t>
  </si>
  <si>
    <t>stance</t>
  </si>
  <si>
    <t>posture</t>
  </si>
  <si>
    <t>perspective</t>
  </si>
  <si>
    <t>point_of_view</t>
  </si>
  <si>
    <t>viewpoint</t>
  </si>
  <si>
    <t>stand</t>
  </si>
  <si>
    <t>standpoint</t>
  </si>
  <si>
    <t>light</t>
  </si>
  <si>
    <t>見優り</t>
  </si>
  <si>
    <t>/mimasaɾi/</t>
  </si>
  <si>
    <t>mimasari</t>
  </si>
  <si>
    <t>賢木</t>
  </si>
  <si>
    <t>/sakaki/</t>
  </si>
  <si>
    <t>sakaki</t>
  </si>
  <si>
    <t>遣り方</t>
  </si>
  <si>
    <t>road</t>
  </si>
  <si>
    <t>顕らか</t>
  </si>
  <si>
    <t>/akiɾaka/</t>
  </si>
  <si>
    <t>akiraka</t>
  </si>
  <si>
    <t>限</t>
  </si>
  <si>
    <t>固さ</t>
  </si>
  <si>
    <t>固まり</t>
  </si>
  <si>
    <t>aggregation</t>
  </si>
  <si>
    <t>accumulation</t>
  </si>
  <si>
    <t>assemblage</t>
  </si>
  <si>
    <t>固焼</t>
  </si>
  <si>
    <t>固焼き</t>
  </si>
  <si>
    <t>胡銅器</t>
  </si>
  <si>
    <t>互に</t>
  </si>
  <si>
    <t>/katamini/</t>
  </si>
  <si>
    <t>katamini</t>
  </si>
  <si>
    <t>御魂</t>
  </si>
  <si>
    <t>/mitama/</t>
  </si>
  <si>
    <t>mitama</t>
  </si>
  <si>
    <t>御墓</t>
  </si>
  <si>
    <t>/mihaka/</t>
  </si>
  <si>
    <t>mihaka</t>
  </si>
  <si>
    <t>語り</t>
  </si>
  <si>
    <t>narration</t>
  </si>
  <si>
    <t>recital</t>
  </si>
  <si>
    <t>yarn</t>
  </si>
  <si>
    <t>narrator</t>
  </si>
  <si>
    <t>storyteller</t>
  </si>
  <si>
    <t>teller</t>
  </si>
  <si>
    <t>誤り</t>
  </si>
  <si>
    <t>/ajamaɾi/</t>
  </si>
  <si>
    <t>ayamari</t>
  </si>
  <si>
    <t>mistake</t>
  </si>
  <si>
    <t>fault</t>
  </si>
  <si>
    <t>fallacy</t>
  </si>
  <si>
    <t>false_belief</t>
  </si>
  <si>
    <t>defect</t>
  </si>
  <si>
    <t>flaw</t>
  </si>
  <si>
    <t>効き</t>
  </si>
  <si>
    <t>efficacy</t>
  </si>
  <si>
    <t>efficaciousness</t>
  </si>
  <si>
    <t>垢掻き</t>
  </si>
  <si>
    <t>/akakaki/</t>
  </si>
  <si>
    <t>akakaki</t>
  </si>
  <si>
    <t>孔</t>
  </si>
  <si>
    <t>hole</t>
  </si>
  <si>
    <t>foramen</t>
  </si>
  <si>
    <t>hiatus</t>
  </si>
  <si>
    <t>hollow</t>
  </si>
  <si>
    <t>幸御魂</t>
  </si>
  <si>
    <t>/sakimitama/</t>
  </si>
  <si>
    <t>sakimitama</t>
  </si>
  <si>
    <t>幸魂</t>
  </si>
  <si>
    <t>更々</t>
  </si>
  <si>
    <t>at_all</t>
  </si>
  <si>
    <t>in_the_least</t>
  </si>
  <si>
    <t>the_least_bit</t>
  </si>
  <si>
    <t>更なり</t>
  </si>
  <si>
    <t>/saɾanaɾi/</t>
  </si>
  <si>
    <t>saranari</t>
  </si>
  <si>
    <t>更に</t>
  </si>
  <si>
    <t>/saɾani/</t>
  </si>
  <si>
    <t>sarani</t>
  </si>
  <si>
    <t>furthermore</t>
  </si>
  <si>
    <t>moreover</t>
  </si>
  <si>
    <t>what_is_more</t>
  </si>
  <si>
    <t>further</t>
  </si>
  <si>
    <t>farther</t>
  </si>
  <si>
    <t>additionally</t>
  </si>
  <si>
    <t>to_boot</t>
  </si>
  <si>
    <t>更更</t>
  </si>
  <si>
    <t>更紗</t>
  </si>
  <si>
    <t>/saɾasa/</t>
  </si>
  <si>
    <t>sarasa</t>
  </si>
  <si>
    <t>更紗羽太</t>
  </si>
  <si>
    <t>甲矢</t>
  </si>
  <si>
    <t>硬さ</t>
  </si>
  <si>
    <t>hardness</t>
  </si>
  <si>
    <t>糠蝦</t>
  </si>
  <si>
    <t>荒</t>
  </si>
  <si>
    <t>crudeness</t>
  </si>
  <si>
    <t>crudity</t>
  </si>
  <si>
    <t>primitiveness</t>
  </si>
  <si>
    <t>primitivism</t>
  </si>
  <si>
    <t>rudeness</t>
  </si>
  <si>
    <t>荒荷</t>
  </si>
  <si>
    <t>/aɾani/</t>
  </si>
  <si>
    <t>arani</t>
  </si>
  <si>
    <t>荒巻</t>
  </si>
  <si>
    <t>/aɾamaki/</t>
  </si>
  <si>
    <t>aramaki</t>
  </si>
  <si>
    <t>荒玉</t>
  </si>
  <si>
    <t>/aɾatama/</t>
  </si>
  <si>
    <t>aratama</t>
  </si>
  <si>
    <t>荒波</t>
  </si>
  <si>
    <t>/aɾanami/</t>
  </si>
  <si>
    <t>aranami</t>
  </si>
  <si>
    <t>tribulation</t>
  </si>
  <si>
    <t>visitation</t>
  </si>
  <si>
    <t>荒木</t>
  </si>
  <si>
    <t>荒利</t>
  </si>
  <si>
    <t>/aɾaɾi/</t>
  </si>
  <si>
    <t>arari</t>
  </si>
  <si>
    <t>高さ</t>
  </si>
  <si>
    <t>/takasa/</t>
  </si>
  <si>
    <t>takasa</t>
  </si>
  <si>
    <t>altitude</t>
  </si>
  <si>
    <t>tallness</t>
  </si>
  <si>
    <t>高まり</t>
  </si>
  <si>
    <t>/takamaɾi/</t>
  </si>
  <si>
    <t>takamari</t>
  </si>
  <si>
    <t>rise</t>
  </si>
  <si>
    <t>rising</t>
  </si>
  <si>
    <t>ascent</t>
  </si>
  <si>
    <t>ascension</t>
  </si>
  <si>
    <t>高み</t>
  </si>
  <si>
    <t>/takami/</t>
  </si>
  <si>
    <t>takami</t>
  </si>
  <si>
    <t>高らか</t>
  </si>
  <si>
    <t>/takaɾaka/</t>
  </si>
  <si>
    <t>takaraka</t>
  </si>
  <si>
    <t>high</t>
  </si>
  <si>
    <t>high-pitched</t>
  </si>
  <si>
    <t>高巻</t>
  </si>
  <si>
    <t>/takamaki/</t>
  </si>
  <si>
    <t>takamaki</t>
  </si>
  <si>
    <t>高捲き</t>
  </si>
  <si>
    <t>高菜</t>
  </si>
  <si>
    <t>高波</t>
  </si>
  <si>
    <t>/takanami/</t>
  </si>
  <si>
    <t>takanami</t>
  </si>
  <si>
    <t>高鳴り</t>
  </si>
  <si>
    <t>/takanaɾi/</t>
  </si>
  <si>
    <t>takanari</t>
  </si>
  <si>
    <t>高鮠</t>
  </si>
  <si>
    <t>今から</t>
  </si>
  <si>
    <t>/imakaɾa/</t>
  </si>
  <si>
    <t>imakara</t>
  </si>
  <si>
    <t>henceforth</t>
  </si>
  <si>
    <t>henceforward</t>
  </si>
  <si>
    <t>今さら</t>
  </si>
  <si>
    <t>/imasaɾa/</t>
  </si>
  <si>
    <t>imasara</t>
  </si>
  <si>
    <t>今に</t>
  </si>
  <si>
    <t>/imani/</t>
  </si>
  <si>
    <t>imani</t>
  </si>
  <si>
    <t>soon</t>
  </si>
  <si>
    <t>shortly</t>
  </si>
  <si>
    <t>presently</t>
  </si>
  <si>
    <t>before_long</t>
  </si>
  <si>
    <t>by_and_by</t>
  </si>
  <si>
    <t>later</t>
  </si>
  <si>
    <t>今や</t>
  </si>
  <si>
    <t>/imaja/</t>
  </si>
  <si>
    <t>imaya</t>
  </si>
  <si>
    <t>already</t>
  </si>
  <si>
    <t>now</t>
  </si>
  <si>
    <t>at_present</t>
  </si>
  <si>
    <t>今宮</t>
  </si>
  <si>
    <t>/imamija/</t>
  </si>
  <si>
    <t>imamiya</t>
  </si>
  <si>
    <t>今更</t>
  </si>
  <si>
    <t>些々</t>
  </si>
  <si>
    <t>些か</t>
  </si>
  <si>
    <t>/isasaka/</t>
  </si>
  <si>
    <t>isasaka</t>
  </si>
  <si>
    <t>slightly</t>
  </si>
  <si>
    <t>more_or_less</t>
  </si>
  <si>
    <t>些さか</t>
  </si>
  <si>
    <t>些些</t>
  </si>
  <si>
    <t>佐波理</t>
  </si>
  <si>
    <t>叉</t>
  </si>
  <si>
    <t>crotch</t>
  </si>
  <si>
    <t>fork</t>
  </si>
  <si>
    <t>左記</t>
  </si>
  <si>
    <t>/saki/</t>
  </si>
  <si>
    <t>saki</t>
  </si>
  <si>
    <t>左派</t>
  </si>
  <si>
    <t>/saha/</t>
  </si>
  <si>
    <t>saha</t>
  </si>
  <si>
    <t>left</t>
  </si>
  <si>
    <t>left_wing</t>
  </si>
  <si>
    <t>沙汰</t>
  </si>
  <si>
    <t>/sata/</t>
  </si>
  <si>
    <t>sata</t>
  </si>
  <si>
    <t>news</t>
  </si>
  <si>
    <t>intelligence</t>
  </si>
  <si>
    <t>tidings</t>
  </si>
  <si>
    <t>order</t>
  </si>
  <si>
    <t>砂張</t>
  </si>
  <si>
    <t>哉</t>
  </si>
  <si>
    <t>斎み</t>
  </si>
  <si>
    <t>細小波</t>
  </si>
  <si>
    <t>/isaɾanami/</t>
  </si>
  <si>
    <t>isaranami</t>
  </si>
  <si>
    <t>在り</t>
  </si>
  <si>
    <t>Existencia</t>
  </si>
  <si>
    <t>在りか</t>
  </si>
  <si>
    <t>/aɾika/</t>
  </si>
  <si>
    <t>arika</t>
  </si>
  <si>
    <t>whereabouts</t>
  </si>
  <si>
    <t>在りきたり</t>
  </si>
  <si>
    <t>/aɾikitaɾi/</t>
  </si>
  <si>
    <t>arikitari</t>
  </si>
  <si>
    <t>在り処</t>
  </si>
  <si>
    <t>在り所</t>
  </si>
  <si>
    <t>在り方</t>
  </si>
  <si>
    <t>在り来たり</t>
  </si>
  <si>
    <t>viene y va</t>
  </si>
  <si>
    <t>average</t>
  </si>
  <si>
    <t>ordinary</t>
  </si>
  <si>
    <t>conventional</t>
  </si>
  <si>
    <t>commonplace</t>
  </si>
  <si>
    <t>在り来り</t>
  </si>
  <si>
    <t>vulgar</t>
  </si>
  <si>
    <t>在処</t>
  </si>
  <si>
    <t>place</t>
  </si>
  <si>
    <t>坂</t>
  </si>
  <si>
    <t>slope</t>
  </si>
  <si>
    <t>incline</t>
  </si>
  <si>
    <t>side</t>
  </si>
  <si>
    <t>gradient</t>
  </si>
  <si>
    <t>阪</t>
  </si>
  <si>
    <t>榊</t>
  </si>
  <si>
    <t>肴</t>
  </si>
  <si>
    <t>/sakana/</t>
  </si>
  <si>
    <t>sakana</t>
  </si>
  <si>
    <t>埼</t>
  </si>
  <si>
    <t>碕</t>
  </si>
  <si>
    <t>笹</t>
  </si>
  <si>
    <t>笹身</t>
  </si>
  <si>
    <t>笹鳴き</t>
  </si>
  <si>
    <t>/sasanaki/</t>
  </si>
  <si>
    <t>sasanaki</t>
  </si>
  <si>
    <t>皿</t>
  </si>
  <si>
    <t>flatware</t>
  </si>
  <si>
    <t>plate</t>
  </si>
  <si>
    <t>platter</t>
  </si>
  <si>
    <t>三味</t>
  </si>
  <si>
    <t>/sami/</t>
  </si>
  <si>
    <t>sami</t>
  </si>
  <si>
    <t>三和土</t>
  </si>
  <si>
    <t>傘はり</t>
  </si>
  <si>
    <t>/kasahaɾi/</t>
  </si>
  <si>
    <t>kasahari</t>
  </si>
  <si>
    <t>傘屋</t>
  </si>
  <si>
    <t>/kasaja/</t>
  </si>
  <si>
    <t>kasaya</t>
  </si>
  <si>
    <t>傘張り</t>
  </si>
  <si>
    <t>傘貼り</t>
  </si>
  <si>
    <t>山々</t>
  </si>
  <si>
    <t>/jamajama/</t>
  </si>
  <si>
    <t>yamayama</t>
  </si>
  <si>
    <t>山なみ</t>
  </si>
  <si>
    <t>/jamanami/</t>
  </si>
  <si>
    <t>yamanami</t>
  </si>
  <si>
    <t>range</t>
  </si>
  <si>
    <t>mountain_range</t>
  </si>
  <si>
    <t>range_of_mountains</t>
  </si>
  <si>
    <t>mountain_chain</t>
  </si>
  <si>
    <t>chain_of_mountains</t>
  </si>
  <si>
    <t>山なり</t>
  </si>
  <si>
    <t>/jamanaɾi/</t>
  </si>
  <si>
    <t>yamanari</t>
  </si>
  <si>
    <t>山崎派</t>
  </si>
  <si>
    <t>/jamasakiha/</t>
  </si>
  <si>
    <t>yamasakiha</t>
  </si>
  <si>
    <t>山山</t>
  </si>
  <si>
    <t>abundantly</t>
  </si>
  <si>
    <t>copiously</t>
  </si>
  <si>
    <t>profusely</t>
  </si>
  <si>
    <t>extravagantly</t>
  </si>
  <si>
    <t>山焼き</t>
  </si>
  <si>
    <t>/jamajaki/</t>
  </si>
  <si>
    <t>yamayaki</t>
  </si>
  <si>
    <t>山畑</t>
  </si>
  <si>
    <t>/jamahata/</t>
  </si>
  <si>
    <t>yamahata</t>
  </si>
  <si>
    <t>山並み</t>
  </si>
  <si>
    <t>山鳴り</t>
  </si>
  <si>
    <t>紙屋</t>
  </si>
  <si>
    <t>/kamija/</t>
  </si>
  <si>
    <t>kamiya</t>
  </si>
  <si>
    <t>紙巻</t>
  </si>
  <si>
    <t>/kamimaki/</t>
  </si>
  <si>
    <t>kamimaki</t>
  </si>
  <si>
    <t>cigarette</t>
  </si>
  <si>
    <t>cigaret</t>
  </si>
  <si>
    <t>coffin_nail</t>
  </si>
  <si>
    <t>butt</t>
  </si>
  <si>
    <t>fag</t>
  </si>
  <si>
    <t>紙巻き</t>
  </si>
  <si>
    <t>紙切り</t>
  </si>
  <si>
    <t>/kamikiɾi/</t>
  </si>
  <si>
    <t>kamikiri</t>
  </si>
  <si>
    <t>至り</t>
  </si>
  <si>
    <t>/itaɾi/</t>
  </si>
  <si>
    <t>itari</t>
  </si>
  <si>
    <t>flood_tide</t>
  </si>
  <si>
    <t>consequence</t>
  </si>
  <si>
    <t>effect</t>
  </si>
  <si>
    <t>outcome</t>
  </si>
  <si>
    <t>result</t>
  </si>
  <si>
    <t>issue</t>
  </si>
  <si>
    <t>upshot</t>
  </si>
  <si>
    <t>歯並み</t>
  </si>
  <si>
    <t>似</t>
  </si>
  <si>
    <t>似たり</t>
  </si>
  <si>
    <t>imitation</t>
  </si>
  <si>
    <t>耳</t>
  </si>
  <si>
    <t>selvage</t>
  </si>
  <si>
    <t>selvedge</t>
  </si>
  <si>
    <t>ear</t>
  </si>
  <si>
    <t>external_ear</t>
  </si>
  <si>
    <t>outer_ear</t>
  </si>
  <si>
    <t>耳かき</t>
  </si>
  <si>
    <t>/mimikaki/</t>
  </si>
  <si>
    <t>mimikaki</t>
  </si>
  <si>
    <t>耳ピ</t>
  </si>
  <si>
    <t>/mimipi/</t>
  </si>
  <si>
    <t>mimipi</t>
  </si>
  <si>
    <t>耳掻き</t>
  </si>
  <si>
    <t>耳鳴り</t>
  </si>
  <si>
    <t>/miminaɾi/</t>
  </si>
  <si>
    <t>miminari</t>
  </si>
  <si>
    <t>tinnitus</t>
  </si>
  <si>
    <t>煮</t>
  </si>
  <si>
    <t>煮きり</t>
  </si>
  <si>
    <t>/nikiɾi/</t>
  </si>
  <si>
    <t>nikiri</t>
  </si>
  <si>
    <t>煮炊き</t>
  </si>
  <si>
    <t>/nitaki/</t>
  </si>
  <si>
    <t>nitaki</t>
  </si>
  <si>
    <t>cooking</t>
  </si>
  <si>
    <t>cookery</t>
  </si>
  <si>
    <t>cook</t>
  </si>
  <si>
    <t>煮切り</t>
  </si>
  <si>
    <t>煮方</t>
  </si>
  <si>
    <t>/nikata/</t>
  </si>
  <si>
    <t>nikata</t>
  </si>
  <si>
    <t>謝り</t>
  </si>
  <si>
    <t>apology</t>
  </si>
  <si>
    <t>借り</t>
  </si>
  <si>
    <t>borrowing</t>
  </si>
  <si>
    <t>loanword</t>
  </si>
  <si>
    <t>loan</t>
  </si>
  <si>
    <t>debt</t>
  </si>
  <si>
    <t>借り間</t>
  </si>
  <si>
    <t>/kaɾima/</t>
  </si>
  <si>
    <t>karima</t>
  </si>
  <si>
    <t>借り切り</t>
  </si>
  <si>
    <t>/kaɾikiɾi/</t>
  </si>
  <si>
    <t>karikiri</t>
  </si>
  <si>
    <t>借り方</t>
  </si>
  <si>
    <t>/kaɾikata/</t>
  </si>
  <si>
    <t>karikata</t>
  </si>
  <si>
    <t>borrower</t>
  </si>
  <si>
    <t>debtor</t>
  </si>
  <si>
    <t>debitor</t>
  </si>
  <si>
    <t>借り名</t>
  </si>
  <si>
    <t>/kaɾina/</t>
  </si>
  <si>
    <t>karina</t>
  </si>
  <si>
    <t>借方</t>
  </si>
  <si>
    <t>灼か</t>
  </si>
  <si>
    <t>/aɾataka/</t>
  </si>
  <si>
    <t>arataka</t>
  </si>
  <si>
    <t>灼た</t>
  </si>
  <si>
    <t>/aɾata/</t>
  </si>
  <si>
    <t>arata</t>
  </si>
  <si>
    <t>灼たか</t>
  </si>
  <si>
    <t>手纏</t>
  </si>
  <si>
    <t>/tamaki/</t>
  </si>
  <si>
    <t>tamaki</t>
  </si>
  <si>
    <t>狩</t>
  </si>
  <si>
    <t>狩り</t>
  </si>
  <si>
    <t>珠</t>
  </si>
  <si>
    <t>/tama/</t>
  </si>
  <si>
    <t>tama</t>
  </si>
  <si>
    <t>jewel</t>
  </si>
  <si>
    <t>gem</t>
  </si>
  <si>
    <t>precious_stone</t>
  </si>
  <si>
    <t>drop</t>
  </si>
  <si>
    <t>bead</t>
  </si>
  <si>
    <t>pearl</t>
  </si>
  <si>
    <t>酒屋</t>
  </si>
  <si>
    <t>/sakaja/</t>
  </si>
  <si>
    <t>sakaya</t>
  </si>
  <si>
    <t>seller</t>
  </si>
  <si>
    <t>marketer</t>
  </si>
  <si>
    <t>vender</t>
  </si>
  <si>
    <t>vendor</t>
  </si>
  <si>
    <t>trafficker</t>
  </si>
  <si>
    <t>vintner</t>
  </si>
  <si>
    <t>wine_merchant</t>
  </si>
  <si>
    <t>樹</t>
  </si>
  <si>
    <t>tree</t>
  </si>
  <si>
    <t>秋まき</t>
  </si>
  <si>
    <t>/akimaki/</t>
  </si>
  <si>
    <t>akimaki</t>
  </si>
  <si>
    <t>秋蒔き</t>
  </si>
  <si>
    <t>重なり</t>
  </si>
  <si>
    <t>/kasanaɾi/</t>
  </si>
  <si>
    <t>kasanari</t>
  </si>
  <si>
    <t>overlap</t>
  </si>
  <si>
    <t>書きかた</t>
  </si>
  <si>
    <t>/kakikata/</t>
  </si>
  <si>
    <t>kakikata</t>
  </si>
  <si>
    <t>書き方</t>
  </si>
  <si>
    <t>傷み</t>
  </si>
  <si>
    <t>/itami/</t>
  </si>
  <si>
    <t>itami</t>
  </si>
  <si>
    <t>将に</t>
  </si>
  <si>
    <t>/masani/</t>
  </si>
  <si>
    <t>masani</t>
  </si>
  <si>
    <t>correctly</t>
  </si>
  <si>
    <t>aright</t>
  </si>
  <si>
    <t>将又</t>
  </si>
  <si>
    <t>/hatamata/</t>
  </si>
  <si>
    <t>hatamata</t>
  </si>
  <si>
    <t>小竹</t>
  </si>
  <si>
    <t>小鳴き</t>
  </si>
  <si>
    <t>焼</t>
  </si>
  <si>
    <t>/jaki/</t>
  </si>
  <si>
    <t>yaki</t>
  </si>
  <si>
    <t>焼き</t>
  </si>
  <si>
    <t>醤蝦</t>
  </si>
  <si>
    <t>鞘</t>
  </si>
  <si>
    <t>/saja/</t>
  </si>
  <si>
    <t>saya</t>
  </si>
  <si>
    <t>scabbard</t>
  </si>
  <si>
    <t>上期</t>
  </si>
  <si>
    <t>/kamiki/</t>
  </si>
  <si>
    <t>kamiki</t>
  </si>
  <si>
    <t>畳屋</t>
  </si>
  <si>
    <t>/tatamija/</t>
  </si>
  <si>
    <t>tatamiya</t>
  </si>
  <si>
    <t>燭魚</t>
  </si>
  <si>
    <t>食み</t>
  </si>
  <si>
    <t>eating</t>
  </si>
  <si>
    <t>feeding</t>
  </si>
  <si>
    <t>新た</t>
  </si>
  <si>
    <t>new</t>
  </si>
  <si>
    <t>young</t>
  </si>
  <si>
    <t>fresh</t>
  </si>
  <si>
    <t>novel</t>
  </si>
  <si>
    <t>新巻</t>
  </si>
  <si>
    <t>新玉</t>
  </si>
  <si>
    <t>新木</t>
  </si>
  <si>
    <t>真羽太</t>
  </si>
  <si>
    <t>真屋</t>
  </si>
  <si>
    <t>真逆さま</t>
  </si>
  <si>
    <t>/masakasama/</t>
  </si>
  <si>
    <t>masakasama</t>
  </si>
  <si>
    <t>真逆様</t>
  </si>
  <si>
    <t>真賢木</t>
  </si>
  <si>
    <t>/masakaki/</t>
  </si>
  <si>
    <t>masakaki</t>
  </si>
  <si>
    <t>真榊</t>
  </si>
  <si>
    <t>真盛り</t>
  </si>
  <si>
    <t>/masakaɾi/</t>
  </si>
  <si>
    <t>masakari</t>
  </si>
  <si>
    <t>真南</t>
  </si>
  <si>
    <t>/maminami/</t>
  </si>
  <si>
    <t>maminami</t>
  </si>
  <si>
    <t>south</t>
  </si>
  <si>
    <t>due_south</t>
  </si>
  <si>
    <t>southward</t>
  </si>
  <si>
    <t>真北</t>
  </si>
  <si>
    <t>/makita/</t>
  </si>
  <si>
    <t>makita</t>
  </si>
  <si>
    <t>north</t>
  </si>
  <si>
    <t>due_north</t>
  </si>
  <si>
    <t>northward</t>
  </si>
  <si>
    <t>真木</t>
  </si>
  <si>
    <t>真拆</t>
  </si>
  <si>
    <t>神さま</t>
  </si>
  <si>
    <t>/kamisama/</t>
  </si>
  <si>
    <t>kamisama</t>
  </si>
  <si>
    <t>神様</t>
  </si>
  <si>
    <t>deity</t>
  </si>
  <si>
    <t>divinity</t>
  </si>
  <si>
    <t>god</t>
  </si>
  <si>
    <t>immortal</t>
  </si>
  <si>
    <t>God</t>
  </si>
  <si>
    <t>Supreme_Being</t>
  </si>
  <si>
    <t>Godhead</t>
  </si>
  <si>
    <t>Lord</t>
  </si>
  <si>
    <t>Creator</t>
  </si>
  <si>
    <t>Maker</t>
  </si>
  <si>
    <t>Divine</t>
  </si>
  <si>
    <t>God_Almighty</t>
  </si>
  <si>
    <t>Almighty</t>
  </si>
  <si>
    <t>Jehovah</t>
  </si>
  <si>
    <t>身なり</t>
  </si>
  <si>
    <t>/minaɾi/</t>
  </si>
  <si>
    <t>minari</t>
  </si>
  <si>
    <t>appearance</t>
  </si>
  <si>
    <t>show</t>
  </si>
  <si>
    <t>visual_aspect</t>
  </si>
  <si>
    <t>physique</t>
  </si>
  <si>
    <t>build</t>
  </si>
  <si>
    <t>body-build</t>
  </si>
  <si>
    <t>habitus</t>
  </si>
  <si>
    <t>身形</t>
  </si>
  <si>
    <t>身方</t>
  </si>
  <si>
    <t>針</t>
  </si>
  <si>
    <t>/haɾi/</t>
  </si>
  <si>
    <t>hari</t>
  </si>
  <si>
    <t>hand</t>
  </si>
  <si>
    <t>needle</t>
  </si>
  <si>
    <t>針山</t>
  </si>
  <si>
    <t>/haɾijama/</t>
  </si>
  <si>
    <t>hariyama</t>
  </si>
  <si>
    <t>pincushion</t>
  </si>
  <si>
    <t>刃先</t>
  </si>
  <si>
    <t>/hasaki/</t>
  </si>
  <si>
    <t>hasaki</t>
  </si>
  <si>
    <t>随意に</t>
  </si>
  <si>
    <t>/manimani/</t>
  </si>
  <si>
    <t>manimani</t>
  </si>
  <si>
    <t>嵩</t>
  </si>
  <si>
    <t>頗梨</t>
  </si>
  <si>
    <t>成り</t>
  </si>
  <si>
    <t>正に</t>
  </si>
  <si>
    <t>decidedly</t>
  </si>
  <si>
    <t>unquestionably</t>
  </si>
  <si>
    <t>emphatically</t>
  </si>
  <si>
    <t>definitely</t>
  </si>
  <si>
    <t>in_spades</t>
  </si>
  <si>
    <t>by_all_odds</t>
  </si>
  <si>
    <t>正木</t>
  </si>
  <si>
    <t>清か</t>
  </si>
  <si>
    <t>/sajaka/</t>
  </si>
  <si>
    <t>sayaka</t>
  </si>
  <si>
    <t>visible</t>
  </si>
  <si>
    <t>brilliant</t>
  </si>
  <si>
    <t>生き</t>
  </si>
  <si>
    <t>生きた</t>
  </si>
  <si>
    <t>/ikita/</t>
  </si>
  <si>
    <t>ikita</t>
  </si>
  <si>
    <t>生き身</t>
  </si>
  <si>
    <t>/ikimi/</t>
  </si>
  <si>
    <t>ikimi</t>
  </si>
  <si>
    <t>生き方</t>
  </si>
  <si>
    <t>/ikikata/</t>
  </si>
  <si>
    <t>ikikata</t>
  </si>
  <si>
    <t>life_style</t>
  </si>
  <si>
    <t>life-style</t>
  </si>
  <si>
    <t>lifestyle</t>
  </si>
  <si>
    <t>modus_vivendi</t>
  </si>
  <si>
    <t>生なか</t>
  </si>
  <si>
    <t>/namanaka/</t>
  </si>
  <si>
    <t>namanaka</t>
  </si>
  <si>
    <t>生形</t>
  </si>
  <si>
    <t>/kinaɾi/</t>
  </si>
  <si>
    <t>kinari</t>
  </si>
  <si>
    <t>生熟り</t>
  </si>
  <si>
    <t>/namanaɾi/</t>
  </si>
  <si>
    <t>namanari</t>
  </si>
  <si>
    <t>生半</t>
  </si>
  <si>
    <t>生木</t>
  </si>
  <si>
    <t>/namaki/</t>
  </si>
  <si>
    <t>namaki</t>
  </si>
  <si>
    <t>fruit_tree</t>
  </si>
  <si>
    <t>赤</t>
  </si>
  <si>
    <t>red</t>
  </si>
  <si>
    <t>redness</t>
  </si>
  <si>
    <t>communism</t>
  </si>
  <si>
    <t>red_light</t>
  </si>
  <si>
    <t>communist</t>
  </si>
  <si>
    <t>commie</t>
  </si>
  <si>
    <t>Communist</t>
  </si>
  <si>
    <t>赤み</t>
  </si>
  <si>
    <t>/akami/</t>
  </si>
  <si>
    <t>akami</t>
  </si>
  <si>
    <t>赤羽太</t>
  </si>
  <si>
    <t>赤旗</t>
  </si>
  <si>
    <t>red_flag</t>
  </si>
  <si>
    <t>赤身</t>
  </si>
  <si>
    <t>赤鼻</t>
  </si>
  <si>
    <t>/akahana/</t>
  </si>
  <si>
    <t>akahana</t>
  </si>
  <si>
    <t>rhinophyma</t>
  </si>
  <si>
    <t>hypertrophic_rosacea</t>
  </si>
  <si>
    <t>toper's_nose</t>
  </si>
  <si>
    <t>brandy_nose</t>
  </si>
  <si>
    <t>rum_nose</t>
  </si>
  <si>
    <t>rum-blossom</t>
  </si>
  <si>
    <t>potato_nose</t>
  </si>
  <si>
    <t>hammer_nose</t>
  </si>
  <si>
    <t>copper_nose</t>
  </si>
  <si>
    <t>赤腹</t>
  </si>
  <si>
    <t>dysentery</t>
  </si>
  <si>
    <t>赤味</t>
  </si>
  <si>
    <t>切り</t>
  </si>
  <si>
    <t>切り羽</t>
  </si>
  <si>
    <t>/kiɾiha/</t>
  </si>
  <si>
    <t>kiriha</t>
  </si>
  <si>
    <t>切り欠き</t>
  </si>
  <si>
    <t>/kiɾikaki/</t>
  </si>
  <si>
    <t>kirikaki</t>
  </si>
  <si>
    <t>切り身</t>
  </si>
  <si>
    <t>/kiɾimi/</t>
  </si>
  <si>
    <t>kirimi</t>
  </si>
  <si>
    <t>切り畑</t>
  </si>
  <si>
    <t>/kiɾihata/</t>
  </si>
  <si>
    <t>kirihata</t>
  </si>
  <si>
    <t>切り方</t>
  </si>
  <si>
    <t>/kiɾikata/</t>
  </si>
  <si>
    <t>kirikata</t>
  </si>
  <si>
    <t>切身</t>
  </si>
  <si>
    <t>切端</t>
  </si>
  <si>
    <t>scrap</t>
  </si>
  <si>
    <t>切畑</t>
  </si>
  <si>
    <t>先き</t>
  </si>
  <si>
    <t>先山</t>
  </si>
  <si>
    <t>/sakijama/</t>
  </si>
  <si>
    <t>sakiyama</t>
  </si>
  <si>
    <t>先様</t>
  </si>
  <si>
    <t>/sakisama/</t>
  </si>
  <si>
    <t>sakisama</t>
  </si>
  <si>
    <t>浅はか</t>
  </si>
  <si>
    <t>/asahaka/</t>
  </si>
  <si>
    <t>asahaka</t>
  </si>
  <si>
    <t>airheaded</t>
  </si>
  <si>
    <t>dizzy</t>
  </si>
  <si>
    <t>empty-headed</t>
  </si>
  <si>
    <t>featherbrained</t>
  </si>
  <si>
    <t>giddy</t>
  </si>
  <si>
    <t>light-headed</t>
  </si>
  <si>
    <t>lightheaded</t>
  </si>
  <si>
    <t>silly</t>
  </si>
  <si>
    <t>thoughtless</t>
  </si>
  <si>
    <t>浅墓</t>
  </si>
  <si>
    <t>foolish</t>
  </si>
  <si>
    <t>unwise</t>
  </si>
  <si>
    <t>浅蜊</t>
  </si>
  <si>
    <t>littleneck</t>
  </si>
  <si>
    <t>littleneck_clam</t>
  </si>
  <si>
    <t>然なり</t>
  </si>
  <si>
    <t>/sanaɾi/</t>
  </si>
  <si>
    <t>sanari</t>
  </si>
  <si>
    <t>粗玉</t>
  </si>
  <si>
    <t>粗煮</t>
  </si>
  <si>
    <t>粗播き</t>
  </si>
  <si>
    <t>粗方</t>
  </si>
  <si>
    <t>/aɾakata/</t>
  </si>
  <si>
    <t>arakata</t>
  </si>
  <si>
    <t>largely</t>
  </si>
  <si>
    <t>mostly</t>
  </si>
  <si>
    <t>for_the_most_part</t>
  </si>
  <si>
    <t>chiefly</t>
  </si>
  <si>
    <t>principally</t>
  </si>
  <si>
    <t>primarily</t>
  </si>
  <si>
    <t>mainly</t>
  </si>
  <si>
    <t>in_the_main</t>
  </si>
  <si>
    <t>粗木</t>
  </si>
  <si>
    <t>粗利</t>
  </si>
  <si>
    <t>掻き玉</t>
  </si>
  <si>
    <t>/kakitama/</t>
  </si>
  <si>
    <t>kakitama</t>
  </si>
  <si>
    <t>掻玉</t>
  </si>
  <si>
    <t>早さ</t>
  </si>
  <si>
    <t>/hajasa/</t>
  </si>
  <si>
    <t>hayasa</t>
  </si>
  <si>
    <t>earliness</t>
  </si>
  <si>
    <t>早まき</t>
  </si>
  <si>
    <t>/hajamaki/</t>
  </si>
  <si>
    <t>hayamaki</t>
  </si>
  <si>
    <t>早見</t>
  </si>
  <si>
    <t>/hajami/</t>
  </si>
  <si>
    <t>hayami</t>
  </si>
  <si>
    <t>table</t>
  </si>
  <si>
    <t>tabular_array</t>
  </si>
  <si>
    <t>早耳</t>
  </si>
  <si>
    <t>/hajamimi/</t>
  </si>
  <si>
    <t>hayamimi</t>
  </si>
  <si>
    <t>早蒔き</t>
  </si>
  <si>
    <t>早矢</t>
  </si>
  <si>
    <t>槍先</t>
  </si>
  <si>
    <t>/jaɾisaki/</t>
  </si>
  <si>
    <t>yarisaki</t>
  </si>
  <si>
    <t>鎗</t>
  </si>
  <si>
    <t>/jaɾi/</t>
  </si>
  <si>
    <t>yari</t>
  </si>
  <si>
    <t>spear</t>
  </si>
  <si>
    <t>lance</t>
  </si>
  <si>
    <t>速さ</t>
  </si>
  <si>
    <t>speed</t>
  </si>
  <si>
    <t>swiftness</t>
  </si>
  <si>
    <t>rate</t>
  </si>
  <si>
    <t>velocity</t>
  </si>
  <si>
    <t>他屋</t>
  </si>
  <si>
    <t>他派</t>
  </si>
  <si>
    <t>/taha/</t>
  </si>
  <si>
    <t>taha</t>
  </si>
  <si>
    <t>他力</t>
  </si>
  <si>
    <t>/taɾiki/</t>
  </si>
  <si>
    <t>tariki</t>
  </si>
  <si>
    <t>多</t>
  </si>
  <si>
    <t>多価</t>
  </si>
  <si>
    <t>polyvalence</t>
  </si>
  <si>
    <t>polyvalency</t>
  </si>
  <si>
    <t>multivalence</t>
  </si>
  <si>
    <t>multivalency</t>
  </si>
  <si>
    <t>多寡</t>
  </si>
  <si>
    <t>多岐</t>
  </si>
  <si>
    <t>/taki/</t>
  </si>
  <si>
    <t>taki</t>
  </si>
  <si>
    <t>多羅</t>
  </si>
  <si>
    <t>大口魚</t>
  </si>
  <si>
    <t>鷹</t>
  </si>
  <si>
    <t>falcon</t>
  </si>
  <si>
    <t>鷹派</t>
  </si>
  <si>
    <t>滝</t>
  </si>
  <si>
    <t>waterfall</t>
  </si>
  <si>
    <t>falls</t>
  </si>
  <si>
    <t>瀧</t>
  </si>
  <si>
    <t>棚</t>
  </si>
  <si>
    <t>shelf</t>
  </si>
  <si>
    <t>谷</t>
  </si>
  <si>
    <t>dale</t>
  </si>
  <si>
    <t>鱈</t>
  </si>
  <si>
    <t>beaked_salmon</t>
  </si>
  <si>
    <t>sandfish</t>
  </si>
  <si>
    <t>Gonorhynchus_gonorhynchus</t>
  </si>
  <si>
    <t>丹</t>
  </si>
  <si>
    <t>端山</t>
  </si>
  <si>
    <t>/hajama/</t>
  </si>
  <si>
    <t>hayama</t>
  </si>
  <si>
    <t>foothill</t>
  </si>
  <si>
    <t>端先</t>
  </si>
  <si>
    <t>/hanasaki/</t>
  </si>
  <si>
    <t>hanasaki</t>
  </si>
  <si>
    <t>暖かさ</t>
  </si>
  <si>
    <t>/atatakasa/</t>
  </si>
  <si>
    <t>atatakasa</t>
  </si>
  <si>
    <t>heat</t>
  </si>
  <si>
    <t>暖かみ</t>
  </si>
  <si>
    <t>着方</t>
  </si>
  <si>
    <t>/kikata/</t>
  </si>
  <si>
    <t>kikata</t>
  </si>
  <si>
    <t>中々</t>
  </si>
  <si>
    <t>/nakanaka/</t>
  </si>
  <si>
    <t>nakanaka</t>
  </si>
  <si>
    <t>highly</t>
  </si>
  <si>
    <t>extremely</t>
  </si>
  <si>
    <t>中たり</t>
  </si>
  <si>
    <t>中には</t>
  </si>
  <si>
    <t>/nakaniha/</t>
  </si>
  <si>
    <t>nakaniha</t>
  </si>
  <si>
    <t>中り</t>
  </si>
  <si>
    <t>中身</t>
  </si>
  <si>
    <t>/nakami/</t>
  </si>
  <si>
    <t>nakami</t>
  </si>
  <si>
    <t>contents</t>
  </si>
  <si>
    <t>table_of_contents</t>
  </si>
  <si>
    <t>content</t>
  </si>
  <si>
    <t>subject_matter</t>
  </si>
  <si>
    <t>中中</t>
  </si>
  <si>
    <t>中味</t>
  </si>
  <si>
    <t>朝マラ</t>
  </si>
  <si>
    <t>/asamaɾa/</t>
  </si>
  <si>
    <t>asamara</t>
  </si>
  <si>
    <t>朝間</t>
  </si>
  <si>
    <t>/asama/</t>
  </si>
  <si>
    <t>asama</t>
  </si>
  <si>
    <t>朝腹</t>
  </si>
  <si>
    <t>/asahaɾa/</t>
  </si>
  <si>
    <t>asahara</t>
  </si>
  <si>
    <t>朝魔羅</t>
  </si>
  <si>
    <t>聴き</t>
  </si>
  <si>
    <t>聴き耳</t>
  </si>
  <si>
    <t>/kikimimi/</t>
  </si>
  <si>
    <t>kikimimi</t>
  </si>
  <si>
    <t>聴耳</t>
  </si>
  <si>
    <t>捗</t>
  </si>
  <si>
    <t>/haka/</t>
  </si>
  <si>
    <t>haka</t>
  </si>
  <si>
    <t>痛み</t>
  </si>
  <si>
    <t>gloominess</t>
  </si>
  <si>
    <t>lugubriousness</t>
  </si>
  <si>
    <t>sadness</t>
  </si>
  <si>
    <t>detriment</t>
  </si>
  <si>
    <t>woe</t>
  </si>
  <si>
    <t>woefulness</t>
  </si>
  <si>
    <t>sorrowfulness</t>
  </si>
  <si>
    <t>hurting</t>
  </si>
  <si>
    <t>soreness</t>
  </si>
  <si>
    <t>rawness</t>
  </si>
  <si>
    <t>碇</t>
  </si>
  <si>
    <t>/ikaɾi/</t>
  </si>
  <si>
    <t>ikari</t>
  </si>
  <si>
    <t>anchor</t>
  </si>
  <si>
    <t>ground_tackle</t>
  </si>
  <si>
    <t>適に</t>
  </si>
  <si>
    <t>店前</t>
  </si>
  <si>
    <t>/tanasaki/</t>
  </si>
  <si>
    <t>tanasaki</t>
  </si>
  <si>
    <t>田</t>
  </si>
  <si>
    <t>paddy</t>
  </si>
  <si>
    <t>paddy_field</t>
  </si>
  <si>
    <t>rice_paddy</t>
  </si>
  <si>
    <t>田舎家</t>
  </si>
  <si>
    <t>/inakaja/</t>
  </si>
  <si>
    <t>inakaya</t>
  </si>
  <si>
    <t>bungalow</t>
  </si>
  <si>
    <t>cottage</t>
  </si>
  <si>
    <t>田舎間</t>
  </si>
  <si>
    <t>/inakama/</t>
  </si>
  <si>
    <t>inakama</t>
  </si>
  <si>
    <t>田舎訛り</t>
  </si>
  <si>
    <t>/inakanamaɾi/</t>
  </si>
  <si>
    <t>inakanamari</t>
  </si>
  <si>
    <t>怒り</t>
  </si>
  <si>
    <t>wrath</t>
  </si>
  <si>
    <t>anger</t>
  </si>
  <si>
    <t>ire</t>
  </si>
  <si>
    <t>choler</t>
  </si>
  <si>
    <t>indignation</t>
  </si>
  <si>
    <t>outrage</t>
  </si>
  <si>
    <t>倒さ</t>
  </si>
  <si>
    <t>倒さま</t>
  </si>
  <si>
    <t>倒様</t>
  </si>
  <si>
    <t>唐傘</t>
  </si>
  <si>
    <t>唐木</t>
  </si>
  <si>
    <t>/kaɾaki/</t>
  </si>
  <si>
    <t>karaki</t>
  </si>
  <si>
    <t>灯かり</t>
  </si>
  <si>
    <t>/akaɾi/</t>
  </si>
  <si>
    <t>akari</t>
  </si>
  <si>
    <t>灯り</t>
  </si>
  <si>
    <t>lamp</t>
  </si>
  <si>
    <t>当たり</t>
  </si>
  <si>
    <t>当たり屋</t>
  </si>
  <si>
    <t>/ataɾija/</t>
  </si>
  <si>
    <t>atariya</t>
  </si>
  <si>
    <t>当に</t>
  </si>
  <si>
    <t>当り</t>
  </si>
  <si>
    <t>当り屋</t>
  </si>
  <si>
    <t>踏鞴</t>
  </si>
  <si>
    <t>/tataɾa/</t>
  </si>
  <si>
    <t>tatara</t>
  </si>
  <si>
    <t>頭から</t>
  </si>
  <si>
    <t>/atamakaɾa/</t>
  </si>
  <si>
    <t>atamakara</t>
  </si>
  <si>
    <t>働き</t>
  </si>
  <si>
    <t>/hataɾaki/</t>
  </si>
  <si>
    <t>hataraki</t>
  </si>
  <si>
    <t>mathematical_process</t>
  </si>
  <si>
    <t>mathematical_operation</t>
  </si>
  <si>
    <t>function</t>
  </si>
  <si>
    <t>purpose</t>
  </si>
  <si>
    <t>role</t>
  </si>
  <si>
    <t>natural_process</t>
  </si>
  <si>
    <t>natural_action</t>
  </si>
  <si>
    <t>action</t>
  </si>
  <si>
    <t>activity</t>
  </si>
  <si>
    <t>busyness</t>
  </si>
  <si>
    <t>hum</t>
  </si>
  <si>
    <t>楢</t>
  </si>
  <si>
    <t>Japanese_oak</t>
  </si>
  <si>
    <t>Lithocarpus_glabra</t>
  </si>
  <si>
    <t>Lithocarpus_glaber</t>
  </si>
  <si>
    <t>Quercus_mongolica</t>
  </si>
  <si>
    <t>Quercus_grosseserrata</t>
  </si>
  <si>
    <t>南</t>
  </si>
  <si>
    <t>/minami/</t>
  </si>
  <si>
    <t>minami</t>
  </si>
  <si>
    <t>難き</t>
  </si>
  <si>
    <t>/kataki/</t>
  </si>
  <si>
    <t>kataki</t>
  </si>
  <si>
    <t>二価</t>
  </si>
  <si>
    <t>/nika/</t>
  </si>
  <si>
    <t>nika</t>
  </si>
  <si>
    <t>bivalent</t>
  </si>
  <si>
    <t>divalent</t>
  </si>
  <si>
    <t>二期</t>
  </si>
  <si>
    <t>/niki/</t>
  </si>
  <si>
    <t>niki</t>
  </si>
  <si>
    <t>二佐</t>
  </si>
  <si>
    <t>/nisa/</t>
  </si>
  <si>
    <t>nisa</t>
  </si>
  <si>
    <t>入り</t>
  </si>
  <si>
    <t>/iɾi/</t>
  </si>
  <si>
    <t>iri</t>
  </si>
  <si>
    <t>entrance</t>
  </si>
  <si>
    <t>entering</t>
  </si>
  <si>
    <t>entry</t>
  </si>
  <si>
    <t>ingress</t>
  </si>
  <si>
    <t>incoming</t>
  </si>
  <si>
    <t>entranceway</t>
  </si>
  <si>
    <t>entryway</t>
  </si>
  <si>
    <t>entree</t>
  </si>
  <si>
    <t>start</t>
  </si>
  <si>
    <t>income</t>
  </si>
  <si>
    <t>入り荷</t>
  </si>
  <si>
    <t>/iɾini/</t>
  </si>
  <si>
    <t>irini</t>
  </si>
  <si>
    <t>入り波</t>
  </si>
  <si>
    <t>/iɾinami/</t>
  </si>
  <si>
    <t>irinami</t>
  </si>
  <si>
    <t>入り浜</t>
  </si>
  <si>
    <t>/iɾihama/</t>
  </si>
  <si>
    <t>irihama</t>
  </si>
  <si>
    <t>入浜</t>
  </si>
  <si>
    <t>如何に</t>
  </si>
  <si>
    <t>/ikani/</t>
  </si>
  <si>
    <t>ikani</t>
  </si>
  <si>
    <t>悩み</t>
  </si>
  <si>
    <t>/najami/</t>
  </si>
  <si>
    <t>nayami</t>
  </si>
  <si>
    <t>torment</t>
  </si>
  <si>
    <t>torture</t>
  </si>
  <si>
    <t>納屋</t>
  </si>
  <si>
    <t>/naja/</t>
  </si>
  <si>
    <t>naya</t>
  </si>
  <si>
    <t>shed</t>
  </si>
  <si>
    <t>storeroom</t>
  </si>
  <si>
    <t>storage_room</t>
  </si>
  <si>
    <t>stowage</t>
  </si>
  <si>
    <t>巴奈馬</t>
  </si>
  <si>
    <t>巴里</t>
  </si>
  <si>
    <t>/paɾi/</t>
  </si>
  <si>
    <t>pari</t>
  </si>
  <si>
    <t>覇</t>
  </si>
  <si>
    <t>覇気</t>
  </si>
  <si>
    <t>/haki/</t>
  </si>
  <si>
    <t>haki</t>
  </si>
  <si>
    <t>inhalation</t>
  </si>
  <si>
    <t>inspiration</t>
  </si>
  <si>
    <t>aspiration</t>
  </si>
  <si>
    <t>intake</t>
  </si>
  <si>
    <t>breathing_in</t>
  </si>
  <si>
    <t>波々迦</t>
  </si>
  <si>
    <t>/hahaka/</t>
  </si>
  <si>
    <t>hahaka</t>
  </si>
  <si>
    <t>波間に</t>
  </si>
  <si>
    <t>/namimani/</t>
  </si>
  <si>
    <t>namimani</t>
  </si>
  <si>
    <t>波波迦</t>
  </si>
  <si>
    <t>派</t>
  </si>
  <si>
    <t>clique</t>
  </si>
  <si>
    <t>coterie</t>
  </si>
  <si>
    <t>ingroup</t>
  </si>
  <si>
    <t>inner_circle</t>
  </si>
  <si>
    <t>camp</t>
  </si>
  <si>
    <t>school</t>
  </si>
  <si>
    <t>破</t>
  </si>
  <si>
    <t>破瓜</t>
  </si>
  <si>
    <t>破棄</t>
  </si>
  <si>
    <t>abrogation</t>
  </si>
  <si>
    <t>repeal</t>
  </si>
  <si>
    <t>annulment</t>
  </si>
  <si>
    <t>revocation</t>
  </si>
  <si>
    <t>rupture</t>
  </si>
  <si>
    <t>breach</t>
  </si>
  <si>
    <t>break</t>
  </si>
  <si>
    <t>severance</t>
  </si>
  <si>
    <t>rift</t>
  </si>
  <si>
    <t>falling_out</t>
  </si>
  <si>
    <t>破魔</t>
  </si>
  <si>
    <t>破魔矢</t>
  </si>
  <si>
    <t>/hamaja/</t>
  </si>
  <si>
    <t>hamaya</t>
  </si>
  <si>
    <t>破毀</t>
  </si>
  <si>
    <t>秤</t>
  </si>
  <si>
    <t>balance</t>
  </si>
  <si>
    <t>scale</t>
  </si>
  <si>
    <t>weighing_machine</t>
  </si>
  <si>
    <t>莫</t>
  </si>
  <si>
    <t>畑焼</t>
  </si>
  <si>
    <t>/hatajaki/</t>
  </si>
  <si>
    <t>hatayaki</t>
  </si>
  <si>
    <t>畑焼き</t>
  </si>
  <si>
    <t>八尺瓊</t>
  </si>
  <si>
    <t>/jasakani/</t>
  </si>
  <si>
    <t>yasakani</t>
  </si>
  <si>
    <t>髪</t>
  </si>
  <si>
    <t>hair</t>
  </si>
  <si>
    <t>mane</t>
  </si>
  <si>
    <t>head_of_hair</t>
  </si>
  <si>
    <t>hair's-breadth</t>
  </si>
  <si>
    <t>hairsbreadth</t>
  </si>
  <si>
    <t>whisker</t>
  </si>
  <si>
    <t>蛤仔</t>
  </si>
  <si>
    <t>板</t>
  </si>
  <si>
    <t>/ita/</t>
  </si>
  <si>
    <t>ita</t>
  </si>
  <si>
    <t>plank</t>
  </si>
  <si>
    <t>板屋</t>
  </si>
  <si>
    <t>/itaja/</t>
  </si>
  <si>
    <t>itaya</t>
  </si>
  <si>
    <t>飯借</t>
  </si>
  <si>
    <t>否か</t>
  </si>
  <si>
    <t>/inaka/</t>
  </si>
  <si>
    <t>inaka</t>
  </si>
  <si>
    <t>否や</t>
  </si>
  <si>
    <t>/inaja/</t>
  </si>
  <si>
    <t>inaya</t>
  </si>
  <si>
    <t>objection</t>
  </si>
  <si>
    <t>罷り</t>
  </si>
  <si>
    <t>/makaɾi/</t>
  </si>
  <si>
    <t>makari</t>
  </si>
  <si>
    <t>鼻</t>
  </si>
  <si>
    <t>nose</t>
  </si>
  <si>
    <t>olfactory_organ</t>
  </si>
  <si>
    <t>beak</t>
  </si>
  <si>
    <t>honker</t>
  </si>
  <si>
    <t>hooter</t>
  </si>
  <si>
    <t>nozzle</t>
  </si>
  <si>
    <t>snoot</t>
  </si>
  <si>
    <t>snout</t>
  </si>
  <si>
    <t>schnozzle</t>
  </si>
  <si>
    <t>schnoz</t>
  </si>
  <si>
    <t>鼻かみ</t>
  </si>
  <si>
    <t>/hanakami/</t>
  </si>
  <si>
    <t>hanakami</t>
  </si>
  <si>
    <t>鼻ピ</t>
  </si>
  <si>
    <t>/hanapi/</t>
  </si>
  <si>
    <t>hanapi</t>
  </si>
  <si>
    <t>鼻高</t>
  </si>
  <si>
    <t>/hanataka/</t>
  </si>
  <si>
    <t>hanataka</t>
  </si>
  <si>
    <t>鼻先</t>
  </si>
  <si>
    <t>謬</t>
  </si>
  <si>
    <t>謬り</t>
  </si>
  <si>
    <t>錨</t>
  </si>
  <si>
    <t>浜</t>
  </si>
  <si>
    <t>浜菜</t>
  </si>
  <si>
    <t>浜焼き</t>
  </si>
  <si>
    <t>/hamajaki/</t>
  </si>
  <si>
    <t>hamayaki</t>
  </si>
  <si>
    <t>復</t>
  </si>
  <si>
    <t>again</t>
  </si>
  <si>
    <t>once_again</t>
  </si>
  <si>
    <t>once_more</t>
  </si>
  <si>
    <t>over_again</t>
  </si>
  <si>
    <t>腹</t>
  </si>
  <si>
    <t>/haɾa/</t>
  </si>
  <si>
    <t>hara</t>
  </si>
  <si>
    <t>belly</t>
  </si>
  <si>
    <t>abdomen</t>
  </si>
  <si>
    <t>venter</t>
  </si>
  <si>
    <t>腹巻き</t>
  </si>
  <si>
    <t>/haɾamaki/</t>
  </si>
  <si>
    <t>haramaki</t>
  </si>
  <si>
    <t>腹身</t>
  </si>
  <si>
    <t>腹切</t>
  </si>
  <si>
    <t>/haɾakiɾi/</t>
  </si>
  <si>
    <t>harakiri</t>
  </si>
  <si>
    <t>hara-kiri</t>
  </si>
  <si>
    <t>harikari</t>
  </si>
  <si>
    <t>seppuku</t>
  </si>
  <si>
    <t>腹切り</t>
  </si>
  <si>
    <t>聞き</t>
  </si>
  <si>
    <t>listening</t>
  </si>
  <si>
    <t>hearing</t>
  </si>
  <si>
    <t>聞き耳</t>
  </si>
  <si>
    <t>聞き方</t>
  </si>
  <si>
    <t>/kikikata/</t>
  </si>
  <si>
    <t>kikikata</t>
  </si>
  <si>
    <t>hearer</t>
  </si>
  <si>
    <t>listener</t>
  </si>
  <si>
    <t>auditor</t>
  </si>
  <si>
    <t>attender</t>
  </si>
  <si>
    <t>聞耳</t>
  </si>
  <si>
    <t>並</t>
  </si>
  <si>
    <t>/nami/</t>
  </si>
  <si>
    <t>nami</t>
  </si>
  <si>
    <t>medium</t>
  </si>
  <si>
    <t>並々</t>
  </si>
  <si>
    <t>並み</t>
  </si>
  <si>
    <t>並み並み</t>
  </si>
  <si>
    <t>並み木</t>
  </si>
  <si>
    <t>/namiki/</t>
  </si>
  <si>
    <t>namiki</t>
  </si>
  <si>
    <t>並樹</t>
  </si>
  <si>
    <t>並並</t>
  </si>
  <si>
    <t>並木</t>
  </si>
  <si>
    <t>偏片</t>
  </si>
  <si>
    <t>/katahaɾa/</t>
  </si>
  <si>
    <t>katahara</t>
  </si>
  <si>
    <t>片や</t>
  </si>
  <si>
    <t>/kataja/</t>
  </si>
  <si>
    <t>kataya</t>
  </si>
  <si>
    <t>片仮名</t>
  </si>
  <si>
    <t>片耳</t>
  </si>
  <si>
    <t>/katamimi/</t>
  </si>
  <si>
    <t>katamimi</t>
  </si>
  <si>
    <t>片身</t>
  </si>
  <si>
    <t>編み機</t>
  </si>
  <si>
    <t>/amiki/</t>
  </si>
  <si>
    <t>amiki</t>
  </si>
  <si>
    <t>knitting_machine</t>
  </si>
  <si>
    <t>墓</t>
  </si>
  <si>
    <t>burial_chamber</t>
  </si>
  <si>
    <t>sepulcher</t>
  </si>
  <si>
    <t>sepulchre</t>
  </si>
  <si>
    <t>sepulture</t>
  </si>
  <si>
    <t>grave</t>
  </si>
  <si>
    <t>tomb</t>
  </si>
  <si>
    <t>母方</t>
  </si>
  <si>
    <t>/hahakata/</t>
  </si>
  <si>
    <t>hahakata</t>
  </si>
  <si>
    <t>宝</t>
  </si>
  <si>
    <t>treasure</t>
  </si>
  <si>
    <t>wealth</t>
  </si>
  <si>
    <t>hoarded_wealth</t>
  </si>
  <si>
    <t>飽き</t>
  </si>
  <si>
    <t>亡き</t>
  </si>
  <si>
    <t>亡き魂</t>
  </si>
  <si>
    <t>/nakitama/</t>
  </si>
  <si>
    <t>nakitama</t>
  </si>
  <si>
    <t>ghost</t>
  </si>
  <si>
    <t>shade</t>
  </si>
  <si>
    <t>spook</t>
  </si>
  <si>
    <t>wraith</t>
  </si>
  <si>
    <t>specter</t>
  </si>
  <si>
    <t>spectre</t>
  </si>
  <si>
    <t>亡き母</t>
  </si>
  <si>
    <t>/nakihaha/</t>
  </si>
  <si>
    <t>nakihaha</t>
  </si>
  <si>
    <t>傍耳</t>
  </si>
  <si>
    <t>北</t>
  </si>
  <si>
    <t>lodestar</t>
  </si>
  <si>
    <t>loadstar</t>
  </si>
  <si>
    <t>northland</t>
  </si>
  <si>
    <t>magnetic_north</t>
  </si>
  <si>
    <t>compass_north</t>
  </si>
  <si>
    <t>北玉</t>
  </si>
  <si>
    <t>/kitatama/</t>
  </si>
  <si>
    <t>kitatama</t>
  </si>
  <si>
    <t>北山</t>
  </si>
  <si>
    <t>/kitajama/</t>
  </si>
  <si>
    <t>kitayama</t>
  </si>
  <si>
    <t>牧</t>
  </si>
  <si>
    <t>pasture</t>
  </si>
  <si>
    <t>pastureland</t>
  </si>
  <si>
    <t>grazing_land</t>
  </si>
  <si>
    <t>lea</t>
  </si>
  <si>
    <t>ley</t>
  </si>
  <si>
    <t>摩多</t>
  </si>
  <si>
    <t>摩尼</t>
  </si>
  <si>
    <t>摩羅</t>
  </si>
  <si>
    <t>/maɾa/</t>
  </si>
  <si>
    <t>mara</t>
  </si>
  <si>
    <t>摩訶</t>
  </si>
  <si>
    <t>greatness</t>
  </si>
  <si>
    <t>illustriousness</t>
  </si>
  <si>
    <t>魔</t>
  </si>
  <si>
    <t>devil</t>
  </si>
  <si>
    <t>fiend</t>
  </si>
  <si>
    <t>demon</t>
  </si>
  <si>
    <t>daemon</t>
  </si>
  <si>
    <t>daimon</t>
  </si>
  <si>
    <t>魔器</t>
  </si>
  <si>
    <t>魔魅</t>
  </si>
  <si>
    <t>魔羅</t>
  </si>
  <si>
    <t>槙</t>
  </si>
  <si>
    <t>柾</t>
  </si>
  <si>
    <t>亦</t>
  </si>
  <si>
    <t>alike</t>
  </si>
  <si>
    <t>similarly</t>
  </si>
  <si>
    <t>俣</t>
  </si>
  <si>
    <t>又</t>
  </si>
  <si>
    <t>in_any_case</t>
  </si>
  <si>
    <t>又々</t>
  </si>
  <si>
    <t>/matamata/</t>
  </si>
  <si>
    <t>matamata</t>
  </si>
  <si>
    <t>又は</t>
  </si>
  <si>
    <t>/mataha/</t>
  </si>
  <si>
    <t>mataha</t>
  </si>
  <si>
    <t>又又</t>
  </si>
  <si>
    <t>末那</t>
  </si>
  <si>
    <t>味方</t>
  </si>
  <si>
    <t>behalf</t>
  </si>
  <si>
    <t>巳</t>
  </si>
  <si>
    <t>民</t>
  </si>
  <si>
    <t>citizenry</t>
  </si>
  <si>
    <t>nation</t>
  </si>
  <si>
    <t>land</t>
  </si>
  <si>
    <t>country</t>
  </si>
  <si>
    <t>national</t>
  </si>
  <si>
    <t>無き</t>
  </si>
  <si>
    <t>霧</t>
  </si>
  <si>
    <t>fog</t>
  </si>
  <si>
    <t>haze</t>
  </si>
  <si>
    <t>mist</t>
  </si>
  <si>
    <t>fogginess</t>
  </si>
  <si>
    <t>murk</t>
  </si>
  <si>
    <t>murkiness</t>
  </si>
  <si>
    <t>明か</t>
  </si>
  <si>
    <t>vivid</t>
  </si>
  <si>
    <t>clear</t>
  </si>
  <si>
    <t>clear-cut</t>
  </si>
  <si>
    <t>distinct</t>
  </si>
  <si>
    <t>trenchant</t>
  </si>
  <si>
    <t>well-defined</t>
  </si>
  <si>
    <t>clean-cut</t>
  </si>
  <si>
    <t>decipherable</t>
  </si>
  <si>
    <t>readable</t>
  </si>
  <si>
    <t>obvious</t>
  </si>
  <si>
    <t>明かり</t>
  </si>
  <si>
    <t>light_source</t>
  </si>
  <si>
    <t>source_of_illumination</t>
  </si>
  <si>
    <t>明き</t>
  </si>
  <si>
    <t>明き家</t>
  </si>
  <si>
    <t>明らか</t>
  </si>
  <si>
    <t>unmistakable</t>
  </si>
  <si>
    <t>incontrovertible</t>
  </si>
  <si>
    <t>irrefutable</t>
  </si>
  <si>
    <t>positive</t>
  </si>
  <si>
    <t>discernible</t>
  </si>
  <si>
    <t>evident</t>
  </si>
  <si>
    <t>observable</t>
  </si>
  <si>
    <t>apparent</t>
  </si>
  <si>
    <t>manifest</t>
  </si>
  <si>
    <t>patent</t>
  </si>
  <si>
    <t>plain</t>
  </si>
  <si>
    <t>perceptible</t>
  </si>
  <si>
    <t>proved</t>
  </si>
  <si>
    <t>proven</t>
  </si>
  <si>
    <t>evidenced</t>
  </si>
  <si>
    <t>明り</t>
  </si>
  <si>
    <t>明りさき</t>
  </si>
  <si>
    <t>/akaɾisaki/</t>
  </si>
  <si>
    <t>akarisaki</t>
  </si>
  <si>
    <t>明り先</t>
  </si>
  <si>
    <t>鳴り</t>
  </si>
  <si>
    <t>網焼き</t>
  </si>
  <si>
    <t>/amijaki/</t>
  </si>
  <si>
    <t>amiyaki</t>
  </si>
  <si>
    <t>broil</t>
  </si>
  <si>
    <t>broiling</t>
  </si>
  <si>
    <t>grilling</t>
  </si>
  <si>
    <t>木遣り</t>
  </si>
  <si>
    <t>/kijaɾi/</t>
  </si>
  <si>
    <t>kiyari</t>
  </si>
  <si>
    <t>木啄</t>
  </si>
  <si>
    <t>木叩</t>
  </si>
  <si>
    <t>木叩き</t>
  </si>
  <si>
    <t>目見</t>
  </si>
  <si>
    <t>勿</t>
  </si>
  <si>
    <t>也</t>
  </si>
  <si>
    <t>冶</t>
  </si>
  <si>
    <t>夜気</t>
  </si>
  <si>
    <t>矢先</t>
  </si>
  <si>
    <t>/jasaki/</t>
  </si>
  <si>
    <t>yasaki</t>
  </si>
  <si>
    <t>矢先に</t>
  </si>
  <si>
    <t>/jasakini/</t>
  </si>
  <si>
    <t>yasakini</t>
  </si>
  <si>
    <t>矢鱈</t>
  </si>
  <si>
    <t>/jataɾa/</t>
  </si>
  <si>
    <t>yatara</t>
  </si>
  <si>
    <t>矢張</t>
  </si>
  <si>
    <t>/jahaɾi/</t>
  </si>
  <si>
    <t>yahari</t>
  </si>
  <si>
    <t>sure_enough</t>
  </si>
  <si>
    <t>after_all</t>
  </si>
  <si>
    <t>矢張り</t>
  </si>
  <si>
    <t>鑓</t>
  </si>
  <si>
    <t>有り</t>
  </si>
  <si>
    <t>有田焼</t>
  </si>
  <si>
    <t>/aɾitajaki/</t>
  </si>
  <si>
    <t>aritayaki</t>
  </si>
  <si>
    <t>有田焼き</t>
  </si>
  <si>
    <t>余りに</t>
  </si>
  <si>
    <t>/amaɾini/</t>
  </si>
  <si>
    <t>amarini</t>
  </si>
  <si>
    <t>excessively</t>
  </si>
  <si>
    <t>overly</t>
  </si>
  <si>
    <t>to_a_fault</t>
  </si>
  <si>
    <t>overmuch</t>
  </si>
  <si>
    <t>too_much</t>
  </si>
  <si>
    <t>様方</t>
  </si>
  <si>
    <t>/samakata/</t>
  </si>
  <si>
    <t>samakata</t>
  </si>
  <si>
    <t>窯</t>
  </si>
  <si>
    <t>葉巻</t>
  </si>
  <si>
    <t>/hamaki/</t>
  </si>
  <si>
    <t>hamaki</t>
  </si>
  <si>
    <t>cigar</t>
  </si>
  <si>
    <t>葉先</t>
  </si>
  <si>
    <t>要り</t>
  </si>
  <si>
    <t>裸花</t>
  </si>
  <si>
    <t>来方</t>
  </si>
  <si>
    <t>雷さま</t>
  </si>
  <si>
    <t>/kaminaɾisama/</t>
  </si>
  <si>
    <t>kaminarisama</t>
  </si>
  <si>
    <t>雷様</t>
  </si>
  <si>
    <t>絡まり</t>
  </si>
  <si>
    <t>/kaɾamaɾi/</t>
  </si>
  <si>
    <t>karamari</t>
  </si>
  <si>
    <t>利</t>
  </si>
  <si>
    <t>/ɾi/</t>
  </si>
  <si>
    <t>ri</t>
  </si>
  <si>
    <t>vantage</t>
  </si>
  <si>
    <t>profit</t>
  </si>
  <si>
    <t>gain</t>
  </si>
  <si>
    <t>net_income</t>
  </si>
  <si>
    <t>net_profit</t>
  </si>
  <si>
    <t>lucre</t>
  </si>
  <si>
    <t>profits</t>
  </si>
  <si>
    <t>利き</t>
  </si>
  <si>
    <t>利器</t>
  </si>
  <si>
    <t>/ɾiki/</t>
  </si>
  <si>
    <t>riki</t>
  </si>
  <si>
    <t>利他</t>
  </si>
  <si>
    <t>/ɾita/</t>
  </si>
  <si>
    <t>rita</t>
  </si>
  <si>
    <t>altruism</t>
  </si>
  <si>
    <t>selflessness</t>
  </si>
  <si>
    <t>吏</t>
  </si>
  <si>
    <t>李下</t>
  </si>
  <si>
    <t>/ɾika/</t>
  </si>
  <si>
    <t>rika</t>
  </si>
  <si>
    <t>李花</t>
  </si>
  <si>
    <t>梨果</t>
  </si>
  <si>
    <t>pome</t>
  </si>
  <si>
    <t>false_fruit</t>
  </si>
  <si>
    <t>梨花</t>
  </si>
  <si>
    <t>理科</t>
  </si>
  <si>
    <t>natural_science</t>
  </si>
  <si>
    <t>離</t>
  </si>
  <si>
    <t>流行り</t>
  </si>
  <si>
    <t>/hajaɾi/</t>
  </si>
  <si>
    <t>hayari</t>
  </si>
  <si>
    <t>vogue</t>
  </si>
  <si>
    <t>trend</t>
  </si>
  <si>
    <t>溜まり</t>
  </si>
  <si>
    <t>/tamaɾi/</t>
  </si>
  <si>
    <t>tamari</t>
  </si>
  <si>
    <t>溜り</t>
  </si>
  <si>
    <t>量り</t>
  </si>
  <si>
    <t>礼やか</t>
  </si>
  <si>
    <t>/ijajaka/</t>
  </si>
  <si>
    <t>iyayaka</t>
  </si>
  <si>
    <t>霊屋</t>
  </si>
  <si>
    <t>mausoleum</t>
  </si>
  <si>
    <t>morgue</t>
  </si>
  <si>
    <t>mortuary</t>
  </si>
  <si>
    <t>dead_room</t>
  </si>
  <si>
    <t>浪</t>
  </si>
  <si>
    <t>moving_ridge</t>
  </si>
  <si>
    <t>个</t>
  </si>
  <si>
    <t>儘に</t>
  </si>
  <si>
    <t>/mamani/</t>
  </si>
  <si>
    <t>mamani</t>
  </si>
  <si>
    <t>假名</t>
  </si>
  <si>
    <t>偸閑</t>
  </si>
  <si>
    <t>/akaɾasama/</t>
  </si>
  <si>
    <t>akarasama</t>
  </si>
  <si>
    <t>儺</t>
  </si>
  <si>
    <t>exorcism</t>
  </si>
  <si>
    <t>dispossession</t>
  </si>
  <si>
    <t>几下</t>
  </si>
  <si>
    <t>呵々</t>
  </si>
  <si>
    <t>呵呵</t>
  </si>
  <si>
    <t>喇嘛</t>
  </si>
  <si>
    <t>嘶き</t>
  </si>
  <si>
    <t>/inanaki/</t>
  </si>
  <si>
    <t>inanaki</t>
  </si>
  <si>
    <t>neigh</t>
  </si>
  <si>
    <t>nicker</t>
  </si>
  <si>
    <t>whicker</t>
  </si>
  <si>
    <t>whinny</t>
  </si>
  <si>
    <t>毀棄</t>
  </si>
  <si>
    <t>destruction</t>
  </si>
  <si>
    <t>demolition</t>
  </si>
  <si>
    <t>wipeout</t>
  </si>
  <si>
    <t>夥多</t>
  </si>
  <si>
    <t>孕み</t>
  </si>
  <si>
    <t>寶</t>
  </si>
  <si>
    <t>寳</t>
  </si>
  <si>
    <t>彙</t>
  </si>
  <si>
    <t>揆</t>
  </si>
  <si>
    <t>敲き</t>
  </si>
  <si>
    <t>暈</t>
  </si>
  <si>
    <t>halo</t>
  </si>
  <si>
    <t>曩に</t>
  </si>
  <si>
    <t>/sakini/</t>
  </si>
  <si>
    <t>sakini</t>
  </si>
  <si>
    <t>previously</t>
  </si>
  <si>
    <t>antecedently</t>
  </si>
  <si>
    <t>earlier</t>
  </si>
  <si>
    <t>before</t>
  </si>
  <si>
    <t>once</t>
  </si>
  <si>
    <t>formerly</t>
  </si>
  <si>
    <t>at_one_time</t>
  </si>
  <si>
    <t>erstwhile</t>
  </si>
  <si>
    <t>erst</t>
  </si>
  <si>
    <t>柞</t>
  </si>
  <si>
    <t>麾下</t>
  </si>
  <si>
    <t>subordinate</t>
  </si>
  <si>
    <t>subsidiary</t>
  </si>
  <si>
    <t>underling</t>
  </si>
  <si>
    <t>foot_soldier</t>
  </si>
  <si>
    <t>氣儘</t>
  </si>
  <si>
    <t>洟</t>
  </si>
  <si>
    <t>濤</t>
  </si>
  <si>
    <t>淦</t>
  </si>
  <si>
    <t>bilge</t>
  </si>
  <si>
    <t>bilge_water</t>
  </si>
  <si>
    <t>煕々</t>
  </si>
  <si>
    <t>煕煕</t>
  </si>
  <si>
    <t>牆</t>
  </si>
  <si>
    <t>玻璃</t>
  </si>
  <si>
    <t>glass</t>
  </si>
  <si>
    <t>玻璃器</t>
  </si>
  <si>
    <t>/haɾiki/</t>
  </si>
  <si>
    <t>hariki</t>
  </si>
  <si>
    <t>璞</t>
  </si>
  <si>
    <t>甍</t>
  </si>
  <si>
    <t>/iɾaka/</t>
  </si>
  <si>
    <t>iraka</t>
  </si>
  <si>
    <t>疊</t>
  </si>
  <si>
    <t>瘡掻き</t>
  </si>
  <si>
    <t>/kasakaki/</t>
  </si>
  <si>
    <t>kasakaki</t>
  </si>
  <si>
    <t>睨み</t>
  </si>
  <si>
    <t>/niɾami/</t>
  </si>
  <si>
    <t>nirami</t>
  </si>
  <si>
    <t>硴</t>
  </si>
  <si>
    <t>祟り</t>
  </si>
  <si>
    <t>/tataɾi/</t>
  </si>
  <si>
    <t>tatari</t>
  </si>
  <si>
    <t>vengeance</t>
  </si>
  <si>
    <t>retribution</t>
  </si>
  <si>
    <t>payback</t>
  </si>
  <si>
    <t>稍</t>
  </si>
  <si>
    <t>partially</t>
  </si>
  <si>
    <t>partly</t>
  </si>
  <si>
    <t>part</t>
  </si>
  <si>
    <t>筺</t>
  </si>
  <si>
    <t>簓</t>
  </si>
  <si>
    <t>/sasaɾa/</t>
  </si>
  <si>
    <t>sasara</t>
  </si>
  <si>
    <t>簗</t>
  </si>
  <si>
    <t>/jana/</t>
  </si>
  <si>
    <t>yana</t>
  </si>
  <si>
    <t>綺羅</t>
  </si>
  <si>
    <t>/kiɾa/</t>
  </si>
  <si>
    <t>kira</t>
  </si>
  <si>
    <t>罐焚き</t>
  </si>
  <si>
    <t>/kamataki/</t>
  </si>
  <si>
    <t>kamataki</t>
  </si>
  <si>
    <t>聊</t>
  </si>
  <si>
    <t>聊か</t>
  </si>
  <si>
    <t>肚</t>
  </si>
  <si>
    <t>胯</t>
  </si>
  <si>
    <t>莢</t>
  </si>
  <si>
    <t>pod</t>
  </si>
  <si>
    <t>seedpod</t>
  </si>
  <si>
    <t>藺</t>
  </si>
  <si>
    <t>蚶</t>
  </si>
  <si>
    <t>/kisa/</t>
  </si>
  <si>
    <t>kisa</t>
  </si>
  <si>
    <t>蠣</t>
  </si>
  <si>
    <t>蜑</t>
  </si>
  <si>
    <t>螯</t>
  </si>
  <si>
    <t>蠏</t>
  </si>
  <si>
    <t>蠏玉</t>
  </si>
  <si>
    <t>訛</t>
  </si>
  <si>
    <t>accent</t>
  </si>
  <si>
    <t>accent_mark</t>
  </si>
  <si>
    <t>dialect</t>
  </si>
  <si>
    <t>idiom</t>
  </si>
  <si>
    <t>訛り</t>
  </si>
  <si>
    <t>谿</t>
  </si>
  <si>
    <t>豈</t>
  </si>
  <si>
    <t>/ani/</t>
  </si>
  <si>
    <t>ani</t>
  </si>
  <si>
    <t>豬</t>
  </si>
  <si>
    <t>蹈鞴</t>
  </si>
  <si>
    <t>輻</t>
  </si>
  <si>
    <t>spoke</t>
  </si>
  <si>
    <t>wheel_spoke</t>
  </si>
  <si>
    <t>radius</t>
  </si>
  <si>
    <t>鉞</t>
  </si>
  <si>
    <t>broadax</t>
  </si>
  <si>
    <t>broadaxe</t>
  </si>
  <si>
    <t>鉈</t>
  </si>
  <si>
    <t>鋺</t>
  </si>
  <si>
    <t>/kanamaɾi/</t>
  </si>
  <si>
    <t>kanamari</t>
  </si>
  <si>
    <t>鍼</t>
  </si>
  <si>
    <t>acupuncture</t>
  </si>
  <si>
    <t>stylostixis</t>
  </si>
  <si>
    <t>閼伽</t>
  </si>
  <si>
    <t>閾下</t>
  </si>
  <si>
    <t>/ikika/</t>
  </si>
  <si>
    <t>ikika</t>
  </si>
  <si>
    <t>顆</t>
  </si>
  <si>
    <t>騙り</t>
  </si>
  <si>
    <t>fraud</t>
  </si>
  <si>
    <t>fraudulence</t>
  </si>
  <si>
    <t>dupery</t>
  </si>
  <si>
    <t>hoax</t>
  </si>
  <si>
    <t>humbug</t>
  </si>
  <si>
    <t>put-on</t>
  </si>
  <si>
    <t>finagler</t>
  </si>
  <si>
    <t>wangler</t>
  </si>
  <si>
    <t>imposter</t>
  </si>
  <si>
    <t>impostor</t>
  </si>
  <si>
    <t>pretender</t>
  </si>
  <si>
    <t>fake</t>
  </si>
  <si>
    <t>faker</t>
  </si>
  <si>
    <t>sham</t>
  </si>
  <si>
    <t>shammer</t>
  </si>
  <si>
    <t>pseudo</t>
  </si>
  <si>
    <t>pseud</t>
  </si>
  <si>
    <t>role_player</t>
  </si>
  <si>
    <t>鯏</t>
  </si>
  <si>
    <t>鰰</t>
  </si>
  <si>
    <t>齒</t>
  </si>
  <si>
    <t>槇</t>
  </si>
  <si>
    <t>nb.csv</t>
  </si>
  <si>
    <t>nob</t>
  </si>
  <si>
    <t>an-</t>
  </si>
  <si>
    <t>/ɑn/</t>
  </si>
  <si>
    <t>and</t>
  </si>
  <si>
    <t>arr</t>
  </si>
  <si>
    <t>/ɑɾ/</t>
  </si>
  <si>
    <t>ar</t>
  </si>
  <si>
    <t>gild</t>
  </si>
  <si>
    <t>/jɪl/</t>
  </si>
  <si>
    <t>yil</t>
  </si>
  <si>
    <t>/hɑl/</t>
  </si>
  <si>
    <t>hal</t>
  </si>
  <si>
    <t>halv</t>
  </si>
  <si>
    <t>/hɑn/</t>
  </si>
  <si>
    <t>hann</t>
  </si>
  <si>
    <t>hipp</t>
  </si>
  <si>
    <t>/hɪp/</t>
  </si>
  <si>
    <t>hos</t>
  </si>
  <si>
    <t>/hʊs/</t>
  </si>
  <si>
    <t>/ɪ/</t>
  </si>
  <si>
    <t>ild</t>
  </si>
  <si>
    <t>/ɪl/</t>
  </si>
  <si>
    <t>flame</t>
  </si>
  <si>
    <t>flaming</t>
  </si>
  <si>
    <t>jazz</t>
  </si>
  <si>
    <t>/jɑs/</t>
  </si>
  <si>
    <t>kald</t>
  </si>
  <si>
    <t>/kɑl/</t>
  </si>
  <si>
    <t>cold</t>
  </si>
  <si>
    <t>/kɑm/</t>
  </si>
  <si>
    <t>/lɑm/</t>
  </si>
  <si>
    <t>lamb</t>
  </si>
  <si>
    <t>/lɑn/</t>
  </si>
  <si>
    <t>commonwealth</t>
  </si>
  <si>
    <t>res_publica</t>
  </si>
  <si>
    <t>body_politic</t>
  </si>
  <si>
    <t>rural_area</t>
  </si>
  <si>
    <t>countryside</t>
  </si>
  <si>
    <t>dry_land</t>
  </si>
  <si>
    <t>earth</t>
  </si>
  <si>
    <t>solid_ground</t>
  </si>
  <si>
    <t>terra_firma</t>
  </si>
  <si>
    <t>kingdom</t>
  </si>
  <si>
    <t>realm</t>
  </si>
  <si>
    <t>lapp</t>
  </si>
  <si>
    <t>/lɑp/</t>
  </si>
  <si>
    <t>mann</t>
  </si>
  <si>
    <t>/mɑn/</t>
  </si>
  <si>
    <t>person</t>
  </si>
  <si>
    <t>individual</t>
  </si>
  <si>
    <t>someone</t>
  </si>
  <si>
    <t>somebody</t>
  </si>
  <si>
    <t>mortal</t>
  </si>
  <si>
    <t>husband</t>
  </si>
  <si>
    <t>hubby</t>
  </si>
  <si>
    <t>married_man</t>
  </si>
  <si>
    <t>adult_male</t>
  </si>
  <si>
    <t>mannen</t>
  </si>
  <si>
    <t>merr</t>
  </si>
  <si>
    <t>/mæɾ/</t>
  </si>
  <si>
    <t>mar</t>
  </si>
  <si>
    <t>mild</t>
  </si>
  <si>
    <t>narr</t>
  </si>
  <si>
    <t>/nɑɾ/</t>
  </si>
  <si>
    <t>nar</t>
  </si>
  <si>
    <t>jester</t>
  </si>
  <si>
    <t>fool</t>
  </si>
  <si>
    <t>motley_fool</t>
  </si>
  <si>
    <t>ond</t>
  </si>
  <si>
    <t>/ʊn/</t>
  </si>
  <si>
    <t>un</t>
  </si>
  <si>
    <t>pass</t>
  </si>
  <si>
    <t>passport</t>
  </si>
  <si>
    <t>rapp</t>
  </si>
  <si>
    <t>/ɾæp/</t>
  </si>
  <si>
    <t>/sɑn/</t>
  </si>
  <si>
    <t>sann</t>
  </si>
  <si>
    <t>correct</t>
  </si>
  <si>
    <t>sild</t>
  </si>
  <si>
    <t>sinn</t>
  </si>
  <si>
    <t>disposition</t>
  </si>
  <si>
    <t>temperament</t>
  </si>
  <si>
    <t>mind</t>
  </si>
  <si>
    <t>brain</t>
  </si>
  <si>
    <t>sinna</t>
  </si>
  <si>
    <t>/sɪnɑ/</t>
  </si>
  <si>
    <t>sina</t>
  </si>
  <si>
    <t>takk</t>
  </si>
  <si>
    <t>/tɑk/</t>
  </si>
  <si>
    <t>tooth</t>
  </si>
  <si>
    <t>thanks</t>
  </si>
  <si>
    <t>tall</t>
  </si>
  <si>
    <t>/tɑl/</t>
  </si>
  <si>
    <t>numeral</t>
  </si>
  <si>
    <t>figure</t>
  </si>
  <si>
    <t>/tɑm/</t>
  </si>
  <si>
    <t>tann</t>
  </si>
  <si>
    <t>/tɑn/</t>
  </si>
  <si>
    <t>til</t>
  </si>
  <si>
    <t>/tɪl/</t>
  </si>
  <si>
    <t>es_MX.csv</t>
  </si>
  <si>
    <t>spa</t>
  </si>
  <si>
    <t>acalla</t>
  </si>
  <si>
    <t>/akaʎa/</t>
  </si>
  <si>
    <t>akalla</t>
  </si>
  <si>
    <t>acallan</t>
  </si>
  <si>
    <t>/akaʎan/</t>
  </si>
  <si>
    <t>akallan</t>
  </si>
  <si>
    <t>acallar</t>
  </si>
  <si>
    <t>/akaʎaɾ/</t>
  </si>
  <si>
    <t>akallar</t>
  </si>
  <si>
    <t>whitewash</t>
  </si>
  <si>
    <t>gloss_over</t>
  </si>
  <si>
    <t>sleek_over</t>
  </si>
  <si>
    <t>hush_up</t>
  </si>
  <si>
    <t>acallara</t>
  </si>
  <si>
    <t>/akaʎaɾa/</t>
  </si>
  <si>
    <t>akallara</t>
  </si>
  <si>
    <t>acallaran</t>
  </si>
  <si>
    <t>/akaʎaɾan/</t>
  </si>
  <si>
    <t>akallaran</t>
  </si>
  <si>
    <t>acallaras</t>
  </si>
  <si>
    <t>/akaʎaɾas/</t>
  </si>
  <si>
    <t>akallaras</t>
  </si>
  <si>
    <t>acallas</t>
  </si>
  <si>
    <t>/akaʎas/</t>
  </si>
  <si>
    <t>akallas</t>
  </si>
  <si>
    <t>acanala</t>
  </si>
  <si>
    <t>/akanala/</t>
  </si>
  <si>
    <t>akanala</t>
  </si>
  <si>
    <t>acanalan</t>
  </si>
  <si>
    <t>/akanalan/</t>
  </si>
  <si>
    <t>akanalan</t>
  </si>
  <si>
    <t>acanalar</t>
  </si>
  <si>
    <t>/akanalaɾ/</t>
  </si>
  <si>
    <t>akanalar</t>
  </si>
  <si>
    <t>gutter</t>
  </si>
  <si>
    <t>acanalara</t>
  </si>
  <si>
    <t>/akanalaɾa/</t>
  </si>
  <si>
    <t>akanalara</t>
  </si>
  <si>
    <t>acanalaran</t>
  </si>
  <si>
    <t>/akanalaɾan/</t>
  </si>
  <si>
    <t>akanalaran</t>
  </si>
  <si>
    <t>acanalaras</t>
  </si>
  <si>
    <t>/akanalaɾas/</t>
  </si>
  <si>
    <t>akanalaras</t>
  </si>
  <si>
    <t>acanalas</t>
  </si>
  <si>
    <t>/akanalas/</t>
  </si>
  <si>
    <t>akanalas</t>
  </si>
  <si>
    <t>acanalla</t>
  </si>
  <si>
    <t>/akanaʎa/</t>
  </si>
  <si>
    <t>akanalla</t>
  </si>
  <si>
    <t>acanallan</t>
  </si>
  <si>
    <t>/akanaʎan/</t>
  </si>
  <si>
    <t>akanallan</t>
  </si>
  <si>
    <t>acanallar</t>
  </si>
  <si>
    <t>/akanaʎaɾ/</t>
  </si>
  <si>
    <t>akanallar</t>
  </si>
  <si>
    <t>acanallara</t>
  </si>
  <si>
    <t>/akanaʎaɾa/</t>
  </si>
  <si>
    <t>akanallara</t>
  </si>
  <si>
    <t>acanallaran</t>
  </si>
  <si>
    <t>/akanaʎaɾan/</t>
  </si>
  <si>
    <t>akanallaran</t>
  </si>
  <si>
    <t>acanallaras</t>
  </si>
  <si>
    <t>/akanaʎaɾas/</t>
  </si>
  <si>
    <t>akanallaras</t>
  </si>
  <si>
    <t>acanallas</t>
  </si>
  <si>
    <t>/akanaʎas/</t>
  </si>
  <si>
    <t>akanallas</t>
  </si>
  <si>
    <t>acapara</t>
  </si>
  <si>
    <t>/akapaɾa/</t>
  </si>
  <si>
    <t>akapara</t>
  </si>
  <si>
    <t>acaparan</t>
  </si>
  <si>
    <t>/akapaɾan/</t>
  </si>
  <si>
    <t>akaparan</t>
  </si>
  <si>
    <t>acaparar</t>
  </si>
  <si>
    <t>/akapaɾaɾ/</t>
  </si>
  <si>
    <t>akaparar</t>
  </si>
  <si>
    <t>acaparara</t>
  </si>
  <si>
    <t>/akapaɾaɾa/</t>
  </si>
  <si>
    <t>akaparara</t>
  </si>
  <si>
    <t>acapararan</t>
  </si>
  <si>
    <t>/akapaɾaɾan/</t>
  </si>
  <si>
    <t>akapararan</t>
  </si>
  <si>
    <t>acapararas</t>
  </si>
  <si>
    <t>/akapaɾaɾas/</t>
  </si>
  <si>
    <t>akapararas</t>
  </si>
  <si>
    <t>acaparas</t>
  </si>
  <si>
    <t>/akapaɾas/</t>
  </si>
  <si>
    <t>akaparas</t>
  </si>
  <si>
    <t>acapilla</t>
  </si>
  <si>
    <t>/akapiʎa/</t>
  </si>
  <si>
    <t>akapilla</t>
  </si>
  <si>
    <t>acapillan</t>
  </si>
  <si>
    <t>/akapiʎan/</t>
  </si>
  <si>
    <t>akapillan</t>
  </si>
  <si>
    <t>acapillar</t>
  </si>
  <si>
    <t>/akapiʎaɾ/</t>
  </si>
  <si>
    <t>akapillar</t>
  </si>
  <si>
    <t>acapillara</t>
  </si>
  <si>
    <t>/akapiʎaɾa/</t>
  </si>
  <si>
    <t>akapillara</t>
  </si>
  <si>
    <t>acapillaran</t>
  </si>
  <si>
    <t>/akapiʎaɾan/</t>
  </si>
  <si>
    <t>akapillaran</t>
  </si>
  <si>
    <t>acapillaras</t>
  </si>
  <si>
    <t>/akapiʎaɾas/</t>
  </si>
  <si>
    <t>akapillaras</t>
  </si>
  <si>
    <t>acapillas</t>
  </si>
  <si>
    <t>/akapiʎas/</t>
  </si>
  <si>
    <t>akapillas</t>
  </si>
  <si>
    <t>acapiza</t>
  </si>
  <si>
    <t>/akapisa/</t>
  </si>
  <si>
    <t>akapisa</t>
  </si>
  <si>
    <t>acapizan</t>
  </si>
  <si>
    <t>/akapisan/</t>
  </si>
  <si>
    <t>akapisan</t>
  </si>
  <si>
    <t>acapizar</t>
  </si>
  <si>
    <t>/akapisaɾ/</t>
  </si>
  <si>
    <t>akapisar</t>
  </si>
  <si>
    <t>acapizara</t>
  </si>
  <si>
    <t>/akapisaɾa/</t>
  </si>
  <si>
    <t>akapisara</t>
  </si>
  <si>
    <t>acapizaran</t>
  </si>
  <si>
    <t>/akapisaɾan/</t>
  </si>
  <si>
    <t>akapisaran</t>
  </si>
  <si>
    <t>acapizaras</t>
  </si>
  <si>
    <t>/akapisaɾas/</t>
  </si>
  <si>
    <t>akapisaras</t>
  </si>
  <si>
    <t>acapizas</t>
  </si>
  <si>
    <t>/akapisas/</t>
  </si>
  <si>
    <t>akapisas</t>
  </si>
  <si>
    <t>acapulla</t>
  </si>
  <si>
    <t>/akapuʎa/</t>
  </si>
  <si>
    <t>akapulla</t>
  </si>
  <si>
    <t>acapullan</t>
  </si>
  <si>
    <t>/akapuʎan/</t>
  </si>
  <si>
    <t>akapullan</t>
  </si>
  <si>
    <t>acapullar</t>
  </si>
  <si>
    <t>/akapuʎaɾ/</t>
  </si>
  <si>
    <t>akapullar</t>
  </si>
  <si>
    <t>acapullara</t>
  </si>
  <si>
    <t>/akapuʎaɾa/</t>
  </si>
  <si>
    <t>akapullara</t>
  </si>
  <si>
    <t>acapullaran</t>
  </si>
  <si>
    <t>/akapuʎaɾan/</t>
  </si>
  <si>
    <t>akapullaran</t>
  </si>
  <si>
    <t>acapullaras</t>
  </si>
  <si>
    <t>/akapuʎaɾas/</t>
  </si>
  <si>
    <t>akapullaras</t>
  </si>
  <si>
    <t>acapullas</t>
  </si>
  <si>
    <t>/akapuʎas/</t>
  </si>
  <si>
    <t>akapullas</t>
  </si>
  <si>
    <t>acata</t>
  </si>
  <si>
    <t>/akata/</t>
  </si>
  <si>
    <t>akata</t>
  </si>
  <si>
    <t>acatan</t>
  </si>
  <si>
    <t>/akatan/</t>
  </si>
  <si>
    <t>akatan</t>
  </si>
  <si>
    <t>acatar</t>
  </si>
  <si>
    <t>/akataɾ/</t>
  </si>
  <si>
    <t>akatar</t>
  </si>
  <si>
    <t>acatara</t>
  </si>
  <si>
    <t>/akataɾa/</t>
  </si>
  <si>
    <t>akatara</t>
  </si>
  <si>
    <t>acataran</t>
  </si>
  <si>
    <t>/akataɾan/</t>
  </si>
  <si>
    <t>akataran</t>
  </si>
  <si>
    <t>acataras</t>
  </si>
  <si>
    <t>/akataɾas/</t>
  </si>
  <si>
    <t>akataras</t>
  </si>
  <si>
    <t>acatas</t>
  </si>
  <si>
    <t>/akatas/</t>
  </si>
  <si>
    <t>akatas</t>
  </si>
  <si>
    <t>acicala</t>
  </si>
  <si>
    <t>/asikala/</t>
  </si>
  <si>
    <t>asikala</t>
  </si>
  <si>
    <t>acicalan</t>
  </si>
  <si>
    <t>/asikalan/</t>
  </si>
  <si>
    <t>asikalan</t>
  </si>
  <si>
    <t>acicalar</t>
  </si>
  <si>
    <t>/asikalaɾ/</t>
  </si>
  <si>
    <t>asikalar</t>
  </si>
  <si>
    <t>spruce_up</t>
  </si>
  <si>
    <t>spruce</t>
  </si>
  <si>
    <t>titivate</t>
  </si>
  <si>
    <t>tittivate</t>
  </si>
  <si>
    <t>smarten_up</t>
  </si>
  <si>
    <t>slick_up</t>
  </si>
  <si>
    <t>spiff_up</t>
  </si>
  <si>
    <t>acicalara</t>
  </si>
  <si>
    <t>/asikalaɾa/</t>
  </si>
  <si>
    <t>asikalara</t>
  </si>
  <si>
    <t>acicalaran</t>
  </si>
  <si>
    <t>/asikalaɾan/</t>
  </si>
  <si>
    <t>asikalaran</t>
  </si>
  <si>
    <t>acicalaras</t>
  </si>
  <si>
    <t>/asikalaɾas/</t>
  </si>
  <si>
    <t>asikalaras</t>
  </si>
  <si>
    <t>acicalas</t>
  </si>
  <si>
    <t>/asikalas/</t>
  </si>
  <si>
    <t>asikalas</t>
  </si>
  <si>
    <t>acicula</t>
  </si>
  <si>
    <t>/asikula/</t>
  </si>
  <si>
    <t>asikula</t>
  </si>
  <si>
    <t>aciculan</t>
  </si>
  <si>
    <t>/asikulan/</t>
  </si>
  <si>
    <t>asikulan</t>
  </si>
  <si>
    <t>acicular</t>
  </si>
  <si>
    <t>/asikulaɾ/</t>
  </si>
  <si>
    <t>asikular</t>
  </si>
  <si>
    <t>aciculara</t>
  </si>
  <si>
    <t>/asikulaɾa/</t>
  </si>
  <si>
    <t>asikulara</t>
  </si>
  <si>
    <t>acicularan</t>
  </si>
  <si>
    <t>/asikulaɾan/</t>
  </si>
  <si>
    <t>asikularan</t>
  </si>
  <si>
    <t>acicularas</t>
  </si>
  <si>
    <t>/asikulaɾas/</t>
  </si>
  <si>
    <t>asikularas</t>
  </si>
  <si>
    <t>aciculas</t>
  </si>
  <si>
    <t>/asikulas/</t>
  </si>
  <si>
    <t>asikulas</t>
  </si>
  <si>
    <t>acimutal</t>
  </si>
  <si>
    <t>/asimutal/</t>
  </si>
  <si>
    <t>asimutal</t>
  </si>
  <si>
    <t>azimuthal</t>
  </si>
  <si>
    <t>acula</t>
  </si>
  <si>
    <t>/akula/</t>
  </si>
  <si>
    <t>akula</t>
  </si>
  <si>
    <t>aculan</t>
  </si>
  <si>
    <t>/akulan/</t>
  </si>
  <si>
    <t>akulan</t>
  </si>
  <si>
    <t>acular</t>
  </si>
  <si>
    <t>/akulaɾ/</t>
  </si>
  <si>
    <t>akular</t>
  </si>
  <si>
    <t>aculara</t>
  </si>
  <si>
    <t>/akulaɾa/</t>
  </si>
  <si>
    <t>akulara</t>
  </si>
  <si>
    <t>acularan</t>
  </si>
  <si>
    <t>/akulaɾan/</t>
  </si>
  <si>
    <t>akularan</t>
  </si>
  <si>
    <t>acularas</t>
  </si>
  <si>
    <t>/akulaɾas/</t>
  </si>
  <si>
    <t>akularas</t>
  </si>
  <si>
    <t>aculas</t>
  </si>
  <si>
    <t>/akulas/</t>
  </si>
  <si>
    <t>akulas</t>
  </si>
  <si>
    <t>acumula</t>
  </si>
  <si>
    <t>/akumula/</t>
  </si>
  <si>
    <t>akumula</t>
  </si>
  <si>
    <t>acumulan</t>
  </si>
  <si>
    <t>/akumulan/</t>
  </si>
  <si>
    <t>akumulan</t>
  </si>
  <si>
    <t>acumular</t>
  </si>
  <si>
    <t>/akumulaɾ/</t>
  </si>
  <si>
    <t>akumular</t>
  </si>
  <si>
    <t>collect</t>
  </si>
  <si>
    <t>take_in</t>
  </si>
  <si>
    <t>store</t>
  </si>
  <si>
    <t>hive_away</t>
  </si>
  <si>
    <t>lay_in</t>
  </si>
  <si>
    <t>put_in</t>
  </si>
  <si>
    <t>salt_away</t>
  </si>
  <si>
    <t>stack_away</t>
  </si>
  <si>
    <t>stash_away</t>
  </si>
  <si>
    <t>roll_up</t>
  </si>
  <si>
    <t>accumulate</t>
  </si>
  <si>
    <t>pile_up</t>
  </si>
  <si>
    <t>amass</t>
  </si>
  <si>
    <t>compile</t>
  </si>
  <si>
    <t>hoard</t>
  </si>
  <si>
    <t>stash</t>
  </si>
  <si>
    <t>lay_away</t>
  </si>
  <si>
    <t>hive_up</t>
  </si>
  <si>
    <t>squirrel_away</t>
  </si>
  <si>
    <t>acumulara</t>
  </si>
  <si>
    <t>/akumulaɾa/</t>
  </si>
  <si>
    <t>akumulara</t>
  </si>
  <si>
    <t>acumularan</t>
  </si>
  <si>
    <t>/akumulaɾan/</t>
  </si>
  <si>
    <t>akumularan</t>
  </si>
  <si>
    <t>acumularas</t>
  </si>
  <si>
    <t>/akumulaɾas/</t>
  </si>
  <si>
    <t>akumularas</t>
  </si>
  <si>
    <t>acumulas</t>
  </si>
  <si>
    <t>/akumulas/</t>
  </si>
  <si>
    <t>akumulas</t>
  </si>
  <si>
    <t>acuna</t>
  </si>
  <si>
    <t>/akuna/</t>
  </si>
  <si>
    <t>akuna</t>
  </si>
  <si>
    <t>acunan</t>
  </si>
  <si>
    <t>/akunan/</t>
  </si>
  <si>
    <t>akunan</t>
  </si>
  <si>
    <t>acunar</t>
  </si>
  <si>
    <t>/akunaɾ/</t>
  </si>
  <si>
    <t>akunar</t>
  </si>
  <si>
    <t>acunara</t>
  </si>
  <si>
    <t>/akunaɾa/</t>
  </si>
  <si>
    <t>akunara</t>
  </si>
  <si>
    <t>acunaran</t>
  </si>
  <si>
    <t>/akunaɾan/</t>
  </si>
  <si>
    <t>akunaran</t>
  </si>
  <si>
    <t>acunaras</t>
  </si>
  <si>
    <t>/akunaɾas/</t>
  </si>
  <si>
    <t>akunaras</t>
  </si>
  <si>
    <t>acunas</t>
  </si>
  <si>
    <t>/akunas/</t>
  </si>
  <si>
    <t>akunas</t>
  </si>
  <si>
    <t>acuña</t>
  </si>
  <si>
    <t>/akuɲa/</t>
  </si>
  <si>
    <t>akuña</t>
  </si>
  <si>
    <t>acuñan</t>
  </si>
  <si>
    <t>/akuɲan/</t>
  </si>
  <si>
    <t>akuñan</t>
  </si>
  <si>
    <t>acuñar</t>
  </si>
  <si>
    <t>/akuɲaɾ/</t>
  </si>
  <si>
    <t>akuñar</t>
  </si>
  <si>
    <t>coin</t>
  </si>
  <si>
    <t>cleat</t>
  </si>
  <si>
    <t>acuñara</t>
  </si>
  <si>
    <t>/akuɲaɾa/</t>
  </si>
  <si>
    <t>akuñara</t>
  </si>
  <si>
    <t>acuñaran</t>
  </si>
  <si>
    <t>/akuɲaɾan/</t>
  </si>
  <si>
    <t>akuñaran</t>
  </si>
  <si>
    <t>acuñaras</t>
  </si>
  <si>
    <t>/akuɲaɾas/</t>
  </si>
  <si>
    <t>akuñaras</t>
  </si>
  <si>
    <t>acuñas</t>
  </si>
  <si>
    <t>/akuɲas/</t>
  </si>
  <si>
    <t>akuñas</t>
  </si>
  <si>
    <t>acusa</t>
  </si>
  <si>
    <t>/akusa/</t>
  </si>
  <si>
    <t>akusa</t>
  </si>
  <si>
    <t>acusan</t>
  </si>
  <si>
    <t>/akusan/</t>
  </si>
  <si>
    <t>akusan</t>
  </si>
  <si>
    <t>acusar</t>
  </si>
  <si>
    <t>/akusaɾ/</t>
  </si>
  <si>
    <t>akusar</t>
  </si>
  <si>
    <t>accuse</t>
  </si>
  <si>
    <t>indict</t>
  </si>
  <si>
    <t>acusara</t>
  </si>
  <si>
    <t>/akusaɾa/</t>
  </si>
  <si>
    <t>akusara</t>
  </si>
  <si>
    <t>acusaran</t>
  </si>
  <si>
    <t>/akusaɾan/</t>
  </si>
  <si>
    <t>akusaran</t>
  </si>
  <si>
    <t>acusaras</t>
  </si>
  <si>
    <t>/akusaɾas/</t>
  </si>
  <si>
    <t>akusaras</t>
  </si>
  <si>
    <t>acusas</t>
  </si>
  <si>
    <t>/akusas/</t>
  </si>
  <si>
    <t>akusas</t>
  </si>
  <si>
    <t>acusica</t>
  </si>
  <si>
    <t>/akusika/</t>
  </si>
  <si>
    <t>akusika</t>
  </si>
  <si>
    <t>acusicas</t>
  </si>
  <si>
    <t>/akusikas/</t>
  </si>
  <si>
    <t>akusikas</t>
  </si>
  <si>
    <t>agalla</t>
  </si>
  <si>
    <t>/aɣaʎa/</t>
  </si>
  <si>
    <t>gall</t>
  </si>
  <si>
    <t>agallas</t>
  </si>
  <si>
    <t>/aɣaʎas/</t>
  </si>
  <si>
    <t>agasaja</t>
  </si>
  <si>
    <t>/aɣasaxa/</t>
  </si>
  <si>
    <t>akasaka</t>
  </si>
  <si>
    <t>agasajan</t>
  </si>
  <si>
    <t>/aɣasaxan/</t>
  </si>
  <si>
    <t>akasakan</t>
  </si>
  <si>
    <t>agasajar</t>
  </si>
  <si>
    <t>/aɣasaxaɾ/</t>
  </si>
  <si>
    <t>akasakar</t>
  </si>
  <si>
    <t>agasajara</t>
  </si>
  <si>
    <t>/aɣasaxaɾa/</t>
  </si>
  <si>
    <t>akasakara</t>
  </si>
  <si>
    <t>agasajaran</t>
  </si>
  <si>
    <t>/aɣasaxaɾan/</t>
  </si>
  <si>
    <t>akasakaran</t>
  </si>
  <si>
    <t>agasajaras</t>
  </si>
  <si>
    <t>/aɣasaxaɾas/</t>
  </si>
  <si>
    <t>akasakaras</t>
  </si>
  <si>
    <t>agasajas</t>
  </si>
  <si>
    <t>/aɣasaxas/</t>
  </si>
  <si>
    <t>akasakas</t>
  </si>
  <si>
    <t>agatina</t>
  </si>
  <si>
    <t>/aɣatina/</t>
  </si>
  <si>
    <t>akatina</t>
  </si>
  <si>
    <t>agatinas</t>
  </si>
  <si>
    <t>/aɣatinas/</t>
  </si>
  <si>
    <t>akatinas</t>
  </si>
  <si>
    <t>agazapa</t>
  </si>
  <si>
    <t>/aɣasapa/</t>
  </si>
  <si>
    <t>akasapa</t>
  </si>
  <si>
    <t>agazapan</t>
  </si>
  <si>
    <t>/aɣasapan/</t>
  </si>
  <si>
    <t>akasapan</t>
  </si>
  <si>
    <t>agazapar</t>
  </si>
  <si>
    <t>/aɣasapaɾ/</t>
  </si>
  <si>
    <t>akasapar</t>
  </si>
  <si>
    <t>agazapara</t>
  </si>
  <si>
    <t>/aɣasapaɾa/</t>
  </si>
  <si>
    <t>akasapara</t>
  </si>
  <si>
    <t>agazaparan</t>
  </si>
  <si>
    <t>/aɣasapaɾan/</t>
  </si>
  <si>
    <t>akasaparan</t>
  </si>
  <si>
    <t>agazaparas</t>
  </si>
  <si>
    <t>/aɣasapaɾas/</t>
  </si>
  <si>
    <t>akasaparas</t>
  </si>
  <si>
    <t>agazapas</t>
  </si>
  <si>
    <t>/aɣasapas/</t>
  </si>
  <si>
    <t>akasapas</t>
  </si>
  <si>
    <t>agiliza</t>
  </si>
  <si>
    <t>/axilisa/</t>
  </si>
  <si>
    <t>akilisa</t>
  </si>
  <si>
    <t>agilizan</t>
  </si>
  <si>
    <t>/axilisan/</t>
  </si>
  <si>
    <t>akilisan</t>
  </si>
  <si>
    <t>agilizar</t>
  </si>
  <si>
    <t>/axilisaɾ/</t>
  </si>
  <si>
    <t>akilisar</t>
  </si>
  <si>
    <t>agilizara</t>
  </si>
  <si>
    <t>/axilisaɾa/</t>
  </si>
  <si>
    <t>akilisara</t>
  </si>
  <si>
    <t>agilizaran</t>
  </si>
  <si>
    <t>/axilisaɾan/</t>
  </si>
  <si>
    <t>akilisaran</t>
  </si>
  <si>
    <t>agilizaras</t>
  </si>
  <si>
    <t>/axilisaɾas/</t>
  </si>
  <si>
    <t>akilisaras</t>
  </si>
  <si>
    <t>agilizas</t>
  </si>
  <si>
    <t>/axilisas/</t>
  </si>
  <si>
    <t>akilisas</t>
  </si>
  <si>
    <t>agita</t>
  </si>
  <si>
    <t>/axita/</t>
  </si>
  <si>
    <t>agitan</t>
  </si>
  <si>
    <t>/axitan/</t>
  </si>
  <si>
    <t>agitar</t>
  </si>
  <si>
    <t>/axitaɾ/</t>
  </si>
  <si>
    <t>akitar</t>
  </si>
  <si>
    <t>shake</t>
  </si>
  <si>
    <t>didder</t>
  </si>
  <si>
    <t>fluff_up</t>
  </si>
  <si>
    <t>plump_up</t>
  </si>
  <si>
    <t>shake_up</t>
  </si>
  <si>
    <t>churn</t>
  </si>
  <si>
    <t>agitate</t>
  </si>
  <si>
    <t>vex</t>
  </si>
  <si>
    <t>disturb</t>
  </si>
  <si>
    <t>commove</t>
  </si>
  <si>
    <t>stir_up</t>
  </si>
  <si>
    <t>raise_up</t>
  </si>
  <si>
    <t>raise</t>
  </si>
  <si>
    <t>conjure</t>
  </si>
  <si>
    <t>conjure_up</t>
  </si>
  <si>
    <t>invoke</t>
  </si>
  <si>
    <t>evoke</t>
  </si>
  <si>
    <t>stir</t>
  </si>
  <si>
    <t>call_down</t>
  </si>
  <si>
    <t>arouse</t>
  </si>
  <si>
    <t>bring_up</t>
  </si>
  <si>
    <t>put_forward</t>
  </si>
  <si>
    <t>call_forth</t>
  </si>
  <si>
    <t>dither</t>
  </si>
  <si>
    <t>flap</t>
  </si>
  <si>
    <t>pother</t>
  </si>
  <si>
    <t>jar</t>
  </si>
  <si>
    <t>rock</t>
  </si>
  <si>
    <t>sway</t>
  </si>
  <si>
    <t>boil</t>
  </si>
  <si>
    <t>moil</t>
  </si>
  <si>
    <t>roil</t>
  </si>
  <si>
    <t>convulse</t>
  </si>
  <si>
    <t>thresh</t>
  </si>
  <si>
    <t>thresh_about</t>
  </si>
  <si>
    <t>thrash</t>
  </si>
  <si>
    <t>thrash_about</t>
  </si>
  <si>
    <t>toss</t>
  </si>
  <si>
    <t>jactitate</t>
  </si>
  <si>
    <t>foment</t>
  </si>
  <si>
    <t>agitara</t>
  </si>
  <si>
    <t>/axitaɾa/</t>
  </si>
  <si>
    <t>akitara</t>
  </si>
  <si>
    <t>agitaran</t>
  </si>
  <si>
    <t>/axitaɾan/</t>
  </si>
  <si>
    <t>akitaran</t>
  </si>
  <si>
    <t>agitaras</t>
  </si>
  <si>
    <t>/axitaɾas/</t>
  </si>
  <si>
    <t>akitaras</t>
  </si>
  <si>
    <t>agitas</t>
  </si>
  <si>
    <t>/axitas/</t>
  </si>
  <si>
    <t>aguija</t>
  </si>
  <si>
    <t>/aɣixa/</t>
  </si>
  <si>
    <t>akika</t>
  </si>
  <si>
    <t>aguijan</t>
  </si>
  <si>
    <t>/aɣixan/</t>
  </si>
  <si>
    <t>akikan</t>
  </si>
  <si>
    <t>aguijar</t>
  </si>
  <si>
    <t>/aɣixaɾ/</t>
  </si>
  <si>
    <t>akikar</t>
  </si>
  <si>
    <t>aguijara</t>
  </si>
  <si>
    <t>/aɣixaɾa/</t>
  </si>
  <si>
    <t>akikara</t>
  </si>
  <si>
    <t>aguijaran</t>
  </si>
  <si>
    <t>/aɣixaɾan/</t>
  </si>
  <si>
    <t>akikaran</t>
  </si>
  <si>
    <t>aguijaras</t>
  </si>
  <si>
    <t>/aɣixaɾas/</t>
  </si>
  <si>
    <t>akikaras</t>
  </si>
  <si>
    <t>aguijas</t>
  </si>
  <si>
    <t>/aɣixas/</t>
  </si>
  <si>
    <t>akikas</t>
  </si>
  <si>
    <t>aguililla</t>
  </si>
  <si>
    <t>/aɣiliʎa/</t>
  </si>
  <si>
    <t>akililla</t>
  </si>
  <si>
    <t>aguilillas</t>
  </si>
  <si>
    <t>/aɣiliʎas/</t>
  </si>
  <si>
    <t>akilillas</t>
  </si>
  <si>
    <t>aguja</t>
  </si>
  <si>
    <t>/aɣuxa/</t>
  </si>
  <si>
    <t>akuka</t>
  </si>
  <si>
    <t>godwit</t>
  </si>
  <si>
    <t>firing_pin</t>
  </si>
  <si>
    <t>steeple</t>
  </si>
  <si>
    <t>spire</t>
  </si>
  <si>
    <t>stylus</t>
  </si>
  <si>
    <t>acerate_leaf</t>
  </si>
  <si>
    <t>agujal</t>
  </si>
  <si>
    <t>/aɣuxal/</t>
  </si>
  <si>
    <t>akukal</t>
  </si>
  <si>
    <t>agujas</t>
  </si>
  <si>
    <t>/aɣuxas/</t>
  </si>
  <si>
    <t>akukas</t>
  </si>
  <si>
    <t>aguza</t>
  </si>
  <si>
    <t>/aɣusa/</t>
  </si>
  <si>
    <t>aguzan</t>
  </si>
  <si>
    <t>/aɣusan/</t>
  </si>
  <si>
    <t>aguzar</t>
  </si>
  <si>
    <t>/aɣusaɾ/</t>
  </si>
  <si>
    <t>strap</t>
  </si>
  <si>
    <t>aguzara</t>
  </si>
  <si>
    <t>/aɣusaɾa/</t>
  </si>
  <si>
    <t>aguzaran</t>
  </si>
  <si>
    <t>/aɣusaɾan/</t>
  </si>
  <si>
    <t>aguzaras</t>
  </si>
  <si>
    <t>/aɣusaɾas/</t>
  </si>
  <si>
    <t>aguzas</t>
  </si>
  <si>
    <t>/aɣusas/</t>
  </si>
  <si>
    <t>aja</t>
  </si>
  <si>
    <t>/axa/</t>
  </si>
  <si>
    <t>ajan</t>
  </si>
  <si>
    <t>/axan/</t>
  </si>
  <si>
    <t>akan</t>
  </si>
  <si>
    <t>ajar</t>
  </si>
  <si>
    <t>/axaɾ/</t>
  </si>
  <si>
    <t>akar</t>
  </si>
  <si>
    <t>ajara</t>
  </si>
  <si>
    <t>/axaɾa/</t>
  </si>
  <si>
    <t>akara</t>
  </si>
  <si>
    <t>ajaraca</t>
  </si>
  <si>
    <t>/axaɾaka/</t>
  </si>
  <si>
    <t>akaraka</t>
  </si>
  <si>
    <t>ajaracas</t>
  </si>
  <si>
    <t>/axaɾakas/</t>
  </si>
  <si>
    <t>akarakas</t>
  </si>
  <si>
    <t>ajaran</t>
  </si>
  <si>
    <t>/axaɾan/</t>
  </si>
  <si>
    <t>akaran</t>
  </si>
  <si>
    <t>ajaras</t>
  </si>
  <si>
    <t>/axaɾas/</t>
  </si>
  <si>
    <t>akaras</t>
  </si>
  <si>
    <t>ajas</t>
  </si>
  <si>
    <t>/axas/</t>
  </si>
  <si>
    <t>akas</t>
  </si>
  <si>
    <t>ajiza</t>
  </si>
  <si>
    <t>/axisa/</t>
  </si>
  <si>
    <t>akisa</t>
  </si>
  <si>
    <t>ajuma</t>
  </si>
  <si>
    <t>/axuma/</t>
  </si>
  <si>
    <t>akuma</t>
  </si>
  <si>
    <t>ajuman</t>
  </si>
  <si>
    <t>/axuman/</t>
  </si>
  <si>
    <t>akuman</t>
  </si>
  <si>
    <t>ajumar</t>
  </si>
  <si>
    <t>/axumaɾ/</t>
  </si>
  <si>
    <t>akumar</t>
  </si>
  <si>
    <t>ajumara</t>
  </si>
  <si>
    <t>/axumaɾa/</t>
  </si>
  <si>
    <t>akumara</t>
  </si>
  <si>
    <t>ajumaran</t>
  </si>
  <si>
    <t>/axumaɾan/</t>
  </si>
  <si>
    <t>akumaran</t>
  </si>
  <si>
    <t>ajumaras</t>
  </si>
  <si>
    <t>/axumaɾas/</t>
  </si>
  <si>
    <t>akumaras</t>
  </si>
  <si>
    <t>ajumas</t>
  </si>
  <si>
    <t>/axumas/</t>
  </si>
  <si>
    <t>akumas</t>
  </si>
  <si>
    <t>aluminum</t>
  </si>
  <si>
    <t>aluminium</t>
  </si>
  <si>
    <t>Al</t>
  </si>
  <si>
    <t>atomic_number_13</t>
  </si>
  <si>
    <t>eaves</t>
  </si>
  <si>
    <t>winger</t>
  </si>
  <si>
    <t>alaga</t>
  </si>
  <si>
    <t>/alaɣa/</t>
  </si>
  <si>
    <t>alaka</t>
  </si>
  <si>
    <t>alagan</t>
  </si>
  <si>
    <t>/alaɣan/</t>
  </si>
  <si>
    <t>alakan</t>
  </si>
  <si>
    <t>alagar</t>
  </si>
  <si>
    <t>/alaɣaɾ/</t>
  </si>
  <si>
    <t>alakar</t>
  </si>
  <si>
    <t>alagara</t>
  </si>
  <si>
    <t>/alaɣaɾa/</t>
  </si>
  <si>
    <t>alakara</t>
  </si>
  <si>
    <t>alagaran</t>
  </si>
  <si>
    <t>/alaɣaɾan/</t>
  </si>
  <si>
    <t>alakaran</t>
  </si>
  <si>
    <t>alagaras</t>
  </si>
  <si>
    <t>/alaɣaɾas/</t>
  </si>
  <si>
    <t>alakaras</t>
  </si>
  <si>
    <t>alagas</t>
  </si>
  <si>
    <t>/alaɣas/</t>
  </si>
  <si>
    <t>alakas</t>
  </si>
  <si>
    <t>alama</t>
  </si>
  <si>
    <t>/alama/</t>
  </si>
  <si>
    <t>alamar</t>
  </si>
  <si>
    <t>/alamaɾ/</t>
  </si>
  <si>
    <t>alamas</t>
  </si>
  <si>
    <t>/alamas/</t>
  </si>
  <si>
    <t>alamina</t>
  </si>
  <si>
    <t>/alamina/</t>
  </si>
  <si>
    <t>alaminas</t>
  </si>
  <si>
    <t>/alaminas/</t>
  </si>
  <si>
    <t>alar</t>
  </si>
  <si>
    <t>/alaɾ/</t>
  </si>
  <si>
    <t>axillary</t>
  </si>
  <si>
    <t>alazana</t>
  </si>
  <si>
    <t>/alasana/</t>
  </si>
  <si>
    <t>alasana</t>
  </si>
  <si>
    <t>alazanas</t>
  </si>
  <si>
    <t>/alasanas/</t>
  </si>
  <si>
    <t>alasanas</t>
  </si>
  <si>
    <t>alhaja</t>
  </si>
  <si>
    <t>/alaxa/</t>
  </si>
  <si>
    <t>alhajan</t>
  </si>
  <si>
    <t>/alaxan/</t>
  </si>
  <si>
    <t>alhajar</t>
  </si>
  <si>
    <t>/alaxaɾ/</t>
  </si>
  <si>
    <t>alhajara</t>
  </si>
  <si>
    <t>/alaxaɾa/</t>
  </si>
  <si>
    <t>alhajaran</t>
  </si>
  <si>
    <t>/alaxaɾan/</t>
  </si>
  <si>
    <t>alhajaras</t>
  </si>
  <si>
    <t>/alaxaɾas/</t>
  </si>
  <si>
    <t>alhajas</t>
  </si>
  <si>
    <t>/alaxas/</t>
  </si>
  <si>
    <t>alharaca</t>
  </si>
  <si>
    <t>/alaɾaka/</t>
  </si>
  <si>
    <t>alaraka</t>
  </si>
  <si>
    <t>alharacas</t>
  </si>
  <si>
    <t>/alaɾakas/</t>
  </si>
  <si>
    <t>alarakas</t>
  </si>
  <si>
    <t>alicata</t>
  </si>
  <si>
    <t>/alikata/</t>
  </si>
  <si>
    <t>alikata</t>
  </si>
  <si>
    <t>alicatan</t>
  </si>
  <si>
    <t>/alikatan/</t>
  </si>
  <si>
    <t>alikatan</t>
  </si>
  <si>
    <t>alicatar</t>
  </si>
  <si>
    <t>/alikataɾ/</t>
  </si>
  <si>
    <t>alikatar</t>
  </si>
  <si>
    <t>alicatara</t>
  </si>
  <si>
    <t>/alikataɾa/</t>
  </si>
  <si>
    <t>alikatara</t>
  </si>
  <si>
    <t>alicataran</t>
  </si>
  <si>
    <t>/alikataɾan/</t>
  </si>
  <si>
    <t>alikataran</t>
  </si>
  <si>
    <t>alicataras</t>
  </si>
  <si>
    <t>/alikataɾas/</t>
  </si>
  <si>
    <t>alikataras</t>
  </si>
  <si>
    <t>alicatas</t>
  </si>
  <si>
    <t>/alikatas/</t>
  </si>
  <si>
    <t>alikatas</t>
  </si>
  <si>
    <t>aliga</t>
  </si>
  <si>
    <t>/aliɣa/</t>
  </si>
  <si>
    <t>alika</t>
  </si>
  <si>
    <t>aligan</t>
  </si>
  <si>
    <t>/aliɣan/</t>
  </si>
  <si>
    <t>alikan</t>
  </si>
  <si>
    <t>aligar</t>
  </si>
  <si>
    <t>/aliɣaɾ/</t>
  </si>
  <si>
    <t>alikar</t>
  </si>
  <si>
    <t>aligara</t>
  </si>
  <si>
    <t>/aliɣaɾa/</t>
  </si>
  <si>
    <t>alikara</t>
  </si>
  <si>
    <t>aligaran</t>
  </si>
  <si>
    <t>/aliɣaɾan/</t>
  </si>
  <si>
    <t>alikaran</t>
  </si>
  <si>
    <t>aligaras</t>
  </si>
  <si>
    <t>/aliɣaɾas/</t>
  </si>
  <si>
    <t>alikaras</t>
  </si>
  <si>
    <t>aligas</t>
  </si>
  <si>
    <t>/aliɣas/</t>
  </si>
  <si>
    <t>alikas</t>
  </si>
  <si>
    <t>alija</t>
  </si>
  <si>
    <t>/alixa/</t>
  </si>
  <si>
    <t>alijan</t>
  </si>
  <si>
    <t>/alixan/</t>
  </si>
  <si>
    <t>alijar</t>
  </si>
  <si>
    <t>/alixaɾ/</t>
  </si>
  <si>
    <t>alijara</t>
  </si>
  <si>
    <t>/alixaɾa/</t>
  </si>
  <si>
    <t>alijaran</t>
  </si>
  <si>
    <t>/alixaɾan/</t>
  </si>
  <si>
    <t>alijarar</t>
  </si>
  <si>
    <t>/alixaɾaɾ/</t>
  </si>
  <si>
    <t>alikarar</t>
  </si>
  <si>
    <t>alijarara</t>
  </si>
  <si>
    <t>/alixaɾaɾa/</t>
  </si>
  <si>
    <t>alikarara</t>
  </si>
  <si>
    <t>alijararan</t>
  </si>
  <si>
    <t>/alixaɾaɾan/</t>
  </si>
  <si>
    <t>alikararan</t>
  </si>
  <si>
    <t>alijararas</t>
  </si>
  <si>
    <t>/alixaɾaɾas/</t>
  </si>
  <si>
    <t>alikararas</t>
  </si>
  <si>
    <t>alijaras</t>
  </si>
  <si>
    <t>/alixaɾas/</t>
  </si>
  <si>
    <t>alijas</t>
  </si>
  <si>
    <t>/alixas/</t>
  </si>
  <si>
    <t>alimaña</t>
  </si>
  <si>
    <t>/alimaɲa/</t>
  </si>
  <si>
    <t>alimañas</t>
  </si>
  <si>
    <t>/alimaɲas/</t>
  </si>
  <si>
    <t>aliñan</t>
  </si>
  <si>
    <t>/aliɲan/</t>
  </si>
  <si>
    <t>aliñar</t>
  </si>
  <si>
    <t>/aliɲaɾ/</t>
  </si>
  <si>
    <t>aliñara</t>
  </si>
  <si>
    <t>/aliɲaɾa/</t>
  </si>
  <si>
    <t>aliñaran</t>
  </si>
  <si>
    <t>/aliɲaɾan/</t>
  </si>
  <si>
    <t>aliñaras</t>
  </si>
  <si>
    <t>/aliɲaɾas/</t>
  </si>
  <si>
    <t>alisa</t>
  </si>
  <si>
    <t>/alisa/</t>
  </si>
  <si>
    <t>alisan</t>
  </si>
  <si>
    <t>/alisan/</t>
  </si>
  <si>
    <t>alisar</t>
  </si>
  <si>
    <t>/alisaɾ/</t>
  </si>
  <si>
    <t>alisara</t>
  </si>
  <si>
    <t>/alisaɾa/</t>
  </si>
  <si>
    <t>alisaran</t>
  </si>
  <si>
    <t>/alisaɾan/</t>
  </si>
  <si>
    <t>alisaras</t>
  </si>
  <si>
    <t>/alisaɾas/</t>
  </si>
  <si>
    <t>alisas</t>
  </si>
  <si>
    <t>/alisas/</t>
  </si>
  <si>
    <t>alizar</t>
  </si>
  <si>
    <t>allana</t>
  </si>
  <si>
    <t>/aʎana/</t>
  </si>
  <si>
    <t>allanan</t>
  </si>
  <si>
    <t>/aʎanan/</t>
  </si>
  <si>
    <t>allanar</t>
  </si>
  <si>
    <t>/aʎanaɾ/</t>
  </si>
  <si>
    <t>allanara</t>
  </si>
  <si>
    <t>/aʎanaɾa/</t>
  </si>
  <si>
    <t>allanaran</t>
  </si>
  <si>
    <t>/aʎanaɾan/</t>
  </si>
  <si>
    <t>allanaras</t>
  </si>
  <si>
    <t>/aʎanaɾas/</t>
  </si>
  <si>
    <t>allanas</t>
  </si>
  <si>
    <t>/aʎanas/</t>
  </si>
  <si>
    <t>alucina</t>
  </si>
  <si>
    <t>/alusina/</t>
  </si>
  <si>
    <t>alusina</t>
  </si>
  <si>
    <t>alucinan</t>
  </si>
  <si>
    <t>/alusinan/</t>
  </si>
  <si>
    <t>alusinan</t>
  </si>
  <si>
    <t>alucinar</t>
  </si>
  <si>
    <t>/alusinaɾ/</t>
  </si>
  <si>
    <t>alusinar</t>
  </si>
  <si>
    <t>alucinara</t>
  </si>
  <si>
    <t>/alusinaɾa/</t>
  </si>
  <si>
    <t>alusinara</t>
  </si>
  <si>
    <t>alucinaran</t>
  </si>
  <si>
    <t>/alusinaɾan/</t>
  </si>
  <si>
    <t>alusinaran</t>
  </si>
  <si>
    <t>alucinaras</t>
  </si>
  <si>
    <t>/alusinaɾas/</t>
  </si>
  <si>
    <t>alusinaras</t>
  </si>
  <si>
    <t>alucinas</t>
  </si>
  <si>
    <t>/alusinas/</t>
  </si>
  <si>
    <t>alusinas</t>
  </si>
  <si>
    <t>aluminita</t>
  </si>
  <si>
    <t>/aluminita/</t>
  </si>
  <si>
    <t>aluminitas</t>
  </si>
  <si>
    <t>/aluminitas/</t>
  </si>
  <si>
    <t>amaga</t>
  </si>
  <si>
    <t>/amaɣa/</t>
  </si>
  <si>
    <t>amaka</t>
  </si>
  <si>
    <t>amagan</t>
  </si>
  <si>
    <t>/amaɣan/</t>
  </si>
  <si>
    <t>amakan</t>
  </si>
  <si>
    <t>amagar</t>
  </si>
  <si>
    <t>/amaɣaɾ/</t>
  </si>
  <si>
    <t>amakar</t>
  </si>
  <si>
    <t>amagara</t>
  </si>
  <si>
    <t>/amaɣaɾa/</t>
  </si>
  <si>
    <t>amagaran</t>
  </si>
  <si>
    <t>/amaɣaɾan/</t>
  </si>
  <si>
    <t>amakaran</t>
  </si>
  <si>
    <t>amagaras</t>
  </si>
  <si>
    <t>/amaɣaɾas/</t>
  </si>
  <si>
    <t>amakaras</t>
  </si>
  <si>
    <t>amagas</t>
  </si>
  <si>
    <t>/amaɣas/</t>
  </si>
  <si>
    <t>amakas</t>
  </si>
  <si>
    <t>amajana</t>
  </si>
  <si>
    <t>/amaxana/</t>
  </si>
  <si>
    <t>amakana</t>
  </si>
  <si>
    <t>amajanan</t>
  </si>
  <si>
    <t>/amaxanan/</t>
  </si>
  <si>
    <t>amakanan</t>
  </si>
  <si>
    <t>amajanar</t>
  </si>
  <si>
    <t>/amaxanaɾ/</t>
  </si>
  <si>
    <t>amakanar</t>
  </si>
  <si>
    <t>amajanara</t>
  </si>
  <si>
    <t>/amaxanaɾa/</t>
  </si>
  <si>
    <t>amakanara</t>
  </si>
  <si>
    <t>amajanaran</t>
  </si>
  <si>
    <t>/amaxanaɾan/</t>
  </si>
  <si>
    <t>amakanaran</t>
  </si>
  <si>
    <t>amajanaras</t>
  </si>
  <si>
    <t>/amaxanaɾas/</t>
  </si>
  <si>
    <t>amakanaras</t>
  </si>
  <si>
    <t>amajanas</t>
  </si>
  <si>
    <t>/amaxanas/</t>
  </si>
  <si>
    <t>amakanas</t>
  </si>
  <si>
    <t>amaña</t>
  </si>
  <si>
    <t>/amaɲa/</t>
  </si>
  <si>
    <t>amañan</t>
  </si>
  <si>
    <t>/amaɲan/</t>
  </si>
  <si>
    <t>amañar</t>
  </si>
  <si>
    <t>/amaɲaɾ/</t>
  </si>
  <si>
    <t>amañara</t>
  </si>
  <si>
    <t>/amaɲaɾa/</t>
  </si>
  <si>
    <t>amañaran</t>
  </si>
  <si>
    <t>/amaɲaɾan/</t>
  </si>
  <si>
    <t>amañaras</t>
  </si>
  <si>
    <t>/amaɲaɾas/</t>
  </si>
  <si>
    <t>amañas</t>
  </si>
  <si>
    <t>/amaɲas/</t>
  </si>
  <si>
    <t>amar</t>
  </si>
  <si>
    <t>/amaɾ/</t>
  </si>
  <si>
    <t>love</t>
  </si>
  <si>
    <t>amara</t>
  </si>
  <si>
    <t>/amaɾa/</t>
  </si>
  <si>
    <t>amaran</t>
  </si>
  <si>
    <t>/amaɾan/</t>
  </si>
  <si>
    <t>amaras</t>
  </si>
  <si>
    <t>/amaɾas/</t>
  </si>
  <si>
    <t>amarilla</t>
  </si>
  <si>
    <t>/amaɾiʎa/</t>
  </si>
  <si>
    <t>amarillas</t>
  </si>
  <si>
    <t>/amaɾiʎas/</t>
  </si>
  <si>
    <t>amarina</t>
  </si>
  <si>
    <t>/amaɾina/</t>
  </si>
  <si>
    <t>amarinan</t>
  </si>
  <si>
    <t>/amaɾinan/</t>
  </si>
  <si>
    <t>amarinar</t>
  </si>
  <si>
    <t>/amaɾinaɾ/</t>
  </si>
  <si>
    <t>amarinara</t>
  </si>
  <si>
    <t>/amaɾinaɾa/</t>
  </si>
  <si>
    <t>amarinaran</t>
  </si>
  <si>
    <t>/amaɾinaɾan/</t>
  </si>
  <si>
    <t>amarinaras</t>
  </si>
  <si>
    <t>/amaɾinaɾas/</t>
  </si>
  <si>
    <t>amarinas</t>
  </si>
  <si>
    <t>/amaɾinas/</t>
  </si>
  <si>
    <t>amariza</t>
  </si>
  <si>
    <t>/amaɾisa/</t>
  </si>
  <si>
    <t>amarisa</t>
  </si>
  <si>
    <t>amarizan</t>
  </si>
  <si>
    <t>/amaɾisan/</t>
  </si>
  <si>
    <t>amarisan</t>
  </si>
  <si>
    <t>amarizar</t>
  </si>
  <si>
    <t>/amaɾisaɾ/</t>
  </si>
  <si>
    <t>amarisar</t>
  </si>
  <si>
    <t>amarizara</t>
  </si>
  <si>
    <t>/amaɾisaɾa/</t>
  </si>
  <si>
    <t>amarisara</t>
  </si>
  <si>
    <t>amarizaran</t>
  </si>
  <si>
    <t>/amaɾisaɾan/</t>
  </si>
  <si>
    <t>amarisaran</t>
  </si>
  <si>
    <t>amarizaras</t>
  </si>
  <si>
    <t>/amaɾisaɾas/</t>
  </si>
  <si>
    <t>amarisaras</t>
  </si>
  <si>
    <t>amarizas</t>
  </si>
  <si>
    <t>/amaɾisas/</t>
  </si>
  <si>
    <t>amarisas</t>
  </si>
  <si>
    <t>amasan</t>
  </si>
  <si>
    <t>/amasan/</t>
  </si>
  <si>
    <t>amasar</t>
  </si>
  <si>
    <t>/amasaɾ/</t>
  </si>
  <si>
    <t>knead</t>
  </si>
  <si>
    <t>work</t>
  </si>
  <si>
    <t>amasara</t>
  </si>
  <si>
    <t>/amasaɾa/</t>
  </si>
  <si>
    <t>amasaran</t>
  </si>
  <si>
    <t>/amasaɾan/</t>
  </si>
  <si>
    <t>amasaras</t>
  </si>
  <si>
    <t>/amasaɾas/</t>
  </si>
  <si>
    <t>amiga</t>
  </si>
  <si>
    <t>/amiɣa/</t>
  </si>
  <si>
    <t>amika</t>
  </si>
  <si>
    <t>mistress</t>
  </si>
  <si>
    <t>kept_woman</t>
  </si>
  <si>
    <t>fancy_woman</t>
  </si>
  <si>
    <t>amigan</t>
  </si>
  <si>
    <t>/amiɣan/</t>
  </si>
  <si>
    <t>amikan</t>
  </si>
  <si>
    <t>amigar</t>
  </si>
  <si>
    <t>/amiɣaɾ/</t>
  </si>
  <si>
    <t>amikar</t>
  </si>
  <si>
    <t>amigara</t>
  </si>
  <si>
    <t>/amiɣaɾa/</t>
  </si>
  <si>
    <t>amikara</t>
  </si>
  <si>
    <t>amigaran</t>
  </si>
  <si>
    <t>/amiɣaɾan/</t>
  </si>
  <si>
    <t>amikaran</t>
  </si>
  <si>
    <t>amigaras</t>
  </si>
  <si>
    <t>/amiɣaɾas/</t>
  </si>
  <si>
    <t>amikaras</t>
  </si>
  <si>
    <t>amigas</t>
  </si>
  <si>
    <t>/amiɣas/</t>
  </si>
  <si>
    <t>amikas</t>
  </si>
  <si>
    <t>amilana</t>
  </si>
  <si>
    <t>/amilana/</t>
  </si>
  <si>
    <t>amilanan</t>
  </si>
  <si>
    <t>/amilanan/</t>
  </si>
  <si>
    <t>amilanar</t>
  </si>
  <si>
    <t>/amilanaɾ/</t>
  </si>
  <si>
    <t>amilanara</t>
  </si>
  <si>
    <t>/amilanaɾa/</t>
  </si>
  <si>
    <t>amilanaran</t>
  </si>
  <si>
    <t>/amilanaɾan/</t>
  </si>
  <si>
    <t>amilanaras</t>
  </si>
  <si>
    <t>/amilanaɾas/</t>
  </si>
  <si>
    <t>amilanas</t>
  </si>
  <si>
    <t>/amilanas/</t>
  </si>
  <si>
    <t>amillara</t>
  </si>
  <si>
    <t>/amiʎaɾa/</t>
  </si>
  <si>
    <t>amillaran</t>
  </si>
  <si>
    <t>/amiʎaɾan/</t>
  </si>
  <si>
    <t>amillarar</t>
  </si>
  <si>
    <t>/amiʎaɾaɾ/</t>
  </si>
  <si>
    <t>amillarara</t>
  </si>
  <si>
    <t>/amiʎaɾaɾa/</t>
  </si>
  <si>
    <t>amillararan</t>
  </si>
  <si>
    <t>/amiʎaɾaɾan/</t>
  </si>
  <si>
    <t>amillararas</t>
  </si>
  <si>
    <t>/amiʎaɾaɾas/</t>
  </si>
  <si>
    <t>amillaras</t>
  </si>
  <si>
    <t>/amiʎaɾas/</t>
  </si>
  <si>
    <t>amir</t>
  </si>
  <si>
    <t>/amiɾ/</t>
  </si>
  <si>
    <t>amula</t>
  </si>
  <si>
    <t>/amula/</t>
  </si>
  <si>
    <t>amulan</t>
  </si>
  <si>
    <t>/amulan/</t>
  </si>
  <si>
    <t>amular</t>
  </si>
  <si>
    <t>/amulaɾ/</t>
  </si>
  <si>
    <t>amulara</t>
  </si>
  <si>
    <t>/amulaɾa/</t>
  </si>
  <si>
    <t>amularan</t>
  </si>
  <si>
    <t>/amulaɾan/</t>
  </si>
  <si>
    <t>amularas</t>
  </si>
  <si>
    <t>/amulaɾas/</t>
  </si>
  <si>
    <t>amulas</t>
  </si>
  <si>
    <t>/amulas/</t>
  </si>
  <si>
    <t>amura</t>
  </si>
  <si>
    <t>/amuɾa/</t>
  </si>
  <si>
    <t>amuralla</t>
  </si>
  <si>
    <t>/amuɾaʎa/</t>
  </si>
  <si>
    <t>amurallan</t>
  </si>
  <si>
    <t>/amuɾaʎan/</t>
  </si>
  <si>
    <t>amurallar</t>
  </si>
  <si>
    <t>/amuɾaʎaɾ/</t>
  </si>
  <si>
    <t>amurallara</t>
  </si>
  <si>
    <t>/amuɾaʎaɾa/</t>
  </si>
  <si>
    <t>amurallaran</t>
  </si>
  <si>
    <t>/amuɾaʎaɾan/</t>
  </si>
  <si>
    <t>amurallaras</t>
  </si>
  <si>
    <t>/amuɾaʎaɾas/</t>
  </si>
  <si>
    <t>amurallas</t>
  </si>
  <si>
    <t>/amuɾaʎas/</t>
  </si>
  <si>
    <t>amuran</t>
  </si>
  <si>
    <t>/amuɾan/</t>
  </si>
  <si>
    <t>amurar</t>
  </si>
  <si>
    <t>/amuɾaɾ/</t>
  </si>
  <si>
    <t>amurara</t>
  </si>
  <si>
    <t>/amuɾaɾa/</t>
  </si>
  <si>
    <t>amuraran</t>
  </si>
  <si>
    <t>/amuɾaɾan/</t>
  </si>
  <si>
    <t>amuraras</t>
  </si>
  <si>
    <t>/amuɾaɾas/</t>
  </si>
  <si>
    <t>amuras</t>
  </si>
  <si>
    <t>/amuɾas/</t>
  </si>
  <si>
    <t>Ana</t>
  </si>
  <si>
    <t>analiza</t>
  </si>
  <si>
    <t>/analisa/</t>
  </si>
  <si>
    <t>analisa</t>
  </si>
  <si>
    <t>analizan</t>
  </si>
  <si>
    <t>/analisan/</t>
  </si>
  <si>
    <t>analisan</t>
  </si>
  <si>
    <t>analizar</t>
  </si>
  <si>
    <t>/analisaɾ/</t>
  </si>
  <si>
    <t>analisar</t>
  </si>
  <si>
    <t>analyze</t>
  </si>
  <si>
    <t>analyse</t>
  </si>
  <si>
    <t>break_down</t>
  </si>
  <si>
    <t>dissect</t>
  </si>
  <si>
    <t>take_apart</t>
  </si>
  <si>
    <t>study</t>
  </si>
  <si>
    <t>examine</t>
  </si>
  <si>
    <t>canvass</t>
  </si>
  <si>
    <t>canvas</t>
  </si>
  <si>
    <t>investigate</t>
  </si>
  <si>
    <t>look_into</t>
  </si>
  <si>
    <t>analizara</t>
  </si>
  <si>
    <t>/analisaɾa/</t>
  </si>
  <si>
    <t>analisara</t>
  </si>
  <si>
    <t>analizaran</t>
  </si>
  <si>
    <t>/analisaɾan/</t>
  </si>
  <si>
    <t>analisaran</t>
  </si>
  <si>
    <t>analizaras</t>
  </si>
  <si>
    <t>/analisaɾas/</t>
  </si>
  <si>
    <t>analisaras</t>
  </si>
  <si>
    <t>analizas</t>
  </si>
  <si>
    <t>/analisas/</t>
  </si>
  <si>
    <t>analisas</t>
  </si>
  <si>
    <t>anatas</t>
  </si>
  <si>
    <t>/anatas/</t>
  </si>
  <si>
    <t>anilina</t>
  </si>
  <si>
    <t>/anilina/</t>
  </si>
  <si>
    <t>aniline</t>
  </si>
  <si>
    <t>aniline_oil</t>
  </si>
  <si>
    <t>aminobenzine</t>
  </si>
  <si>
    <t>phenylamine</t>
  </si>
  <si>
    <t>anilinas</t>
  </si>
  <si>
    <t>/anilinas/</t>
  </si>
  <si>
    <t>anilla</t>
  </si>
  <si>
    <t>/aniʎa/</t>
  </si>
  <si>
    <t>anillan</t>
  </si>
  <si>
    <t>/aniʎan/</t>
  </si>
  <si>
    <t>anillar</t>
  </si>
  <si>
    <t>/aniʎaɾ/</t>
  </si>
  <si>
    <t>anillara</t>
  </si>
  <si>
    <t>/aniʎaɾa/</t>
  </si>
  <si>
    <t>anillaran</t>
  </si>
  <si>
    <t>/aniʎaɾan/</t>
  </si>
  <si>
    <t>anillaras</t>
  </si>
  <si>
    <t>/aniʎaɾas/</t>
  </si>
  <si>
    <t>anillas</t>
  </si>
  <si>
    <t>/aniʎas/</t>
  </si>
  <si>
    <t>band</t>
  </si>
  <si>
    <t>ring</t>
  </si>
  <si>
    <t>dunce</t>
  </si>
  <si>
    <t>dunderhead</t>
  </si>
  <si>
    <t>numskull</t>
  </si>
  <si>
    <t>blockhead</t>
  </si>
  <si>
    <t>bonehead</t>
  </si>
  <si>
    <t>lunkhead</t>
  </si>
  <si>
    <t>hammerhead</t>
  </si>
  <si>
    <t>knucklehead</t>
  </si>
  <si>
    <t>loggerhead</t>
  </si>
  <si>
    <t>muttonhead</t>
  </si>
  <si>
    <t>shithead</t>
  </si>
  <si>
    <t>dumbass</t>
  </si>
  <si>
    <t>fuckhead</t>
  </si>
  <si>
    <t>animaliza</t>
  </si>
  <si>
    <t>/animalisa/</t>
  </si>
  <si>
    <t>animalisa</t>
  </si>
  <si>
    <t>animalizan</t>
  </si>
  <si>
    <t>/animalisan/</t>
  </si>
  <si>
    <t>animalisan</t>
  </si>
  <si>
    <t>animalizar</t>
  </si>
  <si>
    <t>/animalisaɾ/</t>
  </si>
  <si>
    <t>animalisar</t>
  </si>
  <si>
    <t>animalizara</t>
  </si>
  <si>
    <t>/animalisaɾa/</t>
  </si>
  <si>
    <t>animalisara</t>
  </si>
  <si>
    <t>animalizaran</t>
  </si>
  <si>
    <t>/animalisaɾan/</t>
  </si>
  <si>
    <t>animalisaran</t>
  </si>
  <si>
    <t>animalizaras</t>
  </si>
  <si>
    <t>/animalisaɾas/</t>
  </si>
  <si>
    <t>animalisaras</t>
  </si>
  <si>
    <t>animalizas</t>
  </si>
  <si>
    <t>/animalisas/</t>
  </si>
  <si>
    <t>animalisas</t>
  </si>
  <si>
    <t>animan</t>
  </si>
  <si>
    <t>/animan/</t>
  </si>
  <si>
    <t>animar</t>
  </si>
  <si>
    <t>/animaɾ/</t>
  </si>
  <si>
    <t>jazz_up</t>
  </si>
  <si>
    <t>juice_up</t>
  </si>
  <si>
    <t>pep_up</t>
  </si>
  <si>
    <t>ginger_up</t>
  </si>
  <si>
    <t>enliven</t>
  </si>
  <si>
    <t>liven</t>
  </si>
  <si>
    <t>liven_up</t>
  </si>
  <si>
    <t>invigorate</t>
  </si>
  <si>
    <t>animate</t>
  </si>
  <si>
    <t>spirit_up</t>
  </si>
  <si>
    <t>inspirit</t>
  </si>
  <si>
    <t>animize</t>
  </si>
  <si>
    <t>animise</t>
  </si>
  <si>
    <t>bear_on</t>
  </si>
  <si>
    <t>encourage</t>
  </si>
  <si>
    <t>cheer</t>
  </si>
  <si>
    <t>root_on</t>
  </si>
  <si>
    <t>inspire</t>
  </si>
  <si>
    <t>urge</t>
  </si>
  <si>
    <t>barrack</t>
  </si>
  <si>
    <t>urge_on</t>
  </si>
  <si>
    <t>exhort</t>
  </si>
  <si>
    <t>cheer_up</t>
  </si>
  <si>
    <t>jolly_along</t>
  </si>
  <si>
    <t>jolly_up</t>
  </si>
  <si>
    <t>humor</t>
  </si>
  <si>
    <t>humour</t>
  </si>
  <si>
    <t>hollo</t>
  </si>
  <si>
    <t>exalt</t>
  </si>
  <si>
    <t>hearten</t>
  </si>
  <si>
    <t>recreate</t>
  </si>
  <si>
    <t>embolden</t>
  </si>
  <si>
    <t>emcee</t>
  </si>
  <si>
    <t>compere</t>
  </si>
  <si>
    <t>animara</t>
  </si>
  <si>
    <t>/animaɾa/</t>
  </si>
  <si>
    <t>animaran</t>
  </si>
  <si>
    <t>/animaɾan/</t>
  </si>
  <si>
    <t>animaras</t>
  </si>
  <si>
    <t>/animaɾas/</t>
  </si>
  <si>
    <t>aniñar</t>
  </si>
  <si>
    <t>/aniɲaɾ/</t>
  </si>
  <si>
    <t>aniquila</t>
  </si>
  <si>
    <t>/anikila/</t>
  </si>
  <si>
    <t>anikila</t>
  </si>
  <si>
    <t>aniquilan</t>
  </si>
  <si>
    <t>/anikilan/</t>
  </si>
  <si>
    <t>anikilan</t>
  </si>
  <si>
    <t>aniquilar</t>
  </si>
  <si>
    <t>/anikilaɾ/</t>
  </si>
  <si>
    <t>anikilar</t>
  </si>
  <si>
    <t>nuke</t>
  </si>
  <si>
    <t>atomize</t>
  </si>
  <si>
    <t>atomise</t>
  </si>
  <si>
    <t>zap</t>
  </si>
  <si>
    <t>aniquilara</t>
  </si>
  <si>
    <t>/anikilaɾa/</t>
  </si>
  <si>
    <t>anikilara</t>
  </si>
  <si>
    <t>aniquilaran</t>
  </si>
  <si>
    <t>/anikilaɾan/</t>
  </si>
  <si>
    <t>anikilaran</t>
  </si>
  <si>
    <t>aniquilaras</t>
  </si>
  <si>
    <t>/anikilaɾas/</t>
  </si>
  <si>
    <t>anikilaras</t>
  </si>
  <si>
    <t>aniquilas</t>
  </si>
  <si>
    <t>/anikilas/</t>
  </si>
  <si>
    <t>anikilas</t>
  </si>
  <si>
    <t>anisal</t>
  </si>
  <si>
    <t>/anisal/</t>
  </si>
  <si>
    <t>anisar</t>
  </si>
  <si>
    <t>/anisaɾ/</t>
  </si>
  <si>
    <t>anula</t>
  </si>
  <si>
    <t>/anula/</t>
  </si>
  <si>
    <t>anulan</t>
  </si>
  <si>
    <t>/anulan/</t>
  </si>
  <si>
    <t>anular</t>
  </si>
  <si>
    <t>/anulaɾ/</t>
  </si>
  <si>
    <t>invalidate</t>
  </si>
  <si>
    <t>void</t>
  </si>
  <si>
    <t>vitiate</t>
  </si>
  <si>
    <t>neutralize</t>
  </si>
  <si>
    <t>neutralise</t>
  </si>
  <si>
    <t>nullify</t>
  </si>
  <si>
    <t>negate</t>
  </si>
  <si>
    <t>cancel_out</t>
  </si>
  <si>
    <t>wipe_out</t>
  </si>
  <si>
    <t>write_off</t>
  </si>
  <si>
    <t>overrule</t>
  </si>
  <si>
    <t>overturn</t>
  </si>
  <si>
    <t>override</t>
  </si>
  <si>
    <t>overthrow</t>
  </si>
  <si>
    <t>revoke</t>
  </si>
  <si>
    <t>annul</t>
  </si>
  <si>
    <t>countermand</t>
  </si>
  <si>
    <t>rescind</t>
  </si>
  <si>
    <t>vacate</t>
  </si>
  <si>
    <t>erase</t>
  </si>
  <si>
    <t>delete</t>
  </si>
  <si>
    <t>cancel</t>
  </si>
  <si>
    <t>quash</t>
  </si>
  <si>
    <t>avoid</t>
  </si>
  <si>
    <t>discontinue</t>
  </si>
  <si>
    <t>offset</t>
  </si>
  <si>
    <t>set_off</t>
  </si>
  <si>
    <t>black_out</t>
  </si>
  <si>
    <t>anulara</t>
  </si>
  <si>
    <t>/anulaɾa/</t>
  </si>
  <si>
    <t>anularan</t>
  </si>
  <si>
    <t>/anulaɾan/</t>
  </si>
  <si>
    <t>anularas</t>
  </si>
  <si>
    <t>/anulaɾas/</t>
  </si>
  <si>
    <t>anulas</t>
  </si>
  <si>
    <t>/anulas/</t>
  </si>
  <si>
    <t>anura</t>
  </si>
  <si>
    <t>/anuɾa/</t>
  </si>
  <si>
    <t>Salientia</t>
  </si>
  <si>
    <t>order_Salientia</t>
  </si>
  <si>
    <t>Anura</t>
  </si>
  <si>
    <t>order_Anura</t>
  </si>
  <si>
    <t>Batrachia</t>
  </si>
  <si>
    <t>order_Batrachia</t>
  </si>
  <si>
    <t>frog</t>
  </si>
  <si>
    <t>toad</t>
  </si>
  <si>
    <t>toad_frog</t>
  </si>
  <si>
    <t>anuran</t>
  </si>
  <si>
    <t>batrachian</t>
  </si>
  <si>
    <t>salientian</t>
  </si>
  <si>
    <t>anuras</t>
  </si>
  <si>
    <t>/anuɾas/</t>
  </si>
  <si>
    <t>añagaza</t>
  </si>
  <si>
    <t>/aɲaɣasa/</t>
  </si>
  <si>
    <t>añakasa</t>
  </si>
  <si>
    <t>añagazas</t>
  </si>
  <si>
    <t>/aɲaɣasas/</t>
  </si>
  <si>
    <t>añakasas</t>
  </si>
  <si>
    <t>añil</t>
  </si>
  <si>
    <t>/aɲil/</t>
  </si>
  <si>
    <t>añila</t>
  </si>
  <si>
    <t>/aɲila/</t>
  </si>
  <si>
    <t>añilan</t>
  </si>
  <si>
    <t>/aɲilan/</t>
  </si>
  <si>
    <t>añilar</t>
  </si>
  <si>
    <t>/aɲilaɾ/</t>
  </si>
  <si>
    <t>añilara</t>
  </si>
  <si>
    <t>/aɲilaɾa/</t>
  </si>
  <si>
    <t>añilaran</t>
  </si>
  <si>
    <t>/aɲilaɾan/</t>
  </si>
  <si>
    <t>añilaras</t>
  </si>
  <si>
    <t>/aɲilaɾas/</t>
  </si>
  <si>
    <t>añilas</t>
  </si>
  <si>
    <t>/aɲilas/</t>
  </si>
  <si>
    <t>apaga</t>
  </si>
  <si>
    <t>/apaɣa/</t>
  </si>
  <si>
    <t>apaka</t>
  </si>
  <si>
    <t>apagan</t>
  </si>
  <si>
    <t>/apaɣan/</t>
  </si>
  <si>
    <t>apakan</t>
  </si>
  <si>
    <t>apagar</t>
  </si>
  <si>
    <t>/apaɣaɾ/</t>
  </si>
  <si>
    <t>apakar</t>
  </si>
  <si>
    <t>slack</t>
  </si>
  <si>
    <t>slake</t>
  </si>
  <si>
    <t>stub_out</t>
  </si>
  <si>
    <t>crush_out</t>
  </si>
  <si>
    <t>extinguish</t>
  </si>
  <si>
    <t>press_out</t>
  </si>
  <si>
    <t>switch_off</t>
  </si>
  <si>
    <t>turn_off</t>
  </si>
  <si>
    <t>turn_out</t>
  </si>
  <si>
    <t>smother</t>
  </si>
  <si>
    <t>put_out</t>
  </si>
  <si>
    <t>snuff_out</t>
  </si>
  <si>
    <t>blow_out</t>
  </si>
  <si>
    <t>quench</t>
  </si>
  <si>
    <t>apagara</t>
  </si>
  <si>
    <t>/apaɣaɾa/</t>
  </si>
  <si>
    <t>apakara</t>
  </si>
  <si>
    <t>apagaran</t>
  </si>
  <si>
    <t>/apaɣaɾan/</t>
  </si>
  <si>
    <t>apakaran</t>
  </si>
  <si>
    <t>apagaras</t>
  </si>
  <si>
    <t>/apaɣaɾas/</t>
  </si>
  <si>
    <t>apakaras</t>
  </si>
  <si>
    <t>apagas</t>
  </si>
  <si>
    <t>/apaɣas/</t>
  </si>
  <si>
    <t>apakas</t>
  </si>
  <si>
    <t>apaña</t>
  </si>
  <si>
    <t>/apaɲa/</t>
  </si>
  <si>
    <t>apañan</t>
  </si>
  <si>
    <t>/apaɲan/</t>
  </si>
  <si>
    <t>apañar</t>
  </si>
  <si>
    <t>/apaɲaɾ/</t>
  </si>
  <si>
    <t>apañara</t>
  </si>
  <si>
    <t>/apaɲaɾa/</t>
  </si>
  <si>
    <t>apañaran</t>
  </si>
  <si>
    <t>/apaɲaɾan/</t>
  </si>
  <si>
    <t>apañaras</t>
  </si>
  <si>
    <t>/apaɲaɾas/</t>
  </si>
  <si>
    <t>apañas</t>
  </si>
  <si>
    <t>/apaɲas/</t>
  </si>
  <si>
    <t>apara</t>
  </si>
  <si>
    <t>/apaɾa/</t>
  </si>
  <si>
    <t>apar</t>
  </si>
  <si>
    <t>three-banded_armadillo</t>
  </si>
  <si>
    <t>Tolypeutes_tricinctus</t>
  </si>
  <si>
    <t>aparan</t>
  </si>
  <si>
    <t>/apaɾan/</t>
  </si>
  <si>
    <t>aparar</t>
  </si>
  <si>
    <t>/apaɾaɾ/</t>
  </si>
  <si>
    <t>aparara</t>
  </si>
  <si>
    <t>/apaɾaɾa/</t>
  </si>
  <si>
    <t>apararan</t>
  </si>
  <si>
    <t>/apaɾaɾan/</t>
  </si>
  <si>
    <t>apararas</t>
  </si>
  <si>
    <t>/apaɾaɾas/</t>
  </si>
  <si>
    <t>aparas</t>
  </si>
  <si>
    <t>/apaɾas/</t>
  </si>
  <si>
    <t>aparata</t>
  </si>
  <si>
    <t>/apaɾata/</t>
  </si>
  <si>
    <t>aparatan</t>
  </si>
  <si>
    <t>/apaɾatan/</t>
  </si>
  <si>
    <t>aparatar</t>
  </si>
  <si>
    <t>/apaɾataɾ/</t>
  </si>
  <si>
    <t>aparatara</t>
  </si>
  <si>
    <t>/apaɾataɾa/</t>
  </si>
  <si>
    <t>aparataran</t>
  </si>
  <si>
    <t>/apaɾataɾan/</t>
  </si>
  <si>
    <t>aparataras</t>
  </si>
  <si>
    <t>/apaɾataɾas/</t>
  </si>
  <si>
    <t>aparatas</t>
  </si>
  <si>
    <t>/apaɾatas/</t>
  </si>
  <si>
    <t>apila</t>
  </si>
  <si>
    <t>/apila/</t>
  </si>
  <si>
    <t>apilan</t>
  </si>
  <si>
    <t>/apilan/</t>
  </si>
  <si>
    <t>apilar</t>
  </si>
  <si>
    <t>/apilaɾ/</t>
  </si>
  <si>
    <t>apilara</t>
  </si>
  <si>
    <t>/apilaɾa/</t>
  </si>
  <si>
    <t>apilaran</t>
  </si>
  <si>
    <t>/apilaɾan/</t>
  </si>
  <si>
    <t>apilaras</t>
  </si>
  <si>
    <t>/apilaɾas/</t>
  </si>
  <si>
    <t>apilas</t>
  </si>
  <si>
    <t>/apilas/</t>
  </si>
  <si>
    <t>apiña</t>
  </si>
  <si>
    <t>/apiɲa/</t>
  </si>
  <si>
    <t>apiñan</t>
  </si>
  <si>
    <t>/apiɲan/</t>
  </si>
  <si>
    <t>apiñar</t>
  </si>
  <si>
    <t>/apiɲaɾ/</t>
  </si>
  <si>
    <t>crowd_together</t>
  </si>
  <si>
    <t>apiñara</t>
  </si>
  <si>
    <t>/apiɲaɾa/</t>
  </si>
  <si>
    <t>apiñaran</t>
  </si>
  <si>
    <t>/apiɲaɾan/</t>
  </si>
  <si>
    <t>apiñaras</t>
  </si>
  <si>
    <t>/apiɲaɾas/</t>
  </si>
  <si>
    <t>apiñas</t>
  </si>
  <si>
    <t>/apiɲas/</t>
  </si>
  <si>
    <t>apuña</t>
  </si>
  <si>
    <t>/apuɲa/</t>
  </si>
  <si>
    <t>apuñala</t>
  </si>
  <si>
    <t>/apuɲala/</t>
  </si>
  <si>
    <t>apuñalan</t>
  </si>
  <si>
    <t>/apuɲalan/</t>
  </si>
  <si>
    <t>apuñalar</t>
  </si>
  <si>
    <t>/apuɲalaɾ/</t>
  </si>
  <si>
    <t>jab</t>
  </si>
  <si>
    <t>prod</t>
  </si>
  <si>
    <t>stab</t>
  </si>
  <si>
    <t>dig</t>
  </si>
  <si>
    <t>poniard</t>
  </si>
  <si>
    <t>apuñalara</t>
  </si>
  <si>
    <t>/apuɲalaɾa/</t>
  </si>
  <si>
    <t>apuñalaran</t>
  </si>
  <si>
    <t>/apuɲalaɾan/</t>
  </si>
  <si>
    <t>apuñalaras</t>
  </si>
  <si>
    <t>/apuɲalaɾas/</t>
  </si>
  <si>
    <t>apuñalas</t>
  </si>
  <si>
    <t>/apuɲalas/</t>
  </si>
  <si>
    <t>apuñan</t>
  </si>
  <si>
    <t>/apuɲan/</t>
  </si>
  <si>
    <t>apuñar</t>
  </si>
  <si>
    <t>/apuɲaɾ/</t>
  </si>
  <si>
    <t>apuñara</t>
  </si>
  <si>
    <t>/apuɲaɾa/</t>
  </si>
  <si>
    <t>apuñaran</t>
  </si>
  <si>
    <t>/apuɲaɾan/</t>
  </si>
  <si>
    <t>apuñaras</t>
  </si>
  <si>
    <t>/apuɲaɾas/</t>
  </si>
  <si>
    <t>apuñas</t>
  </si>
  <si>
    <t>/apuɲas/</t>
  </si>
  <si>
    <t>apura</t>
  </si>
  <si>
    <t>/apuɾa/</t>
  </si>
  <si>
    <t>apuran</t>
  </si>
  <si>
    <t>/apuɾan/</t>
  </si>
  <si>
    <t>apurar</t>
  </si>
  <si>
    <t>/apuɾaɾ/</t>
  </si>
  <si>
    <t>bolt</t>
  </si>
  <si>
    <t>apurara</t>
  </si>
  <si>
    <t>/apuɾaɾa/</t>
  </si>
  <si>
    <t>apuraran</t>
  </si>
  <si>
    <t>/apuɾaɾan/</t>
  </si>
  <si>
    <t>apuraras</t>
  </si>
  <si>
    <t>/apuɾaɾas/</t>
  </si>
  <si>
    <t>apuras</t>
  </si>
  <si>
    <t>/apuɾas/</t>
  </si>
  <si>
    <t>aquilata</t>
  </si>
  <si>
    <t>/akilata/</t>
  </si>
  <si>
    <t>akilata</t>
  </si>
  <si>
    <t>aquilatan</t>
  </si>
  <si>
    <t>/akilatan/</t>
  </si>
  <si>
    <t>akilatan</t>
  </si>
  <si>
    <t>aquilatar</t>
  </si>
  <si>
    <t>/akilataɾ/</t>
  </si>
  <si>
    <t>akilatar</t>
  </si>
  <si>
    <t>aquilatara</t>
  </si>
  <si>
    <t>/akilataɾa/</t>
  </si>
  <si>
    <t>akilatara</t>
  </si>
  <si>
    <t>aquilataran</t>
  </si>
  <si>
    <t>/akilataɾan/</t>
  </si>
  <si>
    <t>akilataran</t>
  </si>
  <si>
    <t>aquilataras</t>
  </si>
  <si>
    <t>/akilataɾas/</t>
  </si>
  <si>
    <t>akilataras</t>
  </si>
  <si>
    <t>aquilatas</t>
  </si>
  <si>
    <t>/akilatas/</t>
  </si>
  <si>
    <t>akilatas</t>
  </si>
  <si>
    <t>aquilina</t>
  </si>
  <si>
    <t>/akilina/</t>
  </si>
  <si>
    <t>akilina</t>
  </si>
  <si>
    <t>aquilinas</t>
  </si>
  <si>
    <t>/akilinas/</t>
  </si>
  <si>
    <t>akilinas</t>
  </si>
  <si>
    <t>Ara</t>
  </si>
  <si>
    <t>genus_Ara</t>
  </si>
  <si>
    <t>aran</t>
  </si>
  <si>
    <t>/aɾan/</t>
  </si>
  <si>
    <t>arana</t>
  </si>
  <si>
    <t>/aɾana/</t>
  </si>
  <si>
    <t>aranas</t>
  </si>
  <si>
    <t>/aɾanas/</t>
  </si>
  <si>
    <t>araña</t>
  </si>
  <si>
    <t>/aɾaɲa/</t>
  </si>
  <si>
    <t>spider</t>
  </si>
  <si>
    <t>arañan</t>
  </si>
  <si>
    <t>/aɾaɲan/</t>
  </si>
  <si>
    <t>arañar</t>
  </si>
  <si>
    <t>/aɾaɲaɾ/</t>
  </si>
  <si>
    <t>graze</t>
  </si>
  <si>
    <t>rake</t>
  </si>
  <si>
    <t>scrape</t>
  </si>
  <si>
    <t>grate</t>
  </si>
  <si>
    <t>claw</t>
  </si>
  <si>
    <t>arañara</t>
  </si>
  <si>
    <t>/aɾaɲaɾa/</t>
  </si>
  <si>
    <t>arañaran</t>
  </si>
  <si>
    <t>/aɾaɲaɾan/</t>
  </si>
  <si>
    <t>arañaras</t>
  </si>
  <si>
    <t>/aɾaɲaɾas/</t>
  </si>
  <si>
    <t>arañas</t>
  </si>
  <si>
    <t>/aɾaɲas/</t>
  </si>
  <si>
    <t>arañil</t>
  </si>
  <si>
    <t>/aɾaɲil/</t>
  </si>
  <si>
    <t>arar</t>
  </si>
  <si>
    <t>/aɾaɾ/</t>
  </si>
  <si>
    <t>arara</t>
  </si>
  <si>
    <t>/aɾaɾa/</t>
  </si>
  <si>
    <t>araran</t>
  </si>
  <si>
    <t>/aɾaɾan/</t>
  </si>
  <si>
    <t>araras</t>
  </si>
  <si>
    <t>/aɾaɾas/</t>
  </si>
  <si>
    <t>aras</t>
  </si>
  <si>
    <t>/aɾas/</t>
  </si>
  <si>
    <t>arica</t>
  </si>
  <si>
    <t>arican</t>
  </si>
  <si>
    <t>/aɾikan/</t>
  </si>
  <si>
    <t>arikan</t>
  </si>
  <si>
    <t>aricar</t>
  </si>
  <si>
    <t>/aɾikaɾ/</t>
  </si>
  <si>
    <t>arikar</t>
  </si>
  <si>
    <t>aricara</t>
  </si>
  <si>
    <t>/aɾikaɾa/</t>
  </si>
  <si>
    <t>arikara</t>
  </si>
  <si>
    <t>aricaran</t>
  </si>
  <si>
    <t>/aɾikaɾan/</t>
  </si>
  <si>
    <t>arikaran</t>
  </si>
  <si>
    <t>aricaras</t>
  </si>
  <si>
    <t>/aɾikaɾas/</t>
  </si>
  <si>
    <t>arikaras</t>
  </si>
  <si>
    <t>aricas</t>
  </si>
  <si>
    <t>/aɾikas/</t>
  </si>
  <si>
    <t>arikas</t>
  </si>
  <si>
    <t>adept</t>
  </si>
  <si>
    <t>sensation</t>
  </si>
  <si>
    <t>maven</t>
  </si>
  <si>
    <t>mavin</t>
  </si>
  <si>
    <t>virtuoso</t>
  </si>
  <si>
    <t>genius</t>
  </si>
  <si>
    <t>hotshot</t>
  </si>
  <si>
    <t>superstar</t>
  </si>
  <si>
    <t>whiz</t>
  </si>
  <si>
    <t>whizz</t>
  </si>
  <si>
    <t>wizard</t>
  </si>
  <si>
    <t>wiz</t>
  </si>
  <si>
    <t>asa</t>
  </si>
  <si>
    <t>/asa/</t>
  </si>
  <si>
    <t>handle</t>
  </si>
  <si>
    <t>handgrip</t>
  </si>
  <si>
    <t>asar</t>
  </si>
  <si>
    <t>/asaɾ/</t>
  </si>
  <si>
    <t>asara</t>
  </si>
  <si>
    <t>/asaɾa/</t>
  </si>
  <si>
    <t>asaran</t>
  </si>
  <si>
    <t>/asaɾan/</t>
  </si>
  <si>
    <t>asaras</t>
  </si>
  <si>
    <t>/asaɾas/</t>
  </si>
  <si>
    <t>asarina</t>
  </si>
  <si>
    <t>/asaɾina/</t>
  </si>
  <si>
    <t>asarinas</t>
  </si>
  <si>
    <t>/asaɾinas/</t>
  </si>
  <si>
    <t>asas</t>
  </si>
  <si>
    <t>/asas/</t>
  </si>
  <si>
    <t>asaz</t>
  </si>
  <si>
    <t>asila</t>
  </si>
  <si>
    <t>/asila/</t>
  </si>
  <si>
    <t>asilan</t>
  </si>
  <si>
    <t>/asilan/</t>
  </si>
  <si>
    <t>asilar</t>
  </si>
  <si>
    <t>/asilaɾ/</t>
  </si>
  <si>
    <t>asilara</t>
  </si>
  <si>
    <t>/asilaɾa/</t>
  </si>
  <si>
    <t>asilaran</t>
  </si>
  <si>
    <t>/asilaɾan/</t>
  </si>
  <si>
    <t>asilaras</t>
  </si>
  <si>
    <t>/asilaɾas/</t>
  </si>
  <si>
    <t>asilas</t>
  </si>
  <si>
    <t>/asilas/</t>
  </si>
  <si>
    <t>asilla</t>
  </si>
  <si>
    <t>/asiʎa/</t>
  </si>
  <si>
    <t>asillas</t>
  </si>
  <si>
    <t>/asiʎas/</t>
  </si>
  <si>
    <t>asimilan</t>
  </si>
  <si>
    <t>/asimilan/</t>
  </si>
  <si>
    <t>asimilar</t>
  </si>
  <si>
    <t>/asimilaɾ/</t>
  </si>
  <si>
    <t>assimilate</t>
  </si>
  <si>
    <t>digest</t>
  </si>
  <si>
    <t>absorb</t>
  </si>
  <si>
    <t>ingest</t>
  </si>
  <si>
    <t>asimilara</t>
  </si>
  <si>
    <t>/asimilaɾa/</t>
  </si>
  <si>
    <t>asimilaran</t>
  </si>
  <si>
    <t>/asimilaɾan/</t>
  </si>
  <si>
    <t>asimilaras</t>
  </si>
  <si>
    <t>/asimilaɾas/</t>
  </si>
  <si>
    <t>asina</t>
  </si>
  <si>
    <t>/asina/</t>
  </si>
  <si>
    <t>asinas</t>
  </si>
  <si>
    <t>/asinas/</t>
  </si>
  <si>
    <t>asir</t>
  </si>
  <si>
    <t>/asiɾ/</t>
  </si>
  <si>
    <t>seize</t>
  </si>
  <si>
    <t>prehend</t>
  </si>
  <si>
    <t>clutch</t>
  </si>
  <si>
    <t>grasp</t>
  </si>
  <si>
    <t>hold_on</t>
  </si>
  <si>
    <t>clasp</t>
  </si>
  <si>
    <t>ply</t>
  </si>
  <si>
    <t>grapple</t>
  </si>
  <si>
    <t>asuma</t>
  </si>
  <si>
    <t>/asuma/</t>
  </si>
  <si>
    <t>asuman</t>
  </si>
  <si>
    <t>/asuman/</t>
  </si>
  <si>
    <t>asumas</t>
  </si>
  <si>
    <t>/asumas/</t>
  </si>
  <si>
    <t>asumir</t>
  </si>
  <si>
    <t>/asumiɾ/</t>
  </si>
  <si>
    <t>assume</t>
  </si>
  <si>
    <t>acquire</t>
  </si>
  <si>
    <t>adopt</t>
  </si>
  <si>
    <t>take_on</t>
  </si>
  <si>
    <t>take</t>
  </si>
  <si>
    <t>take_over</t>
  </si>
  <si>
    <t>bear</t>
  </si>
  <si>
    <t>accept</t>
  </si>
  <si>
    <t>fill</t>
  </si>
  <si>
    <t>occupy</t>
  </si>
  <si>
    <t>asura</t>
  </si>
  <si>
    <t>/asuɾa/</t>
  </si>
  <si>
    <t>asuran</t>
  </si>
  <si>
    <t>/asuɾan/</t>
  </si>
  <si>
    <t>asurar</t>
  </si>
  <si>
    <t>/asuɾaɾ/</t>
  </si>
  <si>
    <t>asurara</t>
  </si>
  <si>
    <t>/asuɾaɾa/</t>
  </si>
  <si>
    <t>asuraran</t>
  </si>
  <si>
    <t>/asuɾaɾan/</t>
  </si>
  <si>
    <t>asuraras</t>
  </si>
  <si>
    <t>/asuɾaɾas/</t>
  </si>
  <si>
    <t>asuras</t>
  </si>
  <si>
    <t>/asuɾas/</t>
  </si>
  <si>
    <t>asutila</t>
  </si>
  <si>
    <t>/asutila/</t>
  </si>
  <si>
    <t>asutilan</t>
  </si>
  <si>
    <t>/asutilan/</t>
  </si>
  <si>
    <t>asutilar</t>
  </si>
  <si>
    <t>/asutilaɾ/</t>
  </si>
  <si>
    <t>asutilara</t>
  </si>
  <si>
    <t>/asutilaɾa/</t>
  </si>
  <si>
    <t>asutilaran</t>
  </si>
  <si>
    <t>/asutilaɾan/</t>
  </si>
  <si>
    <t>asutilaras</t>
  </si>
  <si>
    <t>/asutilaɾas/</t>
  </si>
  <si>
    <t>asutilas</t>
  </si>
  <si>
    <t>/asutilas/</t>
  </si>
  <si>
    <t>ata</t>
  </si>
  <si>
    <t>/ata/</t>
  </si>
  <si>
    <t>ataca</t>
  </si>
  <si>
    <t>atacamita</t>
  </si>
  <si>
    <t>/atakamita/</t>
  </si>
  <si>
    <t>atakamita</t>
  </si>
  <si>
    <t>atacamitas</t>
  </si>
  <si>
    <t>/atakamitas/</t>
  </si>
  <si>
    <t>atakamitas</t>
  </si>
  <si>
    <t>atacan</t>
  </si>
  <si>
    <t>/atakan/</t>
  </si>
  <si>
    <t>atakan</t>
  </si>
  <si>
    <t>atacar</t>
  </si>
  <si>
    <t>/atakaɾ/</t>
  </si>
  <si>
    <t>atakar</t>
  </si>
  <si>
    <t>lash_out</t>
  </si>
  <si>
    <t>snipe</t>
  </si>
  <si>
    <t>aggress</t>
  </si>
  <si>
    <t>atacara</t>
  </si>
  <si>
    <t>/atakaɾa/</t>
  </si>
  <si>
    <t>atakara</t>
  </si>
  <si>
    <t>atacaran</t>
  </si>
  <si>
    <t>/atakaɾan/</t>
  </si>
  <si>
    <t>atakaran</t>
  </si>
  <si>
    <t>atacaras</t>
  </si>
  <si>
    <t>/atakaɾas/</t>
  </si>
  <si>
    <t>atakaras</t>
  </si>
  <si>
    <t>atacas</t>
  </si>
  <si>
    <t>atacir</t>
  </si>
  <si>
    <t>/atasiɾ/</t>
  </si>
  <si>
    <t>atasir</t>
  </si>
  <si>
    <t>ataja</t>
  </si>
  <si>
    <t>/ataxa/</t>
  </si>
  <si>
    <t>atajan</t>
  </si>
  <si>
    <t>/ataxan/</t>
  </si>
  <si>
    <t>atajar</t>
  </si>
  <si>
    <t>/ataxaɾ/</t>
  </si>
  <si>
    <t>bypass</t>
  </si>
  <si>
    <t>short-circuit</t>
  </si>
  <si>
    <t>go_around</t>
  </si>
  <si>
    <t>get_around</t>
  </si>
  <si>
    <t>debar</t>
  </si>
  <si>
    <t>forefend</t>
  </si>
  <si>
    <t>forfend</t>
  </si>
  <si>
    <t>obviate</t>
  </si>
  <si>
    <t>deflect</t>
  </si>
  <si>
    <t>avert</t>
  </si>
  <si>
    <t>head_off</t>
  </si>
  <si>
    <t>stave_off</t>
  </si>
  <si>
    <t>fend_off</t>
  </si>
  <si>
    <t>ward_off</t>
  </si>
  <si>
    <t>atajara</t>
  </si>
  <si>
    <t>/ataxaɾa/</t>
  </si>
  <si>
    <t>atajaran</t>
  </si>
  <si>
    <t>/ataxaɾan/</t>
  </si>
  <si>
    <t>atajaras</t>
  </si>
  <si>
    <t>/ataxaɾas/</t>
  </si>
  <si>
    <t>atajas</t>
  </si>
  <si>
    <t>/ataxas/</t>
  </si>
  <si>
    <t>atalaja</t>
  </si>
  <si>
    <t>/atalaxa/</t>
  </si>
  <si>
    <t>atalaka</t>
  </si>
  <si>
    <t>atalajan</t>
  </si>
  <si>
    <t>/atalaxan/</t>
  </si>
  <si>
    <t>atalakan</t>
  </si>
  <si>
    <t>atalajar</t>
  </si>
  <si>
    <t>/atalaxaɾ/</t>
  </si>
  <si>
    <t>atalakar</t>
  </si>
  <si>
    <t>atalajara</t>
  </si>
  <si>
    <t>/atalaxaɾa/</t>
  </si>
  <si>
    <t>atalakara</t>
  </si>
  <si>
    <t>atalajaran</t>
  </si>
  <si>
    <t>/atalaxaɾan/</t>
  </si>
  <si>
    <t>atalakaran</t>
  </si>
  <si>
    <t>atalajaras</t>
  </si>
  <si>
    <t>/atalaxaɾas/</t>
  </si>
  <si>
    <t>atalakaras</t>
  </si>
  <si>
    <t>atalajas</t>
  </si>
  <si>
    <t>/atalaxas/</t>
  </si>
  <si>
    <t>atalakas</t>
  </si>
  <si>
    <t>ataluza</t>
  </si>
  <si>
    <t>/atalusa/</t>
  </si>
  <si>
    <t>atalusa</t>
  </si>
  <si>
    <t>ataluzan</t>
  </si>
  <si>
    <t>/atalusan/</t>
  </si>
  <si>
    <t>atalusan</t>
  </si>
  <si>
    <t>ataluzar</t>
  </si>
  <si>
    <t>/atalusaɾ/</t>
  </si>
  <si>
    <t>atalusar</t>
  </si>
  <si>
    <t>ataluzara</t>
  </si>
  <si>
    <t>/atalusaɾa/</t>
  </si>
  <si>
    <t>atalusara</t>
  </si>
  <si>
    <t>ataluzaran</t>
  </si>
  <si>
    <t>/atalusaɾan/</t>
  </si>
  <si>
    <t>atalusaran</t>
  </si>
  <si>
    <t>ataluzaras</t>
  </si>
  <si>
    <t>/atalusaɾas/</t>
  </si>
  <si>
    <t>atalusaras</t>
  </si>
  <si>
    <t>ataluzas</t>
  </si>
  <si>
    <t>/atalusas/</t>
  </si>
  <si>
    <t>atalusas</t>
  </si>
  <si>
    <t>ataquiza</t>
  </si>
  <si>
    <t>/atakisa/</t>
  </si>
  <si>
    <t>atakisa</t>
  </si>
  <si>
    <t>ataquizan</t>
  </si>
  <si>
    <t>/atakisan/</t>
  </si>
  <si>
    <t>atakisan</t>
  </si>
  <si>
    <t>ataquizar</t>
  </si>
  <si>
    <t>/atakisaɾ/</t>
  </si>
  <si>
    <t>atakisar</t>
  </si>
  <si>
    <t>ataquizara</t>
  </si>
  <si>
    <t>/atakisaɾa/</t>
  </si>
  <si>
    <t>atakisara</t>
  </si>
  <si>
    <t>ataquizaran</t>
  </si>
  <si>
    <t>/atakisaɾan/</t>
  </si>
  <si>
    <t>atakisaran</t>
  </si>
  <si>
    <t>ataquizaras</t>
  </si>
  <si>
    <t>/atakisaɾas/</t>
  </si>
  <si>
    <t>atakisaras</t>
  </si>
  <si>
    <t>ataquizas</t>
  </si>
  <si>
    <t>/atakisas/</t>
  </si>
  <si>
    <t>atakisas</t>
  </si>
  <si>
    <t>atar</t>
  </si>
  <si>
    <t>/ataɾ/</t>
  </si>
  <si>
    <t>tighten</t>
  </si>
  <si>
    <t>fasten</t>
  </si>
  <si>
    <t>tie_down</t>
  </si>
  <si>
    <t>tie</t>
  </si>
  <si>
    <t>bind</t>
  </si>
  <si>
    <t>tie_up</t>
  </si>
  <si>
    <t>truss</t>
  </si>
  <si>
    <t>adhere</t>
  </si>
  <si>
    <t>hold_fast</t>
  </si>
  <si>
    <t>stick</t>
  </si>
  <si>
    <t>stick_to</t>
  </si>
  <si>
    <t>atara</t>
  </si>
  <si>
    <t>/ataɾa/</t>
  </si>
  <si>
    <t>ataran</t>
  </si>
  <si>
    <t>/ataɾan/</t>
  </si>
  <si>
    <t>ataras</t>
  </si>
  <si>
    <t>/ataɾas/</t>
  </si>
  <si>
    <t>ataraza</t>
  </si>
  <si>
    <t>/ataɾasa/</t>
  </si>
  <si>
    <t>atarasa</t>
  </si>
  <si>
    <t>atarazan</t>
  </si>
  <si>
    <t>/ataɾasan/</t>
  </si>
  <si>
    <t>atarasan</t>
  </si>
  <si>
    <t>atarazar</t>
  </si>
  <si>
    <t>/ataɾasaɾ/</t>
  </si>
  <si>
    <t>atarasar</t>
  </si>
  <si>
    <t>atarazara</t>
  </si>
  <si>
    <t>/ataɾasaɾa/</t>
  </si>
  <si>
    <t>atarasara</t>
  </si>
  <si>
    <t>atarazaran</t>
  </si>
  <si>
    <t>/ataɾasaɾan/</t>
  </si>
  <si>
    <t>atarasaran</t>
  </si>
  <si>
    <t>atarazaras</t>
  </si>
  <si>
    <t>/ataɾasaɾas/</t>
  </si>
  <si>
    <t>atarasaras</t>
  </si>
  <si>
    <t>atarazas</t>
  </si>
  <si>
    <t>/ataɾasas/</t>
  </si>
  <si>
    <t>atarasas</t>
  </si>
  <si>
    <t>ataruga</t>
  </si>
  <si>
    <t>/ataɾuɣa/</t>
  </si>
  <si>
    <t>ataruka</t>
  </si>
  <si>
    <t>atarugan</t>
  </si>
  <si>
    <t>/ataɾuɣan/</t>
  </si>
  <si>
    <t>atarukan</t>
  </si>
  <si>
    <t>atarugar</t>
  </si>
  <si>
    <t>/ataɾuɣaɾ/</t>
  </si>
  <si>
    <t>atarukar</t>
  </si>
  <si>
    <t>peg</t>
  </si>
  <si>
    <t>atarugara</t>
  </si>
  <si>
    <t>/ataɾuɣaɾa/</t>
  </si>
  <si>
    <t>atarukara</t>
  </si>
  <si>
    <t>atarugaran</t>
  </si>
  <si>
    <t>/ataɾuɣaɾan/</t>
  </si>
  <si>
    <t>atarukaran</t>
  </si>
  <si>
    <t>atarugaras</t>
  </si>
  <si>
    <t>/ataɾuɣaɾas/</t>
  </si>
  <si>
    <t>atarukaras</t>
  </si>
  <si>
    <t>atarugas</t>
  </si>
  <si>
    <t>/ataɾuɣas/</t>
  </si>
  <si>
    <t>atarukas</t>
  </si>
  <si>
    <t>atina</t>
  </si>
  <si>
    <t>/atina/</t>
  </si>
  <si>
    <t>atinan</t>
  </si>
  <si>
    <t>/atinan/</t>
  </si>
  <si>
    <t>atinar</t>
  </si>
  <si>
    <t>/atinaɾ/</t>
  </si>
  <si>
    <t>guess</t>
  </si>
  <si>
    <t>infer</t>
  </si>
  <si>
    <t>atinara</t>
  </si>
  <si>
    <t>/atinaɾa/</t>
  </si>
  <si>
    <t>atinaran</t>
  </si>
  <si>
    <t>/atinaɾan/</t>
  </si>
  <si>
    <t>atinaras</t>
  </si>
  <si>
    <t>/atinaɾas/</t>
  </si>
  <si>
    <t>atinas</t>
  </si>
  <si>
    <t>/atinas/</t>
  </si>
  <si>
    <t>atiza</t>
  </si>
  <si>
    <t>/atisa/</t>
  </si>
  <si>
    <t>atisa</t>
  </si>
  <si>
    <t>atizan</t>
  </si>
  <si>
    <t>/atisan/</t>
  </si>
  <si>
    <t>atisan</t>
  </si>
  <si>
    <t>atizar</t>
  </si>
  <si>
    <t>/atisaɾ/</t>
  </si>
  <si>
    <t>atisar</t>
  </si>
  <si>
    <t>atizara</t>
  </si>
  <si>
    <t>/atisaɾa/</t>
  </si>
  <si>
    <t>atisara</t>
  </si>
  <si>
    <t>atizaran</t>
  </si>
  <si>
    <t>/atisaɾan/</t>
  </si>
  <si>
    <t>atisaran</t>
  </si>
  <si>
    <t>atizaras</t>
  </si>
  <si>
    <t>/atisaɾas/</t>
  </si>
  <si>
    <t>atisaras</t>
  </si>
  <si>
    <t>atizas</t>
  </si>
  <si>
    <t>/atisas/</t>
  </si>
  <si>
    <t>atisas</t>
  </si>
  <si>
    <t>aturulla</t>
  </si>
  <si>
    <t>/atuɾuʎa/</t>
  </si>
  <si>
    <t>aturullan</t>
  </si>
  <si>
    <t>/atuɾuʎan/</t>
  </si>
  <si>
    <t>aturullar</t>
  </si>
  <si>
    <t>/atuɾuʎaɾ/</t>
  </si>
  <si>
    <t>aturullara</t>
  </si>
  <si>
    <t>/atuɾuʎaɾa/</t>
  </si>
  <si>
    <t>aturullaran</t>
  </si>
  <si>
    <t>/atuɾuʎaɾan/</t>
  </si>
  <si>
    <t>aturullaras</t>
  </si>
  <si>
    <t>/atuɾuʎaɾas/</t>
  </si>
  <si>
    <t>aturullas</t>
  </si>
  <si>
    <t>/atuɾuʎas/</t>
  </si>
  <si>
    <t>atusa</t>
  </si>
  <si>
    <t>/atusa/</t>
  </si>
  <si>
    <t>atusan</t>
  </si>
  <si>
    <t>/atusan/</t>
  </si>
  <si>
    <t>atusar</t>
  </si>
  <si>
    <t>/atusaɾ/</t>
  </si>
  <si>
    <t>dress</t>
  </si>
  <si>
    <t>arrange</t>
  </si>
  <si>
    <t>do</t>
  </si>
  <si>
    <t>coif</t>
  </si>
  <si>
    <t>coiffe</t>
  </si>
  <si>
    <t>coiffure</t>
  </si>
  <si>
    <t>atusara</t>
  </si>
  <si>
    <t>/atusaɾa/</t>
  </si>
  <si>
    <t>atusaran</t>
  </si>
  <si>
    <t>/atusaɾan/</t>
  </si>
  <si>
    <t>atusaras</t>
  </si>
  <si>
    <t>/atusaɾas/</t>
  </si>
  <si>
    <t>atusas</t>
  </si>
  <si>
    <t>/atusas/</t>
  </si>
  <si>
    <t>azacana</t>
  </si>
  <si>
    <t>/asakana/</t>
  </si>
  <si>
    <t>asakana</t>
  </si>
  <si>
    <t>azacanas</t>
  </si>
  <si>
    <t>/asakanas/</t>
  </si>
  <si>
    <t>asakanas</t>
  </si>
  <si>
    <t>azar</t>
  </si>
  <si>
    <t>coincidence</t>
  </si>
  <si>
    <t>happenstance</t>
  </si>
  <si>
    <t>luck</t>
  </si>
  <si>
    <t>fortune</t>
  </si>
  <si>
    <t>chance</t>
  </si>
  <si>
    <t>azara</t>
  </si>
  <si>
    <t>azaran</t>
  </si>
  <si>
    <t>azarar</t>
  </si>
  <si>
    <t>/asaɾaɾ/</t>
  </si>
  <si>
    <t>asarar</t>
  </si>
  <si>
    <t>azarara</t>
  </si>
  <si>
    <t>/asaɾaɾa/</t>
  </si>
  <si>
    <t>asarara</t>
  </si>
  <si>
    <t>azararan</t>
  </si>
  <si>
    <t>/asaɾaɾan/</t>
  </si>
  <si>
    <t>asararan</t>
  </si>
  <si>
    <t>azararas</t>
  </si>
  <si>
    <t>/asaɾaɾas/</t>
  </si>
  <si>
    <t>asararas</t>
  </si>
  <si>
    <t>azaras</t>
  </si>
  <si>
    <t>azimutal</t>
  </si>
  <si>
    <t>azucara</t>
  </si>
  <si>
    <t>/asukaɾa/</t>
  </si>
  <si>
    <t>asukara</t>
  </si>
  <si>
    <t>azucaran</t>
  </si>
  <si>
    <t>/asukaɾan/</t>
  </si>
  <si>
    <t>asukaran</t>
  </si>
  <si>
    <t>azucarar</t>
  </si>
  <si>
    <t>/asukaɾaɾ/</t>
  </si>
  <si>
    <t>asukarar</t>
  </si>
  <si>
    <t>azucarara</t>
  </si>
  <si>
    <t>/asukaɾaɾa/</t>
  </si>
  <si>
    <t>asukarara</t>
  </si>
  <si>
    <t>azucararan</t>
  </si>
  <si>
    <t>/asukaɾaɾan/</t>
  </si>
  <si>
    <t>asukararan</t>
  </si>
  <si>
    <t>azucararas</t>
  </si>
  <si>
    <t>/asukaɾaɾas/</t>
  </si>
  <si>
    <t>asukararas</t>
  </si>
  <si>
    <t>azucaras</t>
  </si>
  <si>
    <t>/asukaɾas/</t>
  </si>
  <si>
    <t>asukaras</t>
  </si>
  <si>
    <t>azul</t>
  </si>
  <si>
    <t>/asul/</t>
  </si>
  <si>
    <t>asul</t>
  </si>
  <si>
    <t>blue</t>
  </si>
  <si>
    <t>bluish</t>
  </si>
  <si>
    <t>blueish</t>
  </si>
  <si>
    <t>azula</t>
  </si>
  <si>
    <t>/asula/</t>
  </si>
  <si>
    <t>asula</t>
  </si>
  <si>
    <t>azulan</t>
  </si>
  <si>
    <t>/asulan/</t>
  </si>
  <si>
    <t>asulan</t>
  </si>
  <si>
    <t>azular</t>
  </si>
  <si>
    <t>/asulaɾ/</t>
  </si>
  <si>
    <t>asular</t>
  </si>
  <si>
    <t>azulara</t>
  </si>
  <si>
    <t>/asulaɾa/</t>
  </si>
  <si>
    <t>asulara</t>
  </si>
  <si>
    <t>azularan</t>
  </si>
  <si>
    <t>/asulaɾan/</t>
  </si>
  <si>
    <t>asularan</t>
  </si>
  <si>
    <t>azularas</t>
  </si>
  <si>
    <t>/asulaɾas/</t>
  </si>
  <si>
    <t>asularas</t>
  </si>
  <si>
    <t>azulas</t>
  </si>
  <si>
    <t>/asulas/</t>
  </si>
  <si>
    <t>asulas</t>
  </si>
  <si>
    <t>azulina</t>
  </si>
  <si>
    <t>/asulina/</t>
  </si>
  <si>
    <t>asulina</t>
  </si>
  <si>
    <t>azulinas</t>
  </si>
  <si>
    <t>/asulinas/</t>
  </si>
  <si>
    <t>asulinas</t>
  </si>
  <si>
    <t>azuma</t>
  </si>
  <si>
    <t>azuman</t>
  </si>
  <si>
    <t>azumar</t>
  </si>
  <si>
    <t>/asumaɾ/</t>
  </si>
  <si>
    <t>asumar</t>
  </si>
  <si>
    <t>azumara</t>
  </si>
  <si>
    <t>/asumaɾa/</t>
  </si>
  <si>
    <t>asumara</t>
  </si>
  <si>
    <t>azumaran</t>
  </si>
  <si>
    <t>/asumaɾan/</t>
  </si>
  <si>
    <t>asumaran</t>
  </si>
  <si>
    <t>azumaras</t>
  </si>
  <si>
    <t>/asumaɾas/</t>
  </si>
  <si>
    <t>asumaras</t>
  </si>
  <si>
    <t>azumas</t>
  </si>
  <si>
    <t>azur</t>
  </si>
  <si>
    <t>/asuɾ/</t>
  </si>
  <si>
    <t>asur</t>
  </si>
  <si>
    <t>azurita</t>
  </si>
  <si>
    <t>/asuɾita/</t>
  </si>
  <si>
    <t>asurita</t>
  </si>
  <si>
    <t>azurite</t>
  </si>
  <si>
    <t>azuritas</t>
  </si>
  <si>
    <t>/asuɾitas/</t>
  </si>
  <si>
    <t>asuritas</t>
  </si>
  <si>
    <t>azuza</t>
  </si>
  <si>
    <t>/asusa/</t>
  </si>
  <si>
    <t>asusa</t>
  </si>
  <si>
    <t>azuzan</t>
  </si>
  <si>
    <t>/asusan/</t>
  </si>
  <si>
    <t>asusan</t>
  </si>
  <si>
    <t>azuzar</t>
  </si>
  <si>
    <t>/asusaɾ/</t>
  </si>
  <si>
    <t>asusar</t>
  </si>
  <si>
    <t>azuzara</t>
  </si>
  <si>
    <t>/asusaɾa/</t>
  </si>
  <si>
    <t>asusara</t>
  </si>
  <si>
    <t>azuzaran</t>
  </si>
  <si>
    <t>/asusaɾan/</t>
  </si>
  <si>
    <t>asusaran</t>
  </si>
  <si>
    <t>azuzaras</t>
  </si>
  <si>
    <t>/asusaɾas/</t>
  </si>
  <si>
    <t>asusaras</t>
  </si>
  <si>
    <t>azuzas</t>
  </si>
  <si>
    <t>/asusas/</t>
  </si>
  <si>
    <t>asusas</t>
  </si>
  <si>
    <t>ca</t>
  </si>
  <si>
    <t>cacaraña</t>
  </si>
  <si>
    <t>/kakaɾaɲa/</t>
  </si>
  <si>
    <t>kakaraña</t>
  </si>
  <si>
    <t>cacarañan</t>
  </si>
  <si>
    <t>/kakaɾaɲan/</t>
  </si>
  <si>
    <t>kakarañan</t>
  </si>
  <si>
    <t>cacarañar</t>
  </si>
  <si>
    <t>/kakaɾaɲaɾ/</t>
  </si>
  <si>
    <t>kakarañar</t>
  </si>
  <si>
    <t>cacarañara</t>
  </si>
  <si>
    <t>/kakaɾaɲaɾa/</t>
  </si>
  <si>
    <t>kakarañara</t>
  </si>
  <si>
    <t>cacarañaran</t>
  </si>
  <si>
    <t>/kakaɾaɲaɾan/</t>
  </si>
  <si>
    <t>kakarañaran</t>
  </si>
  <si>
    <t>cacarañaras</t>
  </si>
  <si>
    <t>/kakaɾaɲaɾas/</t>
  </si>
  <si>
    <t>kakarañaras</t>
  </si>
  <si>
    <t>cacarañas</t>
  </si>
  <si>
    <t>/kakaɾaɲas/</t>
  </si>
  <si>
    <t>kakarañas</t>
  </si>
  <si>
    <t>/kakas/</t>
  </si>
  <si>
    <t>kakas</t>
  </si>
  <si>
    <t>caciquil</t>
  </si>
  <si>
    <t>/kasikil/</t>
  </si>
  <si>
    <t>kasikil</t>
  </si>
  <si>
    <t>caga</t>
  </si>
  <si>
    <t>/kaɣa/</t>
  </si>
  <si>
    <t>cagalar</t>
  </si>
  <si>
    <t>/kaɣalaɾ/</t>
  </si>
  <si>
    <t>kakalar</t>
  </si>
  <si>
    <t>cagaluta</t>
  </si>
  <si>
    <t>/kaɣaluta/</t>
  </si>
  <si>
    <t>kakaluta</t>
  </si>
  <si>
    <t>cagalutas</t>
  </si>
  <si>
    <t>/kaɣalutas/</t>
  </si>
  <si>
    <t>kakalutas</t>
  </si>
  <si>
    <t>cagan</t>
  </si>
  <si>
    <t>/kaɣan/</t>
  </si>
  <si>
    <t>kakan</t>
  </si>
  <si>
    <t>cagar</t>
  </si>
  <si>
    <t>/kaɣaɾ/</t>
  </si>
  <si>
    <t>kakar</t>
  </si>
  <si>
    <t>cagara</t>
  </si>
  <si>
    <t>/kaɣaɾa/</t>
  </si>
  <si>
    <t>kakara</t>
  </si>
  <si>
    <t>cagaran</t>
  </si>
  <si>
    <t>/kaɣaɾan/</t>
  </si>
  <si>
    <t>kakaran</t>
  </si>
  <si>
    <t>cagaras</t>
  </si>
  <si>
    <t>/kaɣaɾas/</t>
  </si>
  <si>
    <t>kakaras</t>
  </si>
  <si>
    <t>cagas</t>
  </si>
  <si>
    <t>/kaɣas/</t>
  </si>
  <si>
    <t>caja</t>
  </si>
  <si>
    <t>/kaxa/</t>
  </si>
  <si>
    <t>car</t>
  </si>
  <si>
    <t>elevator_car</t>
  </si>
  <si>
    <t>checkout</t>
  </si>
  <si>
    <t>checkout_counter</t>
  </si>
  <si>
    <t>coffin</t>
  </si>
  <si>
    <t>casket</t>
  </si>
  <si>
    <t>sounding_board</t>
  </si>
  <si>
    <t>soundboard</t>
  </si>
  <si>
    <t>cajas</t>
  </si>
  <si>
    <t>/kaxas/</t>
  </si>
  <si>
    <t>cajiga</t>
  </si>
  <si>
    <t>/kaxiɣa/</t>
  </si>
  <si>
    <t>kakika</t>
  </si>
  <si>
    <t>cajigas</t>
  </si>
  <si>
    <t>/kaxiɣas/</t>
  </si>
  <si>
    <t>kakikas</t>
  </si>
  <si>
    <t>cajilla</t>
  </si>
  <si>
    <t>/kaxiʎa/</t>
  </si>
  <si>
    <t>kakilla</t>
  </si>
  <si>
    <t>cajillas</t>
  </si>
  <si>
    <t>/kaxiʎas/</t>
  </si>
  <si>
    <t>kakillas</t>
  </si>
  <si>
    <t>cajita</t>
  </si>
  <si>
    <t>/kaxita/</t>
  </si>
  <si>
    <t>kakita</t>
  </si>
  <si>
    <t>cajitas</t>
  </si>
  <si>
    <t>/kaxitas/</t>
  </si>
  <si>
    <t>kakitas</t>
  </si>
  <si>
    <t>calcium_oxide</t>
  </si>
  <si>
    <t>quicklime</t>
  </si>
  <si>
    <t>calx</t>
  </si>
  <si>
    <t>calcined_lime</t>
  </si>
  <si>
    <t>fluxing_lime</t>
  </si>
  <si>
    <t>unslaked_lime</t>
  </si>
  <si>
    <t>burnt_lime</t>
  </si>
  <si>
    <t>Calla</t>
  </si>
  <si>
    <t>genus_Calla</t>
  </si>
  <si>
    <t>calamar</t>
  </si>
  <si>
    <t>/kalamaɾ/</t>
  </si>
  <si>
    <t>kalamar</t>
  </si>
  <si>
    <t>calamina</t>
  </si>
  <si>
    <t>/kalamina/</t>
  </si>
  <si>
    <t>kalamina</t>
  </si>
  <si>
    <t>calaminar</t>
  </si>
  <si>
    <t>/kalaminaɾ/</t>
  </si>
  <si>
    <t>kalaminar</t>
  </si>
  <si>
    <t>calaminas</t>
  </si>
  <si>
    <t>/kalaminas/</t>
  </si>
  <si>
    <t>kalaminas</t>
  </si>
  <si>
    <t>calamita</t>
  </si>
  <si>
    <t>/kalamita/</t>
  </si>
  <si>
    <t>kalamita</t>
  </si>
  <si>
    <t>calamitas</t>
  </si>
  <si>
    <t>/kalamitas/</t>
  </si>
  <si>
    <t>kalamitas</t>
  </si>
  <si>
    <t>calan</t>
  </si>
  <si>
    <t>/kalan/</t>
  </si>
  <si>
    <t>kalan</t>
  </si>
  <si>
    <t>calaña</t>
  </si>
  <si>
    <t>/kalaɲa/</t>
  </si>
  <si>
    <t>kalaña</t>
  </si>
  <si>
    <t>calañas</t>
  </si>
  <si>
    <t>/kalaɲas/</t>
  </si>
  <si>
    <t>kalañas</t>
  </si>
  <si>
    <t>calar</t>
  </si>
  <si>
    <t>/kalaɾ/</t>
  </si>
  <si>
    <t>kalar</t>
  </si>
  <si>
    <t>imbrue</t>
  </si>
  <si>
    <t>drench</t>
  </si>
  <si>
    <t>sop</t>
  </si>
  <si>
    <t>soak_through</t>
  </si>
  <si>
    <t>fret</t>
  </si>
  <si>
    <t>stall</t>
  </si>
  <si>
    <t>calara</t>
  </si>
  <si>
    <t>/kalaɾa/</t>
  </si>
  <si>
    <t>kalara</t>
  </si>
  <si>
    <t>calaran</t>
  </si>
  <si>
    <t>/kalaɾan/</t>
  </si>
  <si>
    <t>kalaran</t>
  </si>
  <si>
    <t>calaras</t>
  </si>
  <si>
    <t>/kalaɾas/</t>
  </si>
  <si>
    <t>kalaras</t>
  </si>
  <si>
    <t>calicata</t>
  </si>
  <si>
    <t>/kalikata/</t>
  </si>
  <si>
    <t>kalikata</t>
  </si>
  <si>
    <t>calicatas</t>
  </si>
  <si>
    <t>/kalikatas/</t>
  </si>
  <si>
    <t>kalikatas</t>
  </si>
  <si>
    <t>calicular</t>
  </si>
  <si>
    <t>/kalikulaɾ/</t>
  </si>
  <si>
    <t>kalikular</t>
  </si>
  <si>
    <t>calycular</t>
  </si>
  <si>
    <t>calilla</t>
  </si>
  <si>
    <t>/kaliʎa/</t>
  </si>
  <si>
    <t>kalilla</t>
  </si>
  <si>
    <t>calillas</t>
  </si>
  <si>
    <t>/kaliʎas/</t>
  </si>
  <si>
    <t>kalillas</t>
  </si>
  <si>
    <t>calima</t>
  </si>
  <si>
    <t>/kalima/</t>
  </si>
  <si>
    <t>kalima</t>
  </si>
  <si>
    <t>calimas</t>
  </si>
  <si>
    <t>/kalimas/</t>
  </si>
  <si>
    <t>kalimas</t>
  </si>
  <si>
    <t>calina</t>
  </si>
  <si>
    <t>calinas</t>
  </si>
  <si>
    <t>caliza</t>
  </si>
  <si>
    <t>/kalisa/</t>
  </si>
  <si>
    <t>kalisa</t>
  </si>
  <si>
    <t>limestone</t>
  </si>
  <si>
    <t>calizas</t>
  </si>
  <si>
    <t>/kalisas/</t>
  </si>
  <si>
    <t>kalisas</t>
  </si>
  <si>
    <t>calla</t>
  </si>
  <si>
    <t>/kaʎa/</t>
  </si>
  <si>
    <t>kalla</t>
  </si>
  <si>
    <t>callan</t>
  </si>
  <si>
    <t>/kaʎan/</t>
  </si>
  <si>
    <t>kallan</t>
  </si>
  <si>
    <t>callar</t>
  </si>
  <si>
    <t>/kaʎaɾ/</t>
  </si>
  <si>
    <t>kallar</t>
  </si>
  <si>
    <t>hush</t>
  </si>
  <si>
    <t>close_up</t>
  </si>
  <si>
    <t>clam_up</t>
  </si>
  <si>
    <t>dummy_up</t>
  </si>
  <si>
    <t>shut_up</t>
  </si>
  <si>
    <t>belt_up</t>
  </si>
  <si>
    <t>button_up</t>
  </si>
  <si>
    <t>be_quiet</t>
  </si>
  <si>
    <t>keep_mum</t>
  </si>
  <si>
    <t>callara</t>
  </si>
  <si>
    <t>/kaʎaɾa/</t>
  </si>
  <si>
    <t>kallara</t>
  </si>
  <si>
    <t>callaran</t>
  </si>
  <si>
    <t>/kaʎaɾan/</t>
  </si>
  <si>
    <t>kallaran</t>
  </si>
  <si>
    <t>callaras</t>
  </si>
  <si>
    <t>/kaʎaɾas/</t>
  </si>
  <si>
    <t>kallaras</t>
  </si>
  <si>
    <t>callas</t>
  </si>
  <si>
    <t>/kaʎas/</t>
  </si>
  <si>
    <t>kallas</t>
  </si>
  <si>
    <t>calliza</t>
  </si>
  <si>
    <t>/kaʎisa/</t>
  </si>
  <si>
    <t>kallisa</t>
  </si>
  <si>
    <t>callizas</t>
  </si>
  <si>
    <t>/kaʎisas/</t>
  </si>
  <si>
    <t>kallisas</t>
  </si>
  <si>
    <t>calura</t>
  </si>
  <si>
    <t>/kaluɾa/</t>
  </si>
  <si>
    <t>kalura</t>
  </si>
  <si>
    <t>caluras</t>
  </si>
  <si>
    <t>/kaluɾas/</t>
  </si>
  <si>
    <t>kaluras</t>
  </si>
  <si>
    <t>camarilla</t>
  </si>
  <si>
    <t>/kamaɾiʎa/</t>
  </si>
  <si>
    <t>kamarilla</t>
  </si>
  <si>
    <t>camarillas</t>
  </si>
  <si>
    <t>/kamaɾiʎas/</t>
  </si>
  <si>
    <t>kamarillas</t>
  </si>
  <si>
    <t>camaza</t>
  </si>
  <si>
    <t>/kamasa/</t>
  </si>
  <si>
    <t>kamasa</t>
  </si>
  <si>
    <t>camazas</t>
  </si>
  <si>
    <t>/kamasas/</t>
  </si>
  <si>
    <t>kamasas</t>
  </si>
  <si>
    <t>camilla</t>
  </si>
  <si>
    <t>/kamiʎa/</t>
  </si>
  <si>
    <t>kamilla</t>
  </si>
  <si>
    <t>camillas</t>
  </si>
  <si>
    <t>/kamiʎas/</t>
  </si>
  <si>
    <t>kamillas</t>
  </si>
  <si>
    <t>camina</t>
  </si>
  <si>
    <t>/kamina/</t>
  </si>
  <si>
    <t>kamina</t>
  </si>
  <si>
    <t>caminan</t>
  </si>
  <si>
    <t>/kaminan/</t>
  </si>
  <si>
    <t>kaminan</t>
  </si>
  <si>
    <t>caminar</t>
  </si>
  <si>
    <t>/kaminaɾ/</t>
  </si>
  <si>
    <t>kaminar</t>
  </si>
  <si>
    <t>walk</t>
  </si>
  <si>
    <t>take_the_air</t>
  </si>
  <si>
    <t>tramp</t>
  </si>
  <si>
    <t>caminara</t>
  </si>
  <si>
    <t>/kaminaɾa/</t>
  </si>
  <si>
    <t>kaminara</t>
  </si>
  <si>
    <t>caminaran</t>
  </si>
  <si>
    <t>/kaminaɾan/</t>
  </si>
  <si>
    <t>kaminaran</t>
  </si>
  <si>
    <t>caminaras</t>
  </si>
  <si>
    <t>/kaminaɾas/</t>
  </si>
  <si>
    <t>kaminaras</t>
  </si>
  <si>
    <t>caminas</t>
  </si>
  <si>
    <t>/kaminas/</t>
  </si>
  <si>
    <t>kaminas</t>
  </si>
  <si>
    <t>caminata</t>
  </si>
  <si>
    <t>/kaminata/</t>
  </si>
  <si>
    <t>kaminata</t>
  </si>
  <si>
    <t>hike</t>
  </si>
  <si>
    <t>hiking</t>
  </si>
  <si>
    <t>walkabout</t>
  </si>
  <si>
    <t>caminatas</t>
  </si>
  <si>
    <t>/kaminatas/</t>
  </si>
  <si>
    <t>kaminatas</t>
  </si>
  <si>
    <t>camisa</t>
  </si>
  <si>
    <t>/kamisa/</t>
  </si>
  <si>
    <t>kamisa</t>
  </si>
  <si>
    <t>shirt</t>
  </si>
  <si>
    <t>camisas</t>
  </si>
  <si>
    <t>/kamisas/</t>
  </si>
  <si>
    <t>kamisas</t>
  </si>
  <si>
    <t>camuña</t>
  </si>
  <si>
    <t>/kamuɲa/</t>
  </si>
  <si>
    <t>kamuña</t>
  </si>
  <si>
    <t>camuñas</t>
  </si>
  <si>
    <t>/kamuɲas/</t>
  </si>
  <si>
    <t>kamuñas</t>
  </si>
  <si>
    <t>camuza</t>
  </si>
  <si>
    <t>/kamusa/</t>
  </si>
  <si>
    <t>kamusa</t>
  </si>
  <si>
    <t>camuzas</t>
  </si>
  <si>
    <t>/kamusas/</t>
  </si>
  <si>
    <t>kamusas</t>
  </si>
  <si>
    <t>can</t>
  </si>
  <si>
    <t>domestic_dog</t>
  </si>
  <si>
    <t>Canis_familiaris</t>
  </si>
  <si>
    <t>hoosegow</t>
  </si>
  <si>
    <t>hoosgow</t>
  </si>
  <si>
    <t>conduit</t>
  </si>
  <si>
    <t>sluice</t>
  </si>
  <si>
    <t>sluiceway</t>
  </si>
  <si>
    <t>penstock</t>
  </si>
  <si>
    <t>source</t>
  </si>
  <si>
    <t>spout</t>
  </si>
  <si>
    <t>transmission_channel</t>
  </si>
  <si>
    <t>canaliza</t>
  </si>
  <si>
    <t>/kanalisa/</t>
  </si>
  <si>
    <t>kanalisa</t>
  </si>
  <si>
    <t>canalizan</t>
  </si>
  <si>
    <t>/kanalisan/</t>
  </si>
  <si>
    <t>kanalisan</t>
  </si>
  <si>
    <t>canalizar</t>
  </si>
  <si>
    <t>/kanalisaɾ/</t>
  </si>
  <si>
    <t>kanalisar</t>
  </si>
  <si>
    <t>cannulate</t>
  </si>
  <si>
    <t>cannulize</t>
  </si>
  <si>
    <t>cannulise</t>
  </si>
  <si>
    <t>intubate</t>
  </si>
  <si>
    <t>canulate</t>
  </si>
  <si>
    <t>channelize</t>
  </si>
  <si>
    <t>channelise</t>
  </si>
  <si>
    <t>impart</t>
  </si>
  <si>
    <t>conduct</t>
  </si>
  <si>
    <t>transmit</t>
  </si>
  <si>
    <t>convey</t>
  </si>
  <si>
    <t>carry</t>
  </si>
  <si>
    <t>canalizara</t>
  </si>
  <si>
    <t>/kanalisaɾa/</t>
  </si>
  <si>
    <t>kanalisara</t>
  </si>
  <si>
    <t>canalizaran</t>
  </si>
  <si>
    <t>/kanalisaɾan/</t>
  </si>
  <si>
    <t>kanalisaran</t>
  </si>
  <si>
    <t>canalizaras</t>
  </si>
  <si>
    <t>/kanalisaɾas/</t>
  </si>
  <si>
    <t>kanalisaras</t>
  </si>
  <si>
    <t>canalizas</t>
  </si>
  <si>
    <t>/kanalisas/</t>
  </si>
  <si>
    <t>kanalisas</t>
  </si>
  <si>
    <t>canalla</t>
  </si>
  <si>
    <t>/kanaʎa/</t>
  </si>
  <si>
    <t>kanalla</t>
  </si>
  <si>
    <t>scapegrace</t>
  </si>
  <si>
    <t>black_sheep</t>
  </si>
  <si>
    <t>canallas</t>
  </si>
  <si>
    <t>/kanaʎas/</t>
  </si>
  <si>
    <t>kanallas</t>
  </si>
  <si>
    <t>canana</t>
  </si>
  <si>
    <t>/kanana/</t>
  </si>
  <si>
    <t>kanana</t>
  </si>
  <si>
    <t>bandoleer</t>
  </si>
  <si>
    <t>bandolier</t>
  </si>
  <si>
    <t>cananas</t>
  </si>
  <si>
    <t>/kananas/</t>
  </si>
  <si>
    <t>kananas</t>
  </si>
  <si>
    <t>canica</t>
  </si>
  <si>
    <t>/kanika/</t>
  </si>
  <si>
    <t>kanika</t>
  </si>
  <si>
    <t>marbles</t>
  </si>
  <si>
    <t>marble</t>
  </si>
  <si>
    <t>canicas</t>
  </si>
  <si>
    <t>/kanikas/</t>
  </si>
  <si>
    <t>kanikas</t>
  </si>
  <si>
    <t>canicular</t>
  </si>
  <si>
    <t>/kanikulaɾ/</t>
  </si>
  <si>
    <t>kanikular</t>
  </si>
  <si>
    <t>canija</t>
  </si>
  <si>
    <t>/kanixa/</t>
  </si>
  <si>
    <t>canijas</t>
  </si>
  <si>
    <t>/kanixas/</t>
  </si>
  <si>
    <t>canilla</t>
  </si>
  <si>
    <t>/kaniʎa/</t>
  </si>
  <si>
    <t>kanilla</t>
  </si>
  <si>
    <t>canillas</t>
  </si>
  <si>
    <t>/kaniʎas/</t>
  </si>
  <si>
    <t>kanillas</t>
  </si>
  <si>
    <t>canina</t>
  </si>
  <si>
    <t>/kanina/</t>
  </si>
  <si>
    <t>kanina</t>
  </si>
  <si>
    <t>caninas</t>
  </si>
  <si>
    <t>/kaninas/</t>
  </si>
  <si>
    <t>kaninas</t>
  </si>
  <si>
    <t>canular</t>
  </si>
  <si>
    <t>/kanulaɾ/</t>
  </si>
  <si>
    <t>kanular</t>
  </si>
  <si>
    <t>caña</t>
  </si>
  <si>
    <t>/kaɲa/</t>
  </si>
  <si>
    <t>kaña</t>
  </si>
  <si>
    <t>cañal</t>
  </si>
  <si>
    <t>/kaɲal/</t>
  </si>
  <si>
    <t>kañal</t>
  </si>
  <si>
    <t>cañamar</t>
  </si>
  <si>
    <t>/kaɲamaɾ/</t>
  </si>
  <si>
    <t>kañamar</t>
  </si>
  <si>
    <t>cañar</t>
  </si>
  <si>
    <t>/kaɲaɾ/</t>
  </si>
  <si>
    <t>kañar</t>
  </si>
  <si>
    <t>cañas</t>
  </si>
  <si>
    <t>/kaɲas/</t>
  </si>
  <si>
    <t>kañas</t>
  </si>
  <si>
    <t>cañiza</t>
  </si>
  <si>
    <t>/kaɲisa/</t>
  </si>
  <si>
    <t>kañisa</t>
  </si>
  <si>
    <t>cañizal</t>
  </si>
  <si>
    <t>/kaɲisal/</t>
  </si>
  <si>
    <t>kañisal</t>
  </si>
  <si>
    <t>cañizar</t>
  </si>
  <si>
    <t>/kaɲisaɾ/</t>
  </si>
  <si>
    <t>kañisar</t>
  </si>
  <si>
    <t>cañizas</t>
  </si>
  <si>
    <t>/kaɲisas/</t>
  </si>
  <si>
    <t>kañisas</t>
  </si>
  <si>
    <t>capa</t>
  </si>
  <si>
    <t>application</t>
  </si>
  <si>
    <t>coating</t>
  </si>
  <si>
    <t>covering</t>
  </si>
  <si>
    <t>coat</t>
  </si>
  <si>
    <t>film</t>
  </si>
  <si>
    <t>blanket</t>
  </si>
  <si>
    <t>envelope</t>
  </si>
  <si>
    <t>capacita</t>
  </si>
  <si>
    <t>/kapasita/</t>
  </si>
  <si>
    <t>kapasita</t>
  </si>
  <si>
    <t>capacitan</t>
  </si>
  <si>
    <t>/kapasitan/</t>
  </si>
  <si>
    <t>kapasitan</t>
  </si>
  <si>
    <t>capacitar</t>
  </si>
  <si>
    <t>/kapasitaɾ/</t>
  </si>
  <si>
    <t>kapasitar</t>
  </si>
  <si>
    <t>capacitate</t>
  </si>
  <si>
    <t>enable</t>
  </si>
  <si>
    <t>qualify</t>
  </si>
  <si>
    <t>capacitara</t>
  </si>
  <si>
    <t>/kapasitaɾa/</t>
  </si>
  <si>
    <t>kapasitara</t>
  </si>
  <si>
    <t>capacitaran</t>
  </si>
  <si>
    <t>/kapasitaɾan/</t>
  </si>
  <si>
    <t>kapasitaran</t>
  </si>
  <si>
    <t>capacitaras</t>
  </si>
  <si>
    <t>/kapasitaɾas/</t>
  </si>
  <si>
    <t>kapasitaras</t>
  </si>
  <si>
    <t>capacitas</t>
  </si>
  <si>
    <t>/kapasitas/</t>
  </si>
  <si>
    <t>kapasitas</t>
  </si>
  <si>
    <t>capan</t>
  </si>
  <si>
    <t>/kapan/</t>
  </si>
  <si>
    <t>kapan</t>
  </si>
  <si>
    <t>capar</t>
  </si>
  <si>
    <t>/kapaɾ/</t>
  </si>
  <si>
    <t>kapar</t>
  </si>
  <si>
    <t>sterilize</t>
  </si>
  <si>
    <t>sterilise</t>
  </si>
  <si>
    <t>desex</t>
  </si>
  <si>
    <t>unsex</t>
  </si>
  <si>
    <t>desexualize</t>
  </si>
  <si>
    <t>desexualise</t>
  </si>
  <si>
    <t>fix</t>
  </si>
  <si>
    <t>capara</t>
  </si>
  <si>
    <t>/kapaɾa/</t>
  </si>
  <si>
    <t>kapara</t>
  </si>
  <si>
    <t>caparan</t>
  </si>
  <si>
    <t>/kapaɾan/</t>
  </si>
  <si>
    <t>kaparan</t>
  </si>
  <si>
    <t>caparas</t>
  </si>
  <si>
    <t>/kapaɾas/</t>
  </si>
  <si>
    <t>kaparas</t>
  </si>
  <si>
    <t>caparina</t>
  </si>
  <si>
    <t>/kapaɾina/</t>
  </si>
  <si>
    <t>kaparina</t>
  </si>
  <si>
    <t>caparinas</t>
  </si>
  <si>
    <t>/kapaɾinas/</t>
  </si>
  <si>
    <t>kaparinas</t>
  </si>
  <si>
    <t>capas</t>
  </si>
  <si>
    <t>capataz</t>
  </si>
  <si>
    <t>/kapatas/</t>
  </si>
  <si>
    <t>kapatas</t>
  </si>
  <si>
    <t>capataza</t>
  </si>
  <si>
    <t>/kapatasa/</t>
  </si>
  <si>
    <t>kapatasa</t>
  </si>
  <si>
    <t>capatazas</t>
  </si>
  <si>
    <t>/kapatasas/</t>
  </si>
  <si>
    <t>kapatasas</t>
  </si>
  <si>
    <t>capaz</t>
  </si>
  <si>
    <t>able</t>
  </si>
  <si>
    <t>adequate</t>
  </si>
  <si>
    <t>equal</t>
  </si>
  <si>
    <t>adequate_to</t>
  </si>
  <si>
    <t>capable</t>
  </si>
  <si>
    <t>equal_to</t>
  </si>
  <si>
    <t>up_to</t>
  </si>
  <si>
    <t>desirable</t>
  </si>
  <si>
    <t>suitable</t>
  </si>
  <si>
    <t>worthy</t>
  </si>
  <si>
    <t>able-bodied</t>
  </si>
  <si>
    <t>suited</t>
  </si>
  <si>
    <t>meet</t>
  </si>
  <si>
    <t>condign</t>
  </si>
  <si>
    <t>capilar</t>
  </si>
  <si>
    <t>/kapilaɾ/</t>
  </si>
  <si>
    <t>kapilar</t>
  </si>
  <si>
    <t>capilla</t>
  </si>
  <si>
    <t>/kapiʎa/</t>
  </si>
  <si>
    <t>kapilla</t>
  </si>
  <si>
    <t>chantry</t>
  </si>
  <si>
    <t>capillas</t>
  </si>
  <si>
    <t>/kapiʎas/</t>
  </si>
  <si>
    <t>kapillas</t>
  </si>
  <si>
    <t>Washington</t>
  </si>
  <si>
    <t>equity</t>
  </si>
  <si>
    <t>capitaliza</t>
  </si>
  <si>
    <t>/kapitalisa/</t>
  </si>
  <si>
    <t>kapitalisa</t>
  </si>
  <si>
    <t>capitalizan</t>
  </si>
  <si>
    <t>/kapitalisan/</t>
  </si>
  <si>
    <t>kapitalisan</t>
  </si>
  <si>
    <t>capitalizar</t>
  </si>
  <si>
    <t>/kapitalisaɾ/</t>
  </si>
  <si>
    <t>kapitalisar</t>
  </si>
  <si>
    <t>capitalize</t>
  </si>
  <si>
    <t>capitalise</t>
  </si>
  <si>
    <t>take_advantage</t>
  </si>
  <si>
    <t>capitalizara</t>
  </si>
  <si>
    <t>/kapitalisaɾa/</t>
  </si>
  <si>
    <t>kapitalisara</t>
  </si>
  <si>
    <t>capitalizaran</t>
  </si>
  <si>
    <t>/kapitalisaɾan/</t>
  </si>
  <si>
    <t>kapitalisaran</t>
  </si>
  <si>
    <t>capitalizaras</t>
  </si>
  <si>
    <t>/kapitalisaɾas/</t>
  </si>
  <si>
    <t>kapitalisaras</t>
  </si>
  <si>
    <t>capitalizas</t>
  </si>
  <si>
    <t>/kapitalisas/</t>
  </si>
  <si>
    <t>kapitalisas</t>
  </si>
  <si>
    <t>capitana</t>
  </si>
  <si>
    <t>/kapitana/</t>
  </si>
  <si>
    <t>kapitana</t>
  </si>
  <si>
    <t>capitanas</t>
  </si>
  <si>
    <t>/kapitanas/</t>
  </si>
  <si>
    <t>kapitanas</t>
  </si>
  <si>
    <t>capitula</t>
  </si>
  <si>
    <t>/kapitula/</t>
  </si>
  <si>
    <t>kapitula</t>
  </si>
  <si>
    <t>capitulan</t>
  </si>
  <si>
    <t>/kapitulan/</t>
  </si>
  <si>
    <t>kapitulan</t>
  </si>
  <si>
    <t>capitular</t>
  </si>
  <si>
    <t>/kapitulaɾ/</t>
  </si>
  <si>
    <t>kapitular</t>
  </si>
  <si>
    <t>capitulara</t>
  </si>
  <si>
    <t>/kapitulaɾa/</t>
  </si>
  <si>
    <t>kapitulara</t>
  </si>
  <si>
    <t>capitularan</t>
  </si>
  <si>
    <t>/kapitulaɾan/</t>
  </si>
  <si>
    <t>kapitularan</t>
  </si>
  <si>
    <t>capitularas</t>
  </si>
  <si>
    <t>/kapitulaɾas/</t>
  </si>
  <si>
    <t>kapitularas</t>
  </si>
  <si>
    <t>capitulas</t>
  </si>
  <si>
    <t>/kapitulas/</t>
  </si>
  <si>
    <t>kapitulas</t>
  </si>
  <si>
    <t>capullina</t>
  </si>
  <si>
    <t>/kapuʎina/</t>
  </si>
  <si>
    <t>kapullina</t>
  </si>
  <si>
    <t>capullinas</t>
  </si>
  <si>
    <t>/kapuʎinas/</t>
  </si>
  <si>
    <t>kapullinas</t>
  </si>
  <si>
    <t>caqui</t>
  </si>
  <si>
    <t>khakis</t>
  </si>
  <si>
    <t>cara</t>
  </si>
  <si>
    <t>chop</t>
  </si>
  <si>
    <t>human_face</t>
  </si>
  <si>
    <t>grimace</t>
  </si>
  <si>
    <t>caraca</t>
  </si>
  <si>
    <t>/kaɾaka/</t>
  </si>
  <si>
    <t>karaka</t>
  </si>
  <si>
    <t>caracalla</t>
  </si>
  <si>
    <t>/kaɾakaʎa/</t>
  </si>
  <si>
    <t>karakalla</t>
  </si>
  <si>
    <t>caracallas</t>
  </si>
  <si>
    <t>/kaɾakaʎas/</t>
  </si>
  <si>
    <t>karakallas</t>
  </si>
  <si>
    <t>caracas</t>
  </si>
  <si>
    <t>/kaɾakas/</t>
  </si>
  <si>
    <t>karakas</t>
  </si>
  <si>
    <t>caraja</t>
  </si>
  <si>
    <t>/kaɾaxa/</t>
  </si>
  <si>
    <t>carajas</t>
  </si>
  <si>
    <t>/kaɾaxas/</t>
  </si>
  <si>
    <t>caralla</t>
  </si>
  <si>
    <t>/kaɾaʎa/</t>
  </si>
  <si>
    <t>karalla</t>
  </si>
  <si>
    <t>carallas</t>
  </si>
  <si>
    <t>/kaɾaʎas/</t>
  </si>
  <si>
    <t>karallas</t>
  </si>
  <si>
    <t>caramilla</t>
  </si>
  <si>
    <t>/kaɾamiʎa/</t>
  </si>
  <si>
    <t>karamilla</t>
  </si>
  <si>
    <t>caramillar</t>
  </si>
  <si>
    <t>/kaɾamiʎaɾ/</t>
  </si>
  <si>
    <t>karamillar</t>
  </si>
  <si>
    <t>caramillas</t>
  </si>
  <si>
    <t>/kaɾamiʎas/</t>
  </si>
  <si>
    <t>karamillas</t>
  </si>
  <si>
    <t>caramuza</t>
  </si>
  <si>
    <t>/kaɾamusa/</t>
  </si>
  <si>
    <t>karamusa</t>
  </si>
  <si>
    <t>caras</t>
  </si>
  <si>
    <t>/kaɾas/</t>
  </si>
  <si>
    <t>karas</t>
  </si>
  <si>
    <t>caray</t>
  </si>
  <si>
    <t>/kaɾaj/</t>
  </si>
  <si>
    <t>karay</t>
  </si>
  <si>
    <t>caricarilla</t>
  </si>
  <si>
    <t>/kaɾikaɾiʎa/</t>
  </si>
  <si>
    <t>karikarilla</t>
  </si>
  <si>
    <t>caricarillas</t>
  </si>
  <si>
    <t>/kaɾikaɾiʎas/</t>
  </si>
  <si>
    <t>karikarillas</t>
  </si>
  <si>
    <t>caricatura</t>
  </si>
  <si>
    <t>/kaɾikatuɾa/</t>
  </si>
  <si>
    <t>karikatura</t>
  </si>
  <si>
    <t>grotesqueness</t>
  </si>
  <si>
    <t>grotesquery</t>
  </si>
  <si>
    <t>grotesquerie</t>
  </si>
  <si>
    <t>cartoon</t>
  </si>
  <si>
    <t>sketch</t>
  </si>
  <si>
    <t>caricaturas</t>
  </si>
  <si>
    <t>/kaɾikatuɾas/</t>
  </si>
  <si>
    <t>karikaturas</t>
  </si>
  <si>
    <t>caricaturiza</t>
  </si>
  <si>
    <t>/kaɾikatuɾisa/</t>
  </si>
  <si>
    <t>karikaturisa</t>
  </si>
  <si>
    <t>caricaturizan</t>
  </si>
  <si>
    <t>/kaɾikatuɾisan/</t>
  </si>
  <si>
    <t>karikaturisan</t>
  </si>
  <si>
    <t>caricaturizar</t>
  </si>
  <si>
    <t>/kaɾikatuɾisaɾ/</t>
  </si>
  <si>
    <t>karikaturisar</t>
  </si>
  <si>
    <t>caricaturizara</t>
  </si>
  <si>
    <t>/kaɾikatuɾisaɾa/</t>
  </si>
  <si>
    <t>karikaturisara</t>
  </si>
  <si>
    <t>caricaturizaran</t>
  </si>
  <si>
    <t>/kaɾikatuɾisaɾan/</t>
  </si>
  <si>
    <t>karikaturisaran</t>
  </si>
  <si>
    <t>caricaturizaras</t>
  </si>
  <si>
    <t>/kaɾikatuɾisaɾas/</t>
  </si>
  <si>
    <t>karikaturisaras</t>
  </si>
  <si>
    <t>caricaturizas</t>
  </si>
  <si>
    <t>/kaɾikatuɾisas/</t>
  </si>
  <si>
    <t>karikaturisas</t>
  </si>
  <si>
    <t>carilla</t>
  </si>
  <si>
    <t>/kaɾiʎa/</t>
  </si>
  <si>
    <t>karilla</t>
  </si>
  <si>
    <t>carillas</t>
  </si>
  <si>
    <t>/kaɾiʎas/</t>
  </si>
  <si>
    <t>karillas</t>
  </si>
  <si>
    <t>cariña</t>
  </si>
  <si>
    <t>/kaɾiɲa/</t>
  </si>
  <si>
    <t>kariña</t>
  </si>
  <si>
    <t>cariñan</t>
  </si>
  <si>
    <t>/kaɾiɲan/</t>
  </si>
  <si>
    <t>kariñan</t>
  </si>
  <si>
    <t>cariñar</t>
  </si>
  <si>
    <t>/kaɾiɲaɾ/</t>
  </si>
  <si>
    <t>kariñar</t>
  </si>
  <si>
    <t>cariñara</t>
  </si>
  <si>
    <t>/kaɾiɲaɾa/</t>
  </si>
  <si>
    <t>kariñara</t>
  </si>
  <si>
    <t>cariñaran</t>
  </si>
  <si>
    <t>/kaɾiɲaɾan/</t>
  </si>
  <si>
    <t>kariñaran</t>
  </si>
  <si>
    <t>cariñaras</t>
  </si>
  <si>
    <t>/kaɾiɲaɾas/</t>
  </si>
  <si>
    <t>kariñaras</t>
  </si>
  <si>
    <t>cariñas</t>
  </si>
  <si>
    <t>/kaɾiɲas/</t>
  </si>
  <si>
    <t>kariñas</t>
  </si>
  <si>
    <t>cariz</t>
  </si>
  <si>
    <t>/kaɾis/</t>
  </si>
  <si>
    <t>karis</t>
  </si>
  <si>
    <t>casa</t>
  </si>
  <si>
    <t>diggings</t>
  </si>
  <si>
    <t>digs</t>
  </si>
  <si>
    <t>domiciliation</t>
  </si>
  <si>
    <t>lodgings</t>
  </si>
  <si>
    <t>pad</t>
  </si>
  <si>
    <t>firm</t>
  </si>
  <si>
    <t>business_firm</t>
  </si>
  <si>
    <t>manufacturer</t>
  </si>
  <si>
    <t>maker</t>
  </si>
  <si>
    <t>manufacturing_business</t>
  </si>
  <si>
    <t>casaca</t>
  </si>
  <si>
    <t>/kasaka/</t>
  </si>
  <si>
    <t>kasaka</t>
  </si>
  <si>
    <t>casacas</t>
  </si>
  <si>
    <t>/kasakas/</t>
  </si>
  <si>
    <t>kasakas</t>
  </si>
  <si>
    <t>casal</t>
  </si>
  <si>
    <t>/kasal/</t>
  </si>
  <si>
    <t>kasal</t>
  </si>
  <si>
    <t>casamata</t>
  </si>
  <si>
    <t>/kasamata/</t>
  </si>
  <si>
    <t>kasamata</t>
  </si>
  <si>
    <t>casamatas</t>
  </si>
  <si>
    <t>/kasamatas/</t>
  </si>
  <si>
    <t>kasamatas</t>
  </si>
  <si>
    <t>casan</t>
  </si>
  <si>
    <t>/kasan/</t>
  </si>
  <si>
    <t>kasan</t>
  </si>
  <si>
    <t>casaquilla</t>
  </si>
  <si>
    <t>/kasakiʎa/</t>
  </si>
  <si>
    <t>kasakilla</t>
  </si>
  <si>
    <t>casaquillas</t>
  </si>
  <si>
    <t>/kasakiʎas/</t>
  </si>
  <si>
    <t>kasakillas</t>
  </si>
  <si>
    <t>casar</t>
  </si>
  <si>
    <t>/kasaɾ/</t>
  </si>
  <si>
    <t>kasar</t>
  </si>
  <si>
    <t>match</t>
  </si>
  <si>
    <t>mate</t>
  </si>
  <si>
    <t>couple</t>
  </si>
  <si>
    <t>pair</t>
  </si>
  <si>
    <t>twin</t>
  </si>
  <si>
    <t>marry</t>
  </si>
  <si>
    <t>wed</t>
  </si>
  <si>
    <t>splice</t>
  </si>
  <si>
    <t>blend</t>
  </si>
  <si>
    <t>go</t>
  </si>
  <si>
    <t>blend_in</t>
  </si>
  <si>
    <t>casara</t>
  </si>
  <si>
    <t>/kasaɾa/</t>
  </si>
  <si>
    <t>kasara</t>
  </si>
  <si>
    <t>casaran</t>
  </si>
  <si>
    <t>/kasaɾan/</t>
  </si>
  <si>
    <t>kasaran</t>
  </si>
  <si>
    <t>casaras</t>
  </si>
  <si>
    <t>/kasaɾas/</t>
  </si>
  <si>
    <t>kasaras</t>
  </si>
  <si>
    <t>casas</t>
  </si>
  <si>
    <t>casi</t>
  </si>
  <si>
    <t>/kasi/</t>
  </si>
  <si>
    <t>kasi</t>
  </si>
  <si>
    <t>casilla</t>
  </si>
  <si>
    <t>/kasiʎa/</t>
  </si>
  <si>
    <t>kasilla</t>
  </si>
  <si>
    <t>mailbox</t>
  </si>
  <si>
    <t>letter_box</t>
  </si>
  <si>
    <t>casillas</t>
  </si>
  <si>
    <t>/kasiʎas/</t>
  </si>
  <si>
    <t>kasillas</t>
  </si>
  <si>
    <t>casimir</t>
  </si>
  <si>
    <t>/kasimiɾ/</t>
  </si>
  <si>
    <t>kasimir</t>
  </si>
  <si>
    <t>casina</t>
  </si>
  <si>
    <t>/kasina/</t>
  </si>
  <si>
    <t>kasina</t>
  </si>
  <si>
    <t>casinas</t>
  </si>
  <si>
    <t>/kasinas/</t>
  </si>
  <si>
    <t>kasinas</t>
  </si>
  <si>
    <t>casinita</t>
  </si>
  <si>
    <t>/kasinita/</t>
  </si>
  <si>
    <t>kasinita</t>
  </si>
  <si>
    <t>casinitas</t>
  </si>
  <si>
    <t>/kasinitas/</t>
  </si>
  <si>
    <t>kasinitas</t>
  </si>
  <si>
    <t>casuca</t>
  </si>
  <si>
    <t>/kasuka/</t>
  </si>
  <si>
    <t>kasuka</t>
  </si>
  <si>
    <t>casucas</t>
  </si>
  <si>
    <t>/kasukas/</t>
  </si>
  <si>
    <t>kasukas</t>
  </si>
  <si>
    <t>casulla</t>
  </si>
  <si>
    <t>/kasuʎa/</t>
  </si>
  <si>
    <t>kasulla</t>
  </si>
  <si>
    <t>casullas</t>
  </si>
  <si>
    <t>/kasuʎas/</t>
  </si>
  <si>
    <t>kasullas</t>
  </si>
  <si>
    <t>cata</t>
  </si>
  <si>
    <t>catalana</t>
  </si>
  <si>
    <t>/katalana/</t>
  </si>
  <si>
    <t>katalana</t>
  </si>
  <si>
    <t>catalanas</t>
  </si>
  <si>
    <t>/katalanas/</t>
  </si>
  <si>
    <t>katalanas</t>
  </si>
  <si>
    <t>Catalina</t>
  </si>
  <si>
    <t>/katalina/</t>
  </si>
  <si>
    <t>katalina</t>
  </si>
  <si>
    <t>catan</t>
  </si>
  <si>
    <t>/katan/</t>
  </si>
  <si>
    <t>katan</t>
  </si>
  <si>
    <t>catar</t>
  </si>
  <si>
    <t>/kataɾ/</t>
  </si>
  <si>
    <t>katar</t>
  </si>
  <si>
    <t>sample</t>
  </si>
  <si>
    <t>try</t>
  </si>
  <si>
    <t>try_out</t>
  </si>
  <si>
    <t>taste</t>
  </si>
  <si>
    <t>catara</t>
  </si>
  <si>
    <t>/kataɾa/</t>
  </si>
  <si>
    <t>katara</t>
  </si>
  <si>
    <t>cataran</t>
  </si>
  <si>
    <t>/kataɾan/</t>
  </si>
  <si>
    <t>kataran</t>
  </si>
  <si>
    <t>cataras</t>
  </si>
  <si>
    <t>/kataɾas/</t>
  </si>
  <si>
    <t>kataras</t>
  </si>
  <si>
    <t>catarata</t>
  </si>
  <si>
    <t>/kataɾata/</t>
  </si>
  <si>
    <t>katarata</t>
  </si>
  <si>
    <t>cataratas</t>
  </si>
  <si>
    <t>/kataɾatas/</t>
  </si>
  <si>
    <t>kataratas</t>
  </si>
  <si>
    <t>catas</t>
  </si>
  <si>
    <t>caz</t>
  </si>
  <si>
    <t>caza</t>
  </si>
  <si>
    <t>chase</t>
  </si>
  <si>
    <t>pursual</t>
  </si>
  <si>
    <t>following</t>
  </si>
  <si>
    <t>game</t>
  </si>
  <si>
    <t>fighter</t>
  </si>
  <si>
    <t>fighter_aircraft</t>
  </si>
  <si>
    <t>attack_aircraft</t>
  </si>
  <si>
    <t>cazan</t>
  </si>
  <si>
    <t>cazar</t>
  </si>
  <si>
    <t>catch</t>
  </si>
  <si>
    <t>grab</t>
  </si>
  <si>
    <t>take_hold_of</t>
  </si>
  <si>
    <t>trap</t>
  </si>
  <si>
    <t>entrap</t>
  </si>
  <si>
    <t>snare</t>
  </si>
  <si>
    <t>ensnare</t>
  </si>
  <si>
    <t>cazara</t>
  </si>
  <si>
    <t>cazaran</t>
  </si>
  <si>
    <t>cazaras</t>
  </si>
  <si>
    <t>cazas</t>
  </si>
  <si>
    <t>cicuta</t>
  </si>
  <si>
    <t>/sikuta/</t>
  </si>
  <si>
    <t>sikuta</t>
  </si>
  <si>
    <t>cicutas</t>
  </si>
  <si>
    <t>/sikutas/</t>
  </si>
  <si>
    <t>sikutas</t>
  </si>
  <si>
    <t>cicutina</t>
  </si>
  <si>
    <t>/sikutina/</t>
  </si>
  <si>
    <t>sikutina</t>
  </si>
  <si>
    <t>cicutinas</t>
  </si>
  <si>
    <t>/sikutinas/</t>
  </si>
  <si>
    <t>sikutinas</t>
  </si>
  <si>
    <t>cigala</t>
  </si>
  <si>
    <t>/siɣala/</t>
  </si>
  <si>
    <t>sikala</t>
  </si>
  <si>
    <t>cigalas</t>
  </si>
  <si>
    <t>/siɣalas/</t>
  </si>
  <si>
    <t>sikalas</t>
  </si>
  <si>
    <t>cima</t>
  </si>
  <si>
    <t>/sima/</t>
  </si>
  <si>
    <t>sima</t>
  </si>
  <si>
    <t>hilltop</t>
  </si>
  <si>
    <t>brow</t>
  </si>
  <si>
    <t>cimas</t>
  </si>
  <si>
    <t>/simas/</t>
  </si>
  <si>
    <t>simas</t>
  </si>
  <si>
    <t>ciña</t>
  </si>
  <si>
    <t>ciñan</t>
  </si>
  <si>
    <t>/siɲan/</t>
  </si>
  <si>
    <t>siñan</t>
  </si>
  <si>
    <t>ciñas</t>
  </si>
  <si>
    <t>ciquiricata</t>
  </si>
  <si>
    <t>/sikiɾikata/</t>
  </si>
  <si>
    <t>sikirikata</t>
  </si>
  <si>
    <t>ciquiricatas</t>
  </si>
  <si>
    <t>/sikiɾikatas/</t>
  </si>
  <si>
    <t>sikirikatas</t>
  </si>
  <si>
    <t>cirujana</t>
  </si>
  <si>
    <t>/siɾuxana/</t>
  </si>
  <si>
    <t>sirukana</t>
  </si>
  <si>
    <t>cirujanas</t>
  </si>
  <si>
    <t>/siɾuxanas/</t>
  </si>
  <si>
    <t>sirukanas</t>
  </si>
  <si>
    <t>cisura</t>
  </si>
  <si>
    <t>/sisuɾa/</t>
  </si>
  <si>
    <t>sisura</t>
  </si>
  <si>
    <t>cisuras</t>
  </si>
  <si>
    <t>/sisuɾas/</t>
  </si>
  <si>
    <t>sisuras</t>
  </si>
  <si>
    <t>dating</t>
  </si>
  <si>
    <t>geological_dating</t>
  </si>
  <si>
    <t>rendezvous</t>
  </si>
  <si>
    <t>quotation</t>
  </si>
  <si>
    <t>quote</t>
  </si>
  <si>
    <t>citation</t>
  </si>
  <si>
    <t>cite</t>
  </si>
  <si>
    <t>acknowledgment</t>
  </si>
  <si>
    <t>credit</t>
  </si>
  <si>
    <t>reference</t>
  </si>
  <si>
    <t>mention</t>
  </si>
  <si>
    <t>date</t>
  </si>
  <si>
    <t>appointment</t>
  </si>
  <si>
    <t>engagement</t>
  </si>
  <si>
    <t>tryst</t>
  </si>
  <si>
    <t>escort</t>
  </si>
  <si>
    <t>citan</t>
  </si>
  <si>
    <t>/sitan/</t>
  </si>
  <si>
    <t>sitan</t>
  </si>
  <si>
    <t>citana</t>
  </si>
  <si>
    <t>/sitana/</t>
  </si>
  <si>
    <t>sitana</t>
  </si>
  <si>
    <t>citanas</t>
  </si>
  <si>
    <t>/sitanas/</t>
  </si>
  <si>
    <t>sitanas</t>
  </si>
  <si>
    <t>citar</t>
  </si>
  <si>
    <t>/sitaɾ/</t>
  </si>
  <si>
    <t>sitar</t>
  </si>
  <si>
    <t>excerpt</t>
  </si>
  <si>
    <t>extract</t>
  </si>
  <si>
    <t>take_out</t>
  </si>
  <si>
    <t>summon</t>
  </si>
  <si>
    <t>summons</t>
  </si>
  <si>
    <t>advert</t>
  </si>
  <si>
    <t>refer</t>
  </si>
  <si>
    <t>serve</t>
  </si>
  <si>
    <t>process</t>
  </si>
  <si>
    <t>swear_out</t>
  </si>
  <si>
    <t>ask_out</t>
  </si>
  <si>
    <t>invite_out</t>
  </si>
  <si>
    <t>citara</t>
  </si>
  <si>
    <t>/sitaɾa/</t>
  </si>
  <si>
    <t>sitara</t>
  </si>
  <si>
    <t>citaran</t>
  </si>
  <si>
    <t>/sitaɾan/</t>
  </si>
  <si>
    <t>sitaran</t>
  </si>
  <si>
    <t>citaras</t>
  </si>
  <si>
    <t>/sitaɾas/</t>
  </si>
  <si>
    <t>sitaras</t>
  </si>
  <si>
    <t>citarilla</t>
  </si>
  <si>
    <t>/sitaɾiʎa/</t>
  </si>
  <si>
    <t>sitarilla</t>
  </si>
  <si>
    <t>citarillas</t>
  </si>
  <si>
    <t>/sitaɾiʎas/</t>
  </si>
  <si>
    <t>sitarillas</t>
  </si>
  <si>
    <t>cizalla</t>
  </si>
  <si>
    <t>/sisaʎa/</t>
  </si>
  <si>
    <t>sisalla</t>
  </si>
  <si>
    <t>bolt_cutter</t>
  </si>
  <si>
    <t>cizallan</t>
  </si>
  <si>
    <t>/sisaʎan/</t>
  </si>
  <si>
    <t>sisallan</t>
  </si>
  <si>
    <t>cizallar</t>
  </si>
  <si>
    <t>/sisaʎaɾ/</t>
  </si>
  <si>
    <t>sisallar</t>
  </si>
  <si>
    <t>cizallara</t>
  </si>
  <si>
    <t>/sisaʎaɾa/</t>
  </si>
  <si>
    <t>sisallara</t>
  </si>
  <si>
    <t>cizallaran</t>
  </si>
  <si>
    <t>/sisaʎaɾan/</t>
  </si>
  <si>
    <t>sisallaran</t>
  </si>
  <si>
    <t>cizallaras</t>
  </si>
  <si>
    <t>/sisaʎaɾas/</t>
  </si>
  <si>
    <t>sisallaras</t>
  </si>
  <si>
    <t>cizallas</t>
  </si>
  <si>
    <t>/sisaʎas/</t>
  </si>
  <si>
    <t>sisallas</t>
  </si>
  <si>
    <t>snips</t>
  </si>
  <si>
    <t>tinsnips</t>
  </si>
  <si>
    <t>cizaña</t>
  </si>
  <si>
    <t>/sisaɲa/</t>
  </si>
  <si>
    <t>sisaña</t>
  </si>
  <si>
    <t>cizañan</t>
  </si>
  <si>
    <t>/sisaɲan/</t>
  </si>
  <si>
    <t>sisañan</t>
  </si>
  <si>
    <t>cizañar</t>
  </si>
  <si>
    <t>/sisaɲaɾ/</t>
  </si>
  <si>
    <t>sisañar</t>
  </si>
  <si>
    <t>cizañara</t>
  </si>
  <si>
    <t>/sisaɲaɾa/</t>
  </si>
  <si>
    <t>sisañara</t>
  </si>
  <si>
    <t>cizañaran</t>
  </si>
  <si>
    <t>/sisaɲaɾan/</t>
  </si>
  <si>
    <t>sisañaran</t>
  </si>
  <si>
    <t>cizañaras</t>
  </si>
  <si>
    <t>/sisaɲaɾas/</t>
  </si>
  <si>
    <t>sisañaras</t>
  </si>
  <si>
    <t>cizañas</t>
  </si>
  <si>
    <t>/sisaɲas/</t>
  </si>
  <si>
    <t>sisañas</t>
  </si>
  <si>
    <t>cuca</t>
  </si>
  <si>
    <t>/kuka/</t>
  </si>
  <si>
    <t>kuka</t>
  </si>
  <si>
    <t>cucan</t>
  </si>
  <si>
    <t>/kukan/</t>
  </si>
  <si>
    <t>kukan</t>
  </si>
  <si>
    <t>cucaña</t>
  </si>
  <si>
    <t>/kukaɲa/</t>
  </si>
  <si>
    <t>kukaña</t>
  </si>
  <si>
    <t>cucañas</t>
  </si>
  <si>
    <t>/kukaɲas/</t>
  </si>
  <si>
    <t>kukañas</t>
  </si>
  <si>
    <t>cucar</t>
  </si>
  <si>
    <t>/kukaɾ/</t>
  </si>
  <si>
    <t>kukar</t>
  </si>
  <si>
    <t>cucara</t>
  </si>
  <si>
    <t>/kukaɾa/</t>
  </si>
  <si>
    <t>kukara</t>
  </si>
  <si>
    <t>cucaran</t>
  </si>
  <si>
    <t>/kukaɾan/</t>
  </si>
  <si>
    <t>kukaran</t>
  </si>
  <si>
    <t>cucaras</t>
  </si>
  <si>
    <t>/kukaɾas/</t>
  </si>
  <si>
    <t>kukaras</t>
  </si>
  <si>
    <t>cucas</t>
  </si>
  <si>
    <t>/kukas/</t>
  </si>
  <si>
    <t>kukas</t>
  </si>
  <si>
    <t>culata</t>
  </si>
  <si>
    <t>/kulata/</t>
  </si>
  <si>
    <t>kulata</t>
  </si>
  <si>
    <t>culatas</t>
  </si>
  <si>
    <t>/kulatas/</t>
  </si>
  <si>
    <t>kulatas</t>
  </si>
  <si>
    <t>cumula</t>
  </si>
  <si>
    <t>/kumula/</t>
  </si>
  <si>
    <t>kumula</t>
  </si>
  <si>
    <t>cumulan</t>
  </si>
  <si>
    <t>/kumulan/</t>
  </si>
  <si>
    <t>kumulan</t>
  </si>
  <si>
    <t>cumular</t>
  </si>
  <si>
    <t>/kumulaɾ/</t>
  </si>
  <si>
    <t>kumular</t>
  </si>
  <si>
    <t>cumulara</t>
  </si>
  <si>
    <t>/kumulaɾa/</t>
  </si>
  <si>
    <t>kumulara</t>
  </si>
  <si>
    <t>cumularan</t>
  </si>
  <si>
    <t>/kumulaɾan/</t>
  </si>
  <si>
    <t>kumularan</t>
  </si>
  <si>
    <t>cumularas</t>
  </si>
  <si>
    <t>/kumulaɾas/</t>
  </si>
  <si>
    <t>kumularas</t>
  </si>
  <si>
    <t>cumulas</t>
  </si>
  <si>
    <t>/kumulas/</t>
  </si>
  <si>
    <t>kumulas</t>
  </si>
  <si>
    <t>cuna</t>
  </si>
  <si>
    <t>/kuna/</t>
  </si>
  <si>
    <t>kuna</t>
  </si>
  <si>
    <t>cradle</t>
  </si>
  <si>
    <t>crib</t>
  </si>
  <si>
    <t>cot</t>
  </si>
  <si>
    <t>origin</t>
  </si>
  <si>
    <t>descent</t>
  </si>
  <si>
    <t>extraction</t>
  </si>
  <si>
    <t>birthplace</t>
  </si>
  <si>
    <t>place_of_origin</t>
  </si>
  <si>
    <t>provenance</t>
  </si>
  <si>
    <t>provenience</t>
  </si>
  <si>
    <t>cunan</t>
  </si>
  <si>
    <t>/kunan/</t>
  </si>
  <si>
    <t>kunan</t>
  </si>
  <si>
    <t>cunar</t>
  </si>
  <si>
    <t>/kunaɾ/</t>
  </si>
  <si>
    <t>kunar</t>
  </si>
  <si>
    <t>cunara</t>
  </si>
  <si>
    <t>/kunaɾa/</t>
  </si>
  <si>
    <t>kunara</t>
  </si>
  <si>
    <t>cunaran</t>
  </si>
  <si>
    <t>/kunaɾan/</t>
  </si>
  <si>
    <t>kunaran</t>
  </si>
  <si>
    <t>cunaras</t>
  </si>
  <si>
    <t>/kunaɾas/</t>
  </si>
  <si>
    <t>kunaras</t>
  </si>
  <si>
    <t>cunas</t>
  </si>
  <si>
    <t>/kunas/</t>
  </si>
  <si>
    <t>kunas</t>
  </si>
  <si>
    <t>cuña</t>
  </si>
  <si>
    <t>/kuɲa/</t>
  </si>
  <si>
    <t>kuña</t>
  </si>
  <si>
    <t>quoin</t>
  </si>
  <si>
    <t>coign</t>
  </si>
  <si>
    <t>coigne</t>
  </si>
  <si>
    <t>cuñan</t>
  </si>
  <si>
    <t>/kuɲan/</t>
  </si>
  <si>
    <t>kuñan</t>
  </si>
  <si>
    <t>cuñar</t>
  </si>
  <si>
    <t>/kuɲaɾ/</t>
  </si>
  <si>
    <t>kuñar</t>
  </si>
  <si>
    <t>cuñara</t>
  </si>
  <si>
    <t>/kuɲaɾa/</t>
  </si>
  <si>
    <t>kuñara</t>
  </si>
  <si>
    <t>cuñaran</t>
  </si>
  <si>
    <t>/kuɲaɾan/</t>
  </si>
  <si>
    <t>kuñaran</t>
  </si>
  <si>
    <t>cuñaras</t>
  </si>
  <si>
    <t>/kuɲaɾas/</t>
  </si>
  <si>
    <t>kuñaras</t>
  </si>
  <si>
    <t>cuñas</t>
  </si>
  <si>
    <t>/kuɲas/</t>
  </si>
  <si>
    <t>kuñas</t>
  </si>
  <si>
    <t>cura</t>
  </si>
  <si>
    <t>/kuɾa/</t>
  </si>
  <si>
    <t>kura</t>
  </si>
  <si>
    <t>remedy</t>
  </si>
  <si>
    <t>curative</t>
  </si>
  <si>
    <t>cure</t>
  </si>
  <si>
    <t>therapeutic</t>
  </si>
  <si>
    <t>priest</t>
  </si>
  <si>
    <t>healing</t>
  </si>
  <si>
    <t>curan</t>
  </si>
  <si>
    <t>/kuɾan/</t>
  </si>
  <si>
    <t>kuran</t>
  </si>
  <si>
    <t>curar</t>
  </si>
  <si>
    <t>/kuɾaɾ/</t>
  </si>
  <si>
    <t>kurar</t>
  </si>
  <si>
    <t>bring_around</t>
  </si>
  <si>
    <t>heal</t>
  </si>
  <si>
    <t>mend</t>
  </si>
  <si>
    <t>curara</t>
  </si>
  <si>
    <t>/kuɾaɾa/</t>
  </si>
  <si>
    <t>kurara</t>
  </si>
  <si>
    <t>curaran</t>
  </si>
  <si>
    <t>/kuɾaɾan/</t>
  </si>
  <si>
    <t>kuraran</t>
  </si>
  <si>
    <t>curaras</t>
  </si>
  <si>
    <t>/kuɾaɾas/</t>
  </si>
  <si>
    <t>kuraras</t>
  </si>
  <si>
    <t>curas</t>
  </si>
  <si>
    <t>/kuɾas/</t>
  </si>
  <si>
    <t>kuras</t>
  </si>
  <si>
    <t>cuticular</t>
  </si>
  <si>
    <t>/kutikulaɾ/</t>
  </si>
  <si>
    <t>kutikular</t>
  </si>
  <si>
    <t>epidermal</t>
  </si>
  <si>
    <t>epidermic</t>
  </si>
  <si>
    <t>dermal</t>
  </si>
  <si>
    <t>cutis</t>
  </si>
  <si>
    <t>/kutis/</t>
  </si>
  <si>
    <t>kutis</t>
  </si>
  <si>
    <t>dermis</t>
  </si>
  <si>
    <t>corium</t>
  </si>
  <si>
    <t>derma</t>
  </si>
  <si>
    <t>giga</t>
  </si>
  <si>
    <t>/xiɣa/</t>
  </si>
  <si>
    <t>jig</t>
  </si>
  <si>
    <t>gigue</t>
  </si>
  <si>
    <t>gigas</t>
  </si>
  <si>
    <t>/xiɣas/</t>
  </si>
  <si>
    <t>kikas</t>
  </si>
  <si>
    <t>gil</t>
  </si>
  <si>
    <t>/xil/</t>
  </si>
  <si>
    <t>gima</t>
  </si>
  <si>
    <t>/xima/</t>
  </si>
  <si>
    <t>kima</t>
  </si>
  <si>
    <t>giman</t>
  </si>
  <si>
    <t>/ximan/</t>
  </si>
  <si>
    <t>kiman</t>
  </si>
  <si>
    <t>gimas</t>
  </si>
  <si>
    <t>/ximas/</t>
  </si>
  <si>
    <t>kimas</t>
  </si>
  <si>
    <t>gira</t>
  </si>
  <si>
    <t>/xiɾa/</t>
  </si>
  <si>
    <t>giran</t>
  </si>
  <si>
    <t>/xiɾan/</t>
  </si>
  <si>
    <t>kiran</t>
  </si>
  <si>
    <t>girar</t>
  </si>
  <si>
    <t>/xiɾaɾ/</t>
  </si>
  <si>
    <t>kirar</t>
  </si>
  <si>
    <t>turn_over</t>
  </si>
  <si>
    <t>move_around</t>
  </si>
  <si>
    <t>orb</t>
  </si>
  <si>
    <t>orbit</t>
  </si>
  <si>
    <t>revolve</t>
  </si>
  <si>
    <t>circle</t>
  </si>
  <si>
    <t>circulate</t>
  </si>
  <si>
    <t>wheel</t>
  </si>
  <si>
    <t>wheel_around</t>
  </si>
  <si>
    <t>pivot</t>
  </si>
  <si>
    <t>swivel</t>
  </si>
  <si>
    <t>spin</t>
  </si>
  <si>
    <t>spin_around</t>
  </si>
  <si>
    <t>whirl</t>
  </si>
  <si>
    <t>reel</t>
  </si>
  <si>
    <t>gyrate</t>
  </si>
  <si>
    <t>tumble</t>
  </si>
  <si>
    <t>whirl_around</t>
  </si>
  <si>
    <t>girara</t>
  </si>
  <si>
    <t>/xiɾaɾa/</t>
  </si>
  <si>
    <t>kirara</t>
  </si>
  <si>
    <t>giraran</t>
  </si>
  <si>
    <t>/xiɾaɾan/</t>
  </si>
  <si>
    <t>kiraran</t>
  </si>
  <si>
    <t>giraras</t>
  </si>
  <si>
    <t>/xiɾaɾas/</t>
  </si>
  <si>
    <t>kiraras</t>
  </si>
  <si>
    <t>giras</t>
  </si>
  <si>
    <t>/xiɾas/</t>
  </si>
  <si>
    <t>kiras</t>
  </si>
  <si>
    <t>gis</t>
  </si>
  <si>
    <t>/xis/</t>
  </si>
  <si>
    <t>gitana</t>
  </si>
  <si>
    <t>/xitana/</t>
  </si>
  <si>
    <t>kitana</t>
  </si>
  <si>
    <t>gitanas</t>
  </si>
  <si>
    <t>/xitanas/</t>
  </si>
  <si>
    <t>kitanas</t>
  </si>
  <si>
    <t>haca</t>
  </si>
  <si>
    <t>hacas</t>
  </si>
  <si>
    <t>/akas/</t>
  </si>
  <si>
    <t>hacina</t>
  </si>
  <si>
    <t>hacinan</t>
  </si>
  <si>
    <t>/asinan/</t>
  </si>
  <si>
    <t>asinan</t>
  </si>
  <si>
    <t>hacinar</t>
  </si>
  <si>
    <t>/asinaɾ/</t>
  </si>
  <si>
    <t>asinar</t>
  </si>
  <si>
    <t>hacinara</t>
  </si>
  <si>
    <t>/asinaɾa/</t>
  </si>
  <si>
    <t>asinara</t>
  </si>
  <si>
    <t>hacinaran</t>
  </si>
  <si>
    <t>/asinaɾan/</t>
  </si>
  <si>
    <t>asinaran</t>
  </si>
  <si>
    <t>hacinaras</t>
  </si>
  <si>
    <t>/asinaɾas/</t>
  </si>
  <si>
    <t>asinaras</t>
  </si>
  <si>
    <t>hacinas</t>
  </si>
  <si>
    <t>haga</t>
  </si>
  <si>
    <t>/aɣa/</t>
  </si>
  <si>
    <t>hagan</t>
  </si>
  <si>
    <t>/aɣan/</t>
  </si>
  <si>
    <t>hagas</t>
  </si>
  <si>
    <t>/aɣas/</t>
  </si>
  <si>
    <t>hala</t>
  </si>
  <si>
    <t>halaga</t>
  </si>
  <si>
    <t>halagan</t>
  </si>
  <si>
    <t>halagar</t>
  </si>
  <si>
    <t>halagara</t>
  </si>
  <si>
    <t>halagaran</t>
  </si>
  <si>
    <t>halagaras</t>
  </si>
  <si>
    <t>halagas</t>
  </si>
  <si>
    <t>halan</t>
  </si>
  <si>
    <t>halar</t>
  </si>
  <si>
    <t>halara</t>
  </si>
  <si>
    <t>/alaɾa/</t>
  </si>
  <si>
    <t>alara</t>
  </si>
  <si>
    <t>halaran</t>
  </si>
  <si>
    <t>/alaɾan/</t>
  </si>
  <si>
    <t>alaran</t>
  </si>
  <si>
    <t>halaras</t>
  </si>
  <si>
    <t>/alaɾas/</t>
  </si>
  <si>
    <t>alaras</t>
  </si>
  <si>
    <t>halas</t>
  </si>
  <si>
    <t>halla</t>
  </si>
  <si>
    <t>/aʎa/</t>
  </si>
  <si>
    <t>hallan</t>
  </si>
  <si>
    <t>/aʎan/</t>
  </si>
  <si>
    <t>allan</t>
  </si>
  <si>
    <t>hallar</t>
  </si>
  <si>
    <t>/aʎaɾ/</t>
  </si>
  <si>
    <t>allar</t>
  </si>
  <si>
    <t>fall_upon</t>
  </si>
  <si>
    <t>come_upon</t>
  </si>
  <si>
    <t>light_upon</t>
  </si>
  <si>
    <t>chance_upon</t>
  </si>
  <si>
    <t>come_across</t>
  </si>
  <si>
    <t>chance_on</t>
  </si>
  <si>
    <t>happen_upon</t>
  </si>
  <si>
    <t>attain</t>
  </si>
  <si>
    <t>discover</t>
  </si>
  <si>
    <t>hallara</t>
  </si>
  <si>
    <t>/aʎaɾa/</t>
  </si>
  <si>
    <t>allara</t>
  </si>
  <si>
    <t>hallaran</t>
  </si>
  <si>
    <t>/aʎaɾan/</t>
  </si>
  <si>
    <t>allaran</t>
  </si>
  <si>
    <t>hallaras</t>
  </si>
  <si>
    <t>/aʎaɾas/</t>
  </si>
  <si>
    <t>allaras</t>
  </si>
  <si>
    <t>hallas</t>
  </si>
  <si>
    <t>/aʎas/</t>
  </si>
  <si>
    <t>hallulla</t>
  </si>
  <si>
    <t>/aʎuʎa/</t>
  </si>
  <si>
    <t>allulla</t>
  </si>
  <si>
    <t>hallullas</t>
  </si>
  <si>
    <t>/aʎuʎas/</t>
  </si>
  <si>
    <t>allullas</t>
  </si>
  <si>
    <t>hamaca</t>
  </si>
  <si>
    <t>/amaka/</t>
  </si>
  <si>
    <t>hamacas</t>
  </si>
  <si>
    <t>/amakas/</t>
  </si>
  <si>
    <t>haragana</t>
  </si>
  <si>
    <t>/aɾaɣana/</t>
  </si>
  <si>
    <t>arakana</t>
  </si>
  <si>
    <t>haraganas</t>
  </si>
  <si>
    <t>/aɾaɣanas/</t>
  </si>
  <si>
    <t>arakanas</t>
  </si>
  <si>
    <t>harija</t>
  </si>
  <si>
    <t>/aɾixa/</t>
  </si>
  <si>
    <t>harijas</t>
  </si>
  <si>
    <t>/aɾixas/</t>
  </si>
  <si>
    <t>harina</t>
  </si>
  <si>
    <t>/aɾina/</t>
  </si>
  <si>
    <t>arina</t>
  </si>
  <si>
    <t>oil_meal</t>
  </si>
  <si>
    <t>harinas</t>
  </si>
  <si>
    <t>/aɾinas/</t>
  </si>
  <si>
    <t>arinas</t>
  </si>
  <si>
    <t>has</t>
  </si>
  <si>
    <t>hataca</t>
  </si>
  <si>
    <t>hatacas</t>
  </si>
  <si>
    <t>haz</t>
  </si>
  <si>
    <t>fagot</t>
  </si>
  <si>
    <t>faggot</t>
  </si>
  <si>
    <t>streak</t>
  </si>
  <si>
    <t>beam</t>
  </si>
  <si>
    <t>beam_of_light</t>
  </si>
  <si>
    <t>light_beam</t>
  </si>
  <si>
    <t>ray</t>
  </si>
  <si>
    <t>ray_of_light</t>
  </si>
  <si>
    <t>shaft_of_light</t>
  </si>
  <si>
    <t>irradiation</t>
  </si>
  <si>
    <t>haza</t>
  </si>
  <si>
    <t>hazana</t>
  </si>
  <si>
    <t>/asana/</t>
  </si>
  <si>
    <t>asana</t>
  </si>
  <si>
    <t>hazanas</t>
  </si>
  <si>
    <t>/asanas/</t>
  </si>
  <si>
    <t>asanas</t>
  </si>
  <si>
    <t>hazaña</t>
  </si>
  <si>
    <t>/asaɲa/</t>
  </si>
  <si>
    <t>asaña</t>
  </si>
  <si>
    <t>feat</t>
  </si>
  <si>
    <t>exploit</t>
  </si>
  <si>
    <t>tour_de_force</t>
  </si>
  <si>
    <t>hazañas</t>
  </si>
  <si>
    <t>/asaɲas/</t>
  </si>
  <si>
    <t>asañas</t>
  </si>
  <si>
    <t>hazas</t>
  </si>
  <si>
    <t>hialina</t>
  </si>
  <si>
    <t>/jalina/</t>
  </si>
  <si>
    <t>yalina</t>
  </si>
  <si>
    <t>hialinas</t>
  </si>
  <si>
    <t>/jalinas/</t>
  </si>
  <si>
    <t>yalinas</t>
  </si>
  <si>
    <t>higa</t>
  </si>
  <si>
    <t>/iɣa/</t>
  </si>
  <si>
    <t>higas</t>
  </si>
  <si>
    <t>/iɣas/</t>
  </si>
  <si>
    <t>ikas</t>
  </si>
  <si>
    <t>hija</t>
  </si>
  <si>
    <t>/ixa/</t>
  </si>
  <si>
    <t>child</t>
  </si>
  <si>
    <t>kid</t>
  </si>
  <si>
    <t>daughter</t>
  </si>
  <si>
    <t>hijas</t>
  </si>
  <si>
    <t>/ixas/</t>
  </si>
  <si>
    <t>hijuca</t>
  </si>
  <si>
    <t>/ixuka/</t>
  </si>
  <si>
    <t>ikuka</t>
  </si>
  <si>
    <t>hijucas</t>
  </si>
  <si>
    <t>/ixukas/</t>
  </si>
  <si>
    <t>ikukas</t>
  </si>
  <si>
    <t>hila</t>
  </si>
  <si>
    <t>/ila/</t>
  </si>
  <si>
    <t>ila</t>
  </si>
  <si>
    <t>hilan</t>
  </si>
  <si>
    <t>/ilan/</t>
  </si>
  <si>
    <t>ilan</t>
  </si>
  <si>
    <t>hilar</t>
  </si>
  <si>
    <t>/ilaɾ/</t>
  </si>
  <si>
    <t>ilar</t>
  </si>
  <si>
    <t>weave</t>
  </si>
  <si>
    <t>tissue</t>
  </si>
  <si>
    <t>hilara</t>
  </si>
  <si>
    <t>/ilaɾa/</t>
  </si>
  <si>
    <t>ilara</t>
  </si>
  <si>
    <t>hilaran</t>
  </si>
  <si>
    <t>/ilaɾan/</t>
  </si>
  <si>
    <t>ilaran</t>
  </si>
  <si>
    <t>hilaras</t>
  </si>
  <si>
    <t>/ilaɾas/</t>
  </si>
  <si>
    <t>ilaras</t>
  </si>
  <si>
    <t>hilas</t>
  </si>
  <si>
    <t>/ilas/</t>
  </si>
  <si>
    <t>ilas</t>
  </si>
  <si>
    <t>hilatura</t>
  </si>
  <si>
    <t>/ilatuɾa/</t>
  </si>
  <si>
    <t>ilatura</t>
  </si>
  <si>
    <t>hilaturas</t>
  </si>
  <si>
    <t>/ilatuɾas/</t>
  </si>
  <si>
    <t>ilaturas</t>
  </si>
  <si>
    <t>hilaza</t>
  </si>
  <si>
    <t>/ilasa/</t>
  </si>
  <si>
    <t>ilasa</t>
  </si>
  <si>
    <t>hilazas</t>
  </si>
  <si>
    <t>/ilasas/</t>
  </si>
  <si>
    <t>ilasas</t>
  </si>
  <si>
    <t>hin</t>
  </si>
  <si>
    <t>hiña</t>
  </si>
  <si>
    <t>/iɲa/</t>
  </si>
  <si>
    <t>iña</t>
  </si>
  <si>
    <t>hiñan</t>
  </si>
  <si>
    <t>/iɲan/</t>
  </si>
  <si>
    <t>iñan</t>
  </si>
  <si>
    <t>hiñas</t>
  </si>
  <si>
    <t>hiñir</t>
  </si>
  <si>
    <t>/iɲiɾ/</t>
  </si>
  <si>
    <t>iñir</t>
  </si>
  <si>
    <t>hipa</t>
  </si>
  <si>
    <t>/ipa/</t>
  </si>
  <si>
    <t>ipa</t>
  </si>
  <si>
    <t>hipan</t>
  </si>
  <si>
    <t>/ipan/</t>
  </si>
  <si>
    <t>ipan</t>
  </si>
  <si>
    <t>hipar</t>
  </si>
  <si>
    <t>/ipaɾ/</t>
  </si>
  <si>
    <t>ipar</t>
  </si>
  <si>
    <t>hipara</t>
  </si>
  <si>
    <t>/ipaɾa/</t>
  </si>
  <si>
    <t>ipara</t>
  </si>
  <si>
    <t>hiparan</t>
  </si>
  <si>
    <t>/ipaɾan/</t>
  </si>
  <si>
    <t>iparan</t>
  </si>
  <si>
    <t>hiparas</t>
  </si>
  <si>
    <t>/ipaɾas/</t>
  </si>
  <si>
    <t>iparas</t>
  </si>
  <si>
    <t>hipas</t>
  </si>
  <si>
    <t>/ipas/</t>
  </si>
  <si>
    <t>ipas</t>
  </si>
  <si>
    <t>hita</t>
  </si>
  <si>
    <t>hitan</t>
  </si>
  <si>
    <t>/itan/</t>
  </si>
  <si>
    <t>itan</t>
  </si>
  <si>
    <t>hitar</t>
  </si>
  <si>
    <t>/itaɾ/</t>
  </si>
  <si>
    <t>itar</t>
  </si>
  <si>
    <t>hitara</t>
  </si>
  <si>
    <t>/itaɾa/</t>
  </si>
  <si>
    <t>itara</t>
  </si>
  <si>
    <t>hitaran</t>
  </si>
  <si>
    <t>/itaɾan/</t>
  </si>
  <si>
    <t>itaran</t>
  </si>
  <si>
    <t>hitaras</t>
  </si>
  <si>
    <t>/itaɾas/</t>
  </si>
  <si>
    <t>itaras</t>
  </si>
  <si>
    <t>hitas</t>
  </si>
  <si>
    <t>/itas/</t>
  </si>
  <si>
    <t>itas</t>
  </si>
  <si>
    <t>hu</t>
  </si>
  <si>
    <t>hulana</t>
  </si>
  <si>
    <t>/ulana/</t>
  </si>
  <si>
    <t>ulana</t>
  </si>
  <si>
    <t>hulanas</t>
  </si>
  <si>
    <t>/ulanas/</t>
  </si>
  <si>
    <t>ulanas</t>
  </si>
  <si>
    <t>hulla</t>
  </si>
  <si>
    <t>/uʎa/</t>
  </si>
  <si>
    <t>ulla</t>
  </si>
  <si>
    <t>hullas</t>
  </si>
  <si>
    <t>/uʎas/</t>
  </si>
  <si>
    <t>ullas</t>
  </si>
  <si>
    <t>/um/</t>
  </si>
  <si>
    <t>um</t>
  </si>
  <si>
    <t>huma</t>
  </si>
  <si>
    <t>/uma/</t>
  </si>
  <si>
    <t>uma</t>
  </si>
  <si>
    <t>human</t>
  </si>
  <si>
    <t>humana</t>
  </si>
  <si>
    <t>/umana/</t>
  </si>
  <si>
    <t>umana</t>
  </si>
  <si>
    <t>humanan</t>
  </si>
  <si>
    <t>/umanan/</t>
  </si>
  <si>
    <t>umanan</t>
  </si>
  <si>
    <t>humanar</t>
  </si>
  <si>
    <t>/umanaɾ/</t>
  </si>
  <si>
    <t>umanar</t>
  </si>
  <si>
    <t>humanara</t>
  </si>
  <si>
    <t>/umanaɾa/</t>
  </si>
  <si>
    <t>umanara</t>
  </si>
  <si>
    <t>humanaran</t>
  </si>
  <si>
    <t>/umanaɾan/</t>
  </si>
  <si>
    <t>umanaran</t>
  </si>
  <si>
    <t>humanaras</t>
  </si>
  <si>
    <t>/umanaɾas/</t>
  </si>
  <si>
    <t>umanaras</t>
  </si>
  <si>
    <t>humanas</t>
  </si>
  <si>
    <t>/umanas/</t>
  </si>
  <si>
    <t>umanas</t>
  </si>
  <si>
    <t>humaniza</t>
  </si>
  <si>
    <t>/umanisa/</t>
  </si>
  <si>
    <t>umanisa</t>
  </si>
  <si>
    <t>humanizan</t>
  </si>
  <si>
    <t>/umanisan/</t>
  </si>
  <si>
    <t>umanisan</t>
  </si>
  <si>
    <t>humanizar</t>
  </si>
  <si>
    <t>/umanisaɾ/</t>
  </si>
  <si>
    <t>umanisar</t>
  </si>
  <si>
    <t>humanizara</t>
  </si>
  <si>
    <t>/umanisaɾa/</t>
  </si>
  <si>
    <t>umanisara</t>
  </si>
  <si>
    <t>humanizaran</t>
  </si>
  <si>
    <t>/umanisaɾan/</t>
  </si>
  <si>
    <t>umanisaran</t>
  </si>
  <si>
    <t>humanizaras</t>
  </si>
  <si>
    <t>/umanisaɾas/</t>
  </si>
  <si>
    <t>umanisaras</t>
  </si>
  <si>
    <t>humanizas</t>
  </si>
  <si>
    <t>/umanisas/</t>
  </si>
  <si>
    <t>umanisas</t>
  </si>
  <si>
    <t>humar</t>
  </si>
  <si>
    <t>/umaɾ/</t>
  </si>
  <si>
    <t>umar</t>
  </si>
  <si>
    <t>humara</t>
  </si>
  <si>
    <t>/umaɾa/</t>
  </si>
  <si>
    <t>umara</t>
  </si>
  <si>
    <t>humaran</t>
  </si>
  <si>
    <t>/umaɾan/</t>
  </si>
  <si>
    <t>umaran</t>
  </si>
  <si>
    <t>humaras</t>
  </si>
  <si>
    <t>/umaɾas/</t>
  </si>
  <si>
    <t>umaras</t>
  </si>
  <si>
    <t>humas</t>
  </si>
  <si>
    <t>/umas/</t>
  </si>
  <si>
    <t>umas</t>
  </si>
  <si>
    <t>humaza</t>
  </si>
  <si>
    <t>/umasa/</t>
  </si>
  <si>
    <t>umasa</t>
  </si>
  <si>
    <t>humazas</t>
  </si>
  <si>
    <t>/umasas/</t>
  </si>
  <si>
    <t>umasas</t>
  </si>
  <si>
    <t>humilla</t>
  </si>
  <si>
    <t>/umiʎa/</t>
  </si>
  <si>
    <t>umilla</t>
  </si>
  <si>
    <t>humillan</t>
  </si>
  <si>
    <t>/umiʎan/</t>
  </si>
  <si>
    <t>umillan</t>
  </si>
  <si>
    <t>humillar</t>
  </si>
  <si>
    <t>/umiʎaɾ/</t>
  </si>
  <si>
    <t>umillar</t>
  </si>
  <si>
    <t>shame</t>
  </si>
  <si>
    <t>humiliate</t>
  </si>
  <si>
    <t>mortify</t>
  </si>
  <si>
    <t>chagrin</t>
  </si>
  <si>
    <t>humble</t>
  </si>
  <si>
    <t>abase</t>
  </si>
  <si>
    <t>humillara</t>
  </si>
  <si>
    <t>/umiʎaɾa/</t>
  </si>
  <si>
    <t>umillara</t>
  </si>
  <si>
    <t>humillaran</t>
  </si>
  <si>
    <t>/umiʎaɾan/</t>
  </si>
  <si>
    <t>umillaran</t>
  </si>
  <si>
    <t>humillaras</t>
  </si>
  <si>
    <t>/umiʎaɾas/</t>
  </si>
  <si>
    <t>umillaras</t>
  </si>
  <si>
    <t>humillas</t>
  </si>
  <si>
    <t>/umiʎas/</t>
  </si>
  <si>
    <t>umillas</t>
  </si>
  <si>
    <t>humita</t>
  </si>
  <si>
    <t>/umita/</t>
  </si>
  <si>
    <t>umita</t>
  </si>
  <si>
    <t>humitas</t>
  </si>
  <si>
    <t>/umitas/</t>
  </si>
  <si>
    <t>umitas</t>
  </si>
  <si>
    <t>huna</t>
  </si>
  <si>
    <t>/una/</t>
  </si>
  <si>
    <t>una</t>
  </si>
  <si>
    <t>hunas</t>
  </si>
  <si>
    <t>/unas/</t>
  </si>
  <si>
    <t>unas</t>
  </si>
  <si>
    <t>huraña</t>
  </si>
  <si>
    <t>/uɾaɲa/</t>
  </si>
  <si>
    <t>uraña</t>
  </si>
  <si>
    <t>hurañas</t>
  </si>
  <si>
    <t>/uɾaɲas/</t>
  </si>
  <si>
    <t>urañas</t>
  </si>
  <si>
    <t>husita</t>
  </si>
  <si>
    <t>/usita/</t>
  </si>
  <si>
    <t>usita</t>
  </si>
  <si>
    <t>husitas</t>
  </si>
  <si>
    <t>/usitas/</t>
  </si>
  <si>
    <t>usitas</t>
  </si>
  <si>
    <t>huta</t>
  </si>
  <si>
    <t>/uta/</t>
  </si>
  <si>
    <t>uta</t>
  </si>
  <si>
    <t>hutas</t>
  </si>
  <si>
    <t>/utas/</t>
  </si>
  <si>
    <t>utas</t>
  </si>
  <si>
    <t>huy</t>
  </si>
  <si>
    <t>ilicitana</t>
  </si>
  <si>
    <t>/ilisitana/</t>
  </si>
  <si>
    <t>ilisitana</t>
  </si>
  <si>
    <t>ilicitanas</t>
  </si>
  <si>
    <t>/ilisitanas/</t>
  </si>
  <si>
    <t>ilisitanas</t>
  </si>
  <si>
    <t>ilimita</t>
  </si>
  <si>
    <t>/ilimita/</t>
  </si>
  <si>
    <t>ilimitan</t>
  </si>
  <si>
    <t>/ilimitan/</t>
  </si>
  <si>
    <t>ilimitar</t>
  </si>
  <si>
    <t>/ilimitaɾ/</t>
  </si>
  <si>
    <t>ilimitara</t>
  </si>
  <si>
    <t>/ilimitaɾa/</t>
  </si>
  <si>
    <t>ilimitaran</t>
  </si>
  <si>
    <t>/ilimitaɾan/</t>
  </si>
  <si>
    <t>ilimitaras</t>
  </si>
  <si>
    <t>/ilimitaɾas/</t>
  </si>
  <si>
    <t>ilimitas</t>
  </si>
  <si>
    <t>/ilimitas/</t>
  </si>
  <si>
    <t>ilumina</t>
  </si>
  <si>
    <t>/ilumina/</t>
  </si>
  <si>
    <t>iluminan</t>
  </si>
  <si>
    <t>/iluminan/</t>
  </si>
  <si>
    <t>iluminar</t>
  </si>
  <si>
    <t>/iluminaɾ/</t>
  </si>
  <si>
    <t>illume</t>
  </si>
  <si>
    <t>illumine</t>
  </si>
  <si>
    <t>light_up</t>
  </si>
  <si>
    <t>illuminate</t>
  </si>
  <si>
    <t>enlighten</t>
  </si>
  <si>
    <t>edify</t>
  </si>
  <si>
    <t>fall</t>
  </si>
  <si>
    <t>iluminara</t>
  </si>
  <si>
    <t>/iluminaɾa/</t>
  </si>
  <si>
    <t>iluminaran</t>
  </si>
  <si>
    <t>/iluminaɾan/</t>
  </si>
  <si>
    <t>iluminaras</t>
  </si>
  <si>
    <t>/iluminaɾas/</t>
  </si>
  <si>
    <t>iluminas</t>
  </si>
  <si>
    <t>/iluminas/</t>
  </si>
  <si>
    <t>ilusa</t>
  </si>
  <si>
    <t>/ilusa/</t>
  </si>
  <si>
    <t>ilusas</t>
  </si>
  <si>
    <t>/ilusas/</t>
  </si>
  <si>
    <t>imagina</t>
  </si>
  <si>
    <t>/imaxina/</t>
  </si>
  <si>
    <t>imakina</t>
  </si>
  <si>
    <t>imaginan</t>
  </si>
  <si>
    <t>/imaxinan/</t>
  </si>
  <si>
    <t>imakinan</t>
  </si>
  <si>
    <t>imaginar</t>
  </si>
  <si>
    <t>/imaxinaɾ/</t>
  </si>
  <si>
    <t>imakinar</t>
  </si>
  <si>
    <t>think</t>
  </si>
  <si>
    <t>opine</t>
  </si>
  <si>
    <t>suppose</t>
  </si>
  <si>
    <t>imagine</t>
  </si>
  <si>
    <t>reckon</t>
  </si>
  <si>
    <t>conceive_of</t>
  </si>
  <si>
    <t>ideate</t>
  </si>
  <si>
    <t>envisage</t>
  </si>
  <si>
    <t>imaginara</t>
  </si>
  <si>
    <t>/imaxinaɾa/</t>
  </si>
  <si>
    <t>imakinara</t>
  </si>
  <si>
    <t>imaginaran</t>
  </si>
  <si>
    <t>/imaxinaɾan/</t>
  </si>
  <si>
    <t>imakinaran</t>
  </si>
  <si>
    <t>imaginaras</t>
  </si>
  <si>
    <t>/imaxinaɾas/</t>
  </si>
  <si>
    <t>imakinaras</t>
  </si>
  <si>
    <t>imaginas</t>
  </si>
  <si>
    <t>/imaxinas/</t>
  </si>
  <si>
    <t>imakinas</t>
  </si>
  <si>
    <t>imana</t>
  </si>
  <si>
    <t>/imana/</t>
  </si>
  <si>
    <t>imanan</t>
  </si>
  <si>
    <t>/imanan/</t>
  </si>
  <si>
    <t>imanar</t>
  </si>
  <si>
    <t>/imanaɾ/</t>
  </si>
  <si>
    <t>imanara</t>
  </si>
  <si>
    <t>/imanaɾa/</t>
  </si>
  <si>
    <t>imanaran</t>
  </si>
  <si>
    <t>/imanaɾan/</t>
  </si>
  <si>
    <t>imanaras</t>
  </si>
  <si>
    <t>/imanaɾas/</t>
  </si>
  <si>
    <t>imanas</t>
  </si>
  <si>
    <t>/imanas/</t>
  </si>
  <si>
    <t>imitan</t>
  </si>
  <si>
    <t>/imitan/</t>
  </si>
  <si>
    <t>imitar</t>
  </si>
  <si>
    <t>/imitaɾ/</t>
  </si>
  <si>
    <t>spoof</t>
  </si>
  <si>
    <t>burlesque</t>
  </si>
  <si>
    <t>parody</t>
  </si>
  <si>
    <t>parrot</t>
  </si>
  <si>
    <t>imitate</t>
  </si>
  <si>
    <t>copy</t>
  </si>
  <si>
    <t>simulate</t>
  </si>
  <si>
    <t>ape</t>
  </si>
  <si>
    <t>imitara</t>
  </si>
  <si>
    <t>/imitaɾa/</t>
  </si>
  <si>
    <t>imitaran</t>
  </si>
  <si>
    <t>/imitaɾan/</t>
  </si>
  <si>
    <t>imitaras</t>
  </si>
  <si>
    <t>/imitaɾas/</t>
  </si>
  <si>
    <t>inhalan</t>
  </si>
  <si>
    <t>/inalan/</t>
  </si>
  <si>
    <t>inalan</t>
  </si>
  <si>
    <t>inhalar</t>
  </si>
  <si>
    <t>/inalaɾ/</t>
  </si>
  <si>
    <t>inalar</t>
  </si>
  <si>
    <t>huff</t>
  </si>
  <si>
    <t>snort</t>
  </si>
  <si>
    <t>inhalara</t>
  </si>
  <si>
    <t>/inalaɾa/</t>
  </si>
  <si>
    <t>inalara</t>
  </si>
  <si>
    <t>inhalaran</t>
  </si>
  <si>
    <t>/inalaɾan/</t>
  </si>
  <si>
    <t>inalaran</t>
  </si>
  <si>
    <t>inhalaras</t>
  </si>
  <si>
    <t>/inalaɾas/</t>
  </si>
  <si>
    <t>inalaras</t>
  </si>
  <si>
    <t>inhuma</t>
  </si>
  <si>
    <t>/inuma/</t>
  </si>
  <si>
    <t>inuma</t>
  </si>
  <si>
    <t>inhuman</t>
  </si>
  <si>
    <t>/inuman/</t>
  </si>
  <si>
    <t>inuman</t>
  </si>
  <si>
    <t>inhumana</t>
  </si>
  <si>
    <t>/inumana/</t>
  </si>
  <si>
    <t>inumana</t>
  </si>
  <si>
    <t>inhumanas</t>
  </si>
  <si>
    <t>/inumanas/</t>
  </si>
  <si>
    <t>inumanas</t>
  </si>
  <si>
    <t>inhumar</t>
  </si>
  <si>
    <t>/inumaɾ/</t>
  </si>
  <si>
    <t>inumar</t>
  </si>
  <si>
    <t>inhumara</t>
  </si>
  <si>
    <t>/inumaɾa/</t>
  </si>
  <si>
    <t>inumara</t>
  </si>
  <si>
    <t>inhumaran</t>
  </si>
  <si>
    <t>/inumaɾan/</t>
  </si>
  <si>
    <t>inumaran</t>
  </si>
  <si>
    <t>inhumaras</t>
  </si>
  <si>
    <t>/inumaɾas/</t>
  </si>
  <si>
    <t>inumaras</t>
  </si>
  <si>
    <t>inhumas</t>
  </si>
  <si>
    <t>/inumas/</t>
  </si>
  <si>
    <t>inumas</t>
  </si>
  <si>
    <t>inutiliza</t>
  </si>
  <si>
    <t>/inutilisa/</t>
  </si>
  <si>
    <t>inutilisa</t>
  </si>
  <si>
    <t>inutilizan</t>
  </si>
  <si>
    <t>/inutilisan/</t>
  </si>
  <si>
    <t>inutilisan</t>
  </si>
  <si>
    <t>inutilizar</t>
  </si>
  <si>
    <t>/inutilisaɾ/</t>
  </si>
  <si>
    <t>inutilisar</t>
  </si>
  <si>
    <t>cripple</t>
  </si>
  <si>
    <t>stultify</t>
  </si>
  <si>
    <t>inutilizara</t>
  </si>
  <si>
    <t>/inutilisaɾa/</t>
  </si>
  <si>
    <t>inutilisara</t>
  </si>
  <si>
    <t>inutilizaran</t>
  </si>
  <si>
    <t>/inutilisaɾan/</t>
  </si>
  <si>
    <t>inutilisaran</t>
  </si>
  <si>
    <t>inutilizaras</t>
  </si>
  <si>
    <t>/inutilisaɾas/</t>
  </si>
  <si>
    <t>inutilisaras</t>
  </si>
  <si>
    <t>inutilizas</t>
  </si>
  <si>
    <t>/inutilisas/</t>
  </si>
  <si>
    <t>inutilisas</t>
  </si>
  <si>
    <t>ir</t>
  </si>
  <si>
    <t>/iɾ/</t>
  </si>
  <si>
    <t>proceed</t>
  </si>
  <si>
    <t>travel</t>
  </si>
  <si>
    <t>locomote</t>
  </si>
  <si>
    <t>ride</t>
  </si>
  <si>
    <t>leave</t>
  </si>
  <si>
    <t>go_forth</t>
  </si>
  <si>
    <t>go_away</t>
  </si>
  <si>
    <t>attend</t>
  </si>
  <si>
    <t>go_to</t>
  </si>
  <si>
    <t>fare</t>
  </si>
  <si>
    <t>make_out</t>
  </si>
  <si>
    <t>come</t>
  </si>
  <si>
    <t>get_along</t>
  </si>
  <si>
    <t>extend</t>
  </si>
  <si>
    <t>become</t>
  </si>
  <si>
    <t>angriness</t>
  </si>
  <si>
    <t>iras</t>
  </si>
  <si>
    <t>/iɾas/</t>
  </si>
  <si>
    <t>iris</t>
  </si>
  <si>
    <t>/iɾis/</t>
  </si>
  <si>
    <t>irisa</t>
  </si>
  <si>
    <t>/iɾisa/</t>
  </si>
  <si>
    <t>irisan</t>
  </si>
  <si>
    <t>/iɾisan/</t>
  </si>
  <si>
    <t>irisar</t>
  </si>
  <si>
    <t>/iɾisaɾ/</t>
  </si>
  <si>
    <t>irisara</t>
  </si>
  <si>
    <t>/iɾisaɾa/</t>
  </si>
  <si>
    <t>irisaran</t>
  </si>
  <si>
    <t>/iɾisaɾan/</t>
  </si>
  <si>
    <t>irisaras</t>
  </si>
  <si>
    <t>/iɾisaɾas/</t>
  </si>
  <si>
    <t>irisas</t>
  </si>
  <si>
    <t>/iɾisas/</t>
  </si>
  <si>
    <t>isatis</t>
  </si>
  <si>
    <t>/isatis/</t>
  </si>
  <si>
    <t>Isatis</t>
  </si>
  <si>
    <t>genus_Isatis</t>
  </si>
  <si>
    <t>iza</t>
  </si>
  <si>
    <t>/isa/</t>
  </si>
  <si>
    <t>isa</t>
  </si>
  <si>
    <t>izan</t>
  </si>
  <si>
    <t>/isan/</t>
  </si>
  <si>
    <t>isan</t>
  </si>
  <si>
    <t>izar</t>
  </si>
  <si>
    <t>/isaɾ/</t>
  </si>
  <si>
    <t>isar</t>
  </si>
  <si>
    <t>izara</t>
  </si>
  <si>
    <t>/isaɾa/</t>
  </si>
  <si>
    <t>isara</t>
  </si>
  <si>
    <t>izaran</t>
  </si>
  <si>
    <t>/isaɾan/</t>
  </si>
  <si>
    <t>isaran</t>
  </si>
  <si>
    <t>izaras</t>
  </si>
  <si>
    <t>/isaɾas/</t>
  </si>
  <si>
    <t>isaras</t>
  </si>
  <si>
    <t>izas</t>
  </si>
  <si>
    <t>/isas/</t>
  </si>
  <si>
    <t>isas</t>
  </si>
  <si>
    <t>jaca</t>
  </si>
  <si>
    <t>/xaka/</t>
  </si>
  <si>
    <t>jacas</t>
  </si>
  <si>
    <t>/xakas/</t>
  </si>
  <si>
    <t>jala</t>
  </si>
  <si>
    <t>/xala/</t>
  </si>
  <si>
    <t>jalan</t>
  </si>
  <si>
    <t>/xalan/</t>
  </si>
  <si>
    <t>jalapa</t>
  </si>
  <si>
    <t>/xalapa/</t>
  </si>
  <si>
    <t>kalapa</t>
  </si>
  <si>
    <t>jalapas</t>
  </si>
  <si>
    <t>/xalapas/</t>
  </si>
  <si>
    <t>kalapas</t>
  </si>
  <si>
    <t>jalar</t>
  </si>
  <si>
    <t>/xalaɾ/</t>
  </si>
  <si>
    <t>tug</t>
  </si>
  <si>
    <t>pluck</t>
  </si>
  <si>
    <t>tweak</t>
  </si>
  <si>
    <t>pull_off</t>
  </si>
  <si>
    <t>pick_off</t>
  </si>
  <si>
    <t>pull</t>
  </si>
  <si>
    <t>jalara</t>
  </si>
  <si>
    <t>/xalaɾa/</t>
  </si>
  <si>
    <t>jalaran</t>
  </si>
  <si>
    <t>/xalaɾan/</t>
  </si>
  <si>
    <t>jalaras</t>
  </si>
  <si>
    <t>/xalaɾas/</t>
  </si>
  <si>
    <t>jalas</t>
  </si>
  <si>
    <t>/xalas/</t>
  </si>
  <si>
    <t>jama</t>
  </si>
  <si>
    <t>/xama/</t>
  </si>
  <si>
    <t>jaman</t>
  </si>
  <si>
    <t>/xaman/</t>
  </si>
  <si>
    <t>jamar</t>
  </si>
  <si>
    <t>/xamaɾ/</t>
  </si>
  <si>
    <t>kamar</t>
  </si>
  <si>
    <t>jamara</t>
  </si>
  <si>
    <t>/xamaɾa/</t>
  </si>
  <si>
    <t>kamara</t>
  </si>
  <si>
    <t>jamaran</t>
  </si>
  <si>
    <t>/xamaɾan/</t>
  </si>
  <si>
    <t>kamaran</t>
  </si>
  <si>
    <t>jamaras</t>
  </si>
  <si>
    <t>/xamaɾas/</t>
  </si>
  <si>
    <t>kamaras</t>
  </si>
  <si>
    <t>jamas</t>
  </si>
  <si>
    <t>/xamas/</t>
  </si>
  <si>
    <t>jamuga</t>
  </si>
  <si>
    <t>/xamuɣa/</t>
  </si>
  <si>
    <t>kamuka</t>
  </si>
  <si>
    <t>jamugas</t>
  </si>
  <si>
    <t>/xamuɣas/</t>
  </si>
  <si>
    <t>kamukas</t>
  </si>
  <si>
    <t>jamura</t>
  </si>
  <si>
    <t>/xamuɾa/</t>
  </si>
  <si>
    <t>kamura</t>
  </si>
  <si>
    <t>jamuran</t>
  </si>
  <si>
    <t>/xamuɾan/</t>
  </si>
  <si>
    <t>kamuran</t>
  </si>
  <si>
    <t>jamurar</t>
  </si>
  <si>
    <t>/xamuɾaɾ/</t>
  </si>
  <si>
    <t>kamurar</t>
  </si>
  <si>
    <t>jamurara</t>
  </si>
  <si>
    <t>/xamuɾaɾa/</t>
  </si>
  <si>
    <t>kamurara</t>
  </si>
  <si>
    <t>jamuraran</t>
  </si>
  <si>
    <t>/xamuɾaɾan/</t>
  </si>
  <si>
    <t>kamuraran</t>
  </si>
  <si>
    <t>jamuraras</t>
  </si>
  <si>
    <t>/xamuɾaɾas/</t>
  </si>
  <si>
    <t>kamuraras</t>
  </si>
  <si>
    <t>jamuras</t>
  </si>
  <si>
    <t>/xamuɾas/</t>
  </si>
  <si>
    <t>kamuras</t>
  </si>
  <si>
    <t>japuta</t>
  </si>
  <si>
    <t>/xaputa/</t>
  </si>
  <si>
    <t>kaputa</t>
  </si>
  <si>
    <t>japutas</t>
  </si>
  <si>
    <t>/xaputas/</t>
  </si>
  <si>
    <t>kaputas</t>
  </si>
  <si>
    <t>jara</t>
  </si>
  <si>
    <t>/xaɾa/</t>
  </si>
  <si>
    <t>jaracalla</t>
  </si>
  <si>
    <t>/xaɾakaʎa/</t>
  </si>
  <si>
    <t>jaracallas</t>
  </si>
  <si>
    <t>/xaɾakaʎas/</t>
  </si>
  <si>
    <t>jaral</t>
  </si>
  <si>
    <t>/xaɾal/</t>
  </si>
  <si>
    <t>karal</t>
  </si>
  <si>
    <t>jarana</t>
  </si>
  <si>
    <t>/xaɾana/</t>
  </si>
  <si>
    <t>karana</t>
  </si>
  <si>
    <t>jinks</t>
  </si>
  <si>
    <t>high_jinks</t>
  </si>
  <si>
    <t>hijinks</t>
  </si>
  <si>
    <t>high_jinx</t>
  </si>
  <si>
    <t>jaranas</t>
  </si>
  <si>
    <t>/xaɾanas/</t>
  </si>
  <si>
    <t>karanas</t>
  </si>
  <si>
    <t>jaras</t>
  </si>
  <si>
    <t>/xaɾas/</t>
  </si>
  <si>
    <t>jarica</t>
  </si>
  <si>
    <t>/xaɾika/</t>
  </si>
  <si>
    <t>karika</t>
  </si>
  <si>
    <t>jarican</t>
  </si>
  <si>
    <t>/xaɾikan/</t>
  </si>
  <si>
    <t>karikan</t>
  </si>
  <si>
    <t>jaricar</t>
  </si>
  <si>
    <t>/xaɾikaɾ/</t>
  </si>
  <si>
    <t>karikar</t>
  </si>
  <si>
    <t>jaricara</t>
  </si>
  <si>
    <t>/xaɾikaɾa/</t>
  </si>
  <si>
    <t>karikara</t>
  </si>
  <si>
    <t>jaricaran</t>
  </si>
  <si>
    <t>/xaɾikaɾan/</t>
  </si>
  <si>
    <t>karikaran</t>
  </si>
  <si>
    <t>jaricaras</t>
  </si>
  <si>
    <t>/xaɾikaɾas/</t>
  </si>
  <si>
    <t>karikaras</t>
  </si>
  <si>
    <t>jaricas</t>
  </si>
  <si>
    <t>/xaɾikas/</t>
  </si>
  <si>
    <t>karikas</t>
  </si>
  <si>
    <t>jasa</t>
  </si>
  <si>
    <t>/xasa/</t>
  </si>
  <si>
    <t>jasan</t>
  </si>
  <si>
    <t>/xasan/</t>
  </si>
  <si>
    <t>jasar</t>
  </si>
  <si>
    <t>/xasaɾ/</t>
  </si>
  <si>
    <t>jasara</t>
  </si>
  <si>
    <t>/xasaɾa/</t>
  </si>
  <si>
    <t>jasaran</t>
  </si>
  <si>
    <t>/xasaɾan/</t>
  </si>
  <si>
    <t>jasaras</t>
  </si>
  <si>
    <t>/xasaɾas/</t>
  </si>
  <si>
    <t>jasas</t>
  </si>
  <si>
    <t>/xasas/</t>
  </si>
  <si>
    <t>jata</t>
  </si>
  <si>
    <t>/xata/</t>
  </si>
  <si>
    <t>jatas</t>
  </si>
  <si>
    <t>/xatas/</t>
  </si>
  <si>
    <t>jazarina</t>
  </si>
  <si>
    <t>/xasaɾina/</t>
  </si>
  <si>
    <t>kasarina</t>
  </si>
  <si>
    <t>jazarinas</t>
  </si>
  <si>
    <t>/xasaɾinas/</t>
  </si>
  <si>
    <t>kasarinas</t>
  </si>
  <si>
    <t>ji</t>
  </si>
  <si>
    <t>/xi/</t>
  </si>
  <si>
    <t>jiga</t>
  </si>
  <si>
    <t>jigas</t>
  </si>
  <si>
    <t>jijallar</t>
  </si>
  <si>
    <t>/xixaʎaɾ/</t>
  </si>
  <si>
    <t>kikallar</t>
  </si>
  <si>
    <t>jijas</t>
  </si>
  <si>
    <t>/xixas/</t>
  </si>
  <si>
    <t>jipijapa</t>
  </si>
  <si>
    <t>/xipixapa/</t>
  </si>
  <si>
    <t>kipikapa</t>
  </si>
  <si>
    <t>jipijapas</t>
  </si>
  <si>
    <t>/xipixapas/</t>
  </si>
  <si>
    <t>kipikapas</t>
  </si>
  <si>
    <t>jira</t>
  </si>
  <si>
    <t>jiras</t>
  </si>
  <si>
    <t>jirasal</t>
  </si>
  <si>
    <t>/xiɾasal/</t>
  </si>
  <si>
    <t>kirasal</t>
  </si>
  <si>
    <t>jita</t>
  </si>
  <si>
    <t>/xita/</t>
  </si>
  <si>
    <t>jitan</t>
  </si>
  <si>
    <t>/xitan/</t>
  </si>
  <si>
    <t>kitan</t>
  </si>
  <si>
    <t>jitar</t>
  </si>
  <si>
    <t>/xitaɾ/</t>
  </si>
  <si>
    <t>kitar</t>
  </si>
  <si>
    <t>jitara</t>
  </si>
  <si>
    <t>/xitaɾa/</t>
  </si>
  <si>
    <t>jitaran</t>
  </si>
  <si>
    <t>/xitaɾan/</t>
  </si>
  <si>
    <t>kitaran</t>
  </si>
  <si>
    <t>jitaras</t>
  </si>
  <si>
    <t>/xitaɾas/</t>
  </si>
  <si>
    <t>kitaras</t>
  </si>
  <si>
    <t>jitas</t>
  </si>
  <si>
    <t>/xitas/</t>
  </si>
  <si>
    <t>jugar</t>
  </si>
  <si>
    <t>/xuɣaɾ/</t>
  </si>
  <si>
    <t>play</t>
  </si>
  <si>
    <t>toy</t>
  </si>
  <si>
    <t>encounter</t>
  </si>
  <si>
    <t>fiddle</t>
  </si>
  <si>
    <t>diddle</t>
  </si>
  <si>
    <t>jugara</t>
  </si>
  <si>
    <t>/xuɣaɾa/</t>
  </si>
  <si>
    <t>jugaran</t>
  </si>
  <si>
    <t>/xuɣaɾan/</t>
  </si>
  <si>
    <t>jugaras</t>
  </si>
  <si>
    <t>/xuɣaɾas/</t>
  </si>
  <si>
    <t>juma</t>
  </si>
  <si>
    <t>/xuma/</t>
  </si>
  <si>
    <t>kuma</t>
  </si>
  <si>
    <t>jumas</t>
  </si>
  <si>
    <t>/xumas/</t>
  </si>
  <si>
    <t>kumas</t>
  </si>
  <si>
    <t>juñir</t>
  </si>
  <si>
    <t>/xuɲiɾ/</t>
  </si>
  <si>
    <t>kuñir</t>
  </si>
  <si>
    <t>jura</t>
  </si>
  <si>
    <t>/xuɾa/</t>
  </si>
  <si>
    <t>juran</t>
  </si>
  <si>
    <t>/xuɾan/</t>
  </si>
  <si>
    <t>jurar</t>
  </si>
  <si>
    <t>/xuɾaɾ/</t>
  </si>
  <si>
    <t>curse</t>
  </si>
  <si>
    <t>blaspheme</t>
  </si>
  <si>
    <t>swear</t>
  </si>
  <si>
    <t>imprecate</t>
  </si>
  <si>
    <t>pledge</t>
  </si>
  <si>
    <t>plight</t>
  </si>
  <si>
    <t>vow</t>
  </si>
  <si>
    <t>jurara</t>
  </si>
  <si>
    <t>/xuɾaɾa/</t>
  </si>
  <si>
    <t>juraran</t>
  </si>
  <si>
    <t>/xuɾaɾan/</t>
  </si>
  <si>
    <t>juraras</t>
  </si>
  <si>
    <t>/xuɾaɾas/</t>
  </si>
  <si>
    <t>juras</t>
  </si>
  <si>
    <t>/xuɾas/</t>
  </si>
  <si>
    <t>jusi</t>
  </si>
  <si>
    <t>/xusi/</t>
  </si>
  <si>
    <t>kusi</t>
  </si>
  <si>
    <t>juta</t>
  </si>
  <si>
    <t>/xuta/</t>
  </si>
  <si>
    <t>jutas</t>
  </si>
  <si>
    <t>/xutas/</t>
  </si>
  <si>
    <t>kili</t>
  </si>
  <si>
    <t>/kili/</t>
  </si>
  <si>
    <t>laca</t>
  </si>
  <si>
    <t>lacas</t>
  </si>
  <si>
    <t>lagaña</t>
  </si>
  <si>
    <t>/laɣaɲa/</t>
  </si>
  <si>
    <t>lakaña</t>
  </si>
  <si>
    <t>lagañas</t>
  </si>
  <si>
    <t>/laɣaɲas/</t>
  </si>
  <si>
    <t>lakañas</t>
  </si>
  <si>
    <t>lagar</t>
  </si>
  <si>
    <t>/laɣaɾ/</t>
  </si>
  <si>
    <t>lakar</t>
  </si>
  <si>
    <t>cider_mill</t>
  </si>
  <si>
    <t>/laɣuna/</t>
  </si>
  <si>
    <t>lakuna</t>
  </si>
  <si>
    <t>lacuna</t>
  </si>
  <si>
    <t>blank</t>
  </si>
  <si>
    <t>loophole</t>
  </si>
  <si>
    <t>mere</t>
  </si>
  <si>
    <t>lagunar</t>
  </si>
  <si>
    <t>/laɣunaɾ/</t>
  </si>
  <si>
    <t>lakunar</t>
  </si>
  <si>
    <t>lagunas</t>
  </si>
  <si>
    <t>/laɣunas/</t>
  </si>
  <si>
    <t>lakunas</t>
  </si>
  <si>
    <t>laja</t>
  </si>
  <si>
    <t>/laxa/</t>
  </si>
  <si>
    <t>lajas</t>
  </si>
  <si>
    <t>/laxas/</t>
  </si>
  <si>
    <t>laman</t>
  </si>
  <si>
    <t>/laman/</t>
  </si>
  <si>
    <t>/lamas/</t>
  </si>
  <si>
    <t>laminan</t>
  </si>
  <si>
    <t>/laminan/</t>
  </si>
  <si>
    <t>laminar</t>
  </si>
  <si>
    <t>/laminaɾ/</t>
  </si>
  <si>
    <t>laminara</t>
  </si>
  <si>
    <t>/laminaɾa/</t>
  </si>
  <si>
    <t>laminaran</t>
  </si>
  <si>
    <t>/laminaɾan/</t>
  </si>
  <si>
    <t>laminaras</t>
  </si>
  <si>
    <t>/laminaɾas/</t>
  </si>
  <si>
    <t>laminilla</t>
  </si>
  <si>
    <t>/laminiʎa/</t>
  </si>
  <si>
    <t>laminillas</t>
  </si>
  <si>
    <t>/laminiʎas/</t>
  </si>
  <si>
    <t>lanar</t>
  </si>
  <si>
    <t>/lanaɾ/</t>
  </si>
  <si>
    <t>lanilla</t>
  </si>
  <si>
    <t>/laniʎa/</t>
  </si>
  <si>
    <t>lanillas</t>
  </si>
  <si>
    <t>/laniʎas/</t>
  </si>
  <si>
    <t>laña</t>
  </si>
  <si>
    <t>/laɲa/</t>
  </si>
  <si>
    <t>lañan</t>
  </si>
  <si>
    <t>/laɲan/</t>
  </si>
  <si>
    <t>lañar</t>
  </si>
  <si>
    <t>/laɲaɾ/</t>
  </si>
  <si>
    <t>lañara</t>
  </si>
  <si>
    <t>/laɲaɾa/</t>
  </si>
  <si>
    <t>lañaran</t>
  </si>
  <si>
    <t>/laɲaɾan/</t>
  </si>
  <si>
    <t>lañaras</t>
  </si>
  <si>
    <t>/laɲaɾas/</t>
  </si>
  <si>
    <t>lañas</t>
  </si>
  <si>
    <t>/laɲas/</t>
  </si>
  <si>
    <t>lapilla</t>
  </si>
  <si>
    <t>/lapiʎa/</t>
  </si>
  <si>
    <t>lapillas</t>
  </si>
  <si>
    <t>/lapiʎas/</t>
  </si>
  <si>
    <t>lapita</t>
  </si>
  <si>
    <t>/lapita/</t>
  </si>
  <si>
    <t>lapitas</t>
  </si>
  <si>
    <t>/lapitas/</t>
  </si>
  <si>
    <t>lapiza</t>
  </si>
  <si>
    <t>/lapisa/</t>
  </si>
  <si>
    <t>lapisa</t>
  </si>
  <si>
    <t>lapizan</t>
  </si>
  <si>
    <t>/lapisan/</t>
  </si>
  <si>
    <t>lapisan</t>
  </si>
  <si>
    <t>lapizar</t>
  </si>
  <si>
    <t>/lapisaɾ/</t>
  </si>
  <si>
    <t>lapisar</t>
  </si>
  <si>
    <t>lapizara</t>
  </si>
  <si>
    <t>/lapisaɾa/</t>
  </si>
  <si>
    <t>lapisara</t>
  </si>
  <si>
    <t>lapizaran</t>
  </si>
  <si>
    <t>/lapisaɾan/</t>
  </si>
  <si>
    <t>lapisaran</t>
  </si>
  <si>
    <t>lapizaras</t>
  </si>
  <si>
    <t>/lapisaɾas/</t>
  </si>
  <si>
    <t>lapisaras</t>
  </si>
  <si>
    <t>lapizas</t>
  </si>
  <si>
    <t>/lapisas/</t>
  </si>
  <si>
    <t>lapisas</t>
  </si>
  <si>
    <t>lar</t>
  </si>
  <si>
    <t>/laɾ/</t>
  </si>
  <si>
    <t>laricina</t>
  </si>
  <si>
    <t>/laɾisina/</t>
  </si>
  <si>
    <t>larisina</t>
  </si>
  <si>
    <t>laricinas</t>
  </si>
  <si>
    <t>/laɾisinas/</t>
  </si>
  <si>
    <t>larisinas</t>
  </si>
  <si>
    <t>lasaña</t>
  </si>
  <si>
    <t>/lasaɲa/</t>
  </si>
  <si>
    <t>lasagna</t>
  </si>
  <si>
    <t>lasagne</t>
  </si>
  <si>
    <t>lasañas</t>
  </si>
  <si>
    <t>/lasaɲas/</t>
  </si>
  <si>
    <t>tin</t>
  </si>
  <si>
    <t>tin_can</t>
  </si>
  <si>
    <t>drag</t>
  </si>
  <si>
    <t>fuddy-duddy</t>
  </si>
  <si>
    <t>latan</t>
  </si>
  <si>
    <t>/latan/</t>
  </si>
  <si>
    <t>lataz</t>
  </si>
  <si>
    <t>latina</t>
  </si>
  <si>
    <t>/latina/</t>
  </si>
  <si>
    <t>latinan</t>
  </si>
  <si>
    <t>/latinan/</t>
  </si>
  <si>
    <t>latinar</t>
  </si>
  <si>
    <t>/latinaɾ/</t>
  </si>
  <si>
    <t>latinara</t>
  </si>
  <si>
    <t>/latinaɾa/</t>
  </si>
  <si>
    <t>latinaran</t>
  </si>
  <si>
    <t>/latinaɾan/</t>
  </si>
  <si>
    <t>latinaras</t>
  </si>
  <si>
    <t>/latinaɾas/</t>
  </si>
  <si>
    <t>latinas</t>
  </si>
  <si>
    <t>/latinas/</t>
  </si>
  <si>
    <t>latiniza</t>
  </si>
  <si>
    <t>/latinisa/</t>
  </si>
  <si>
    <t>latinisa</t>
  </si>
  <si>
    <t>latinizan</t>
  </si>
  <si>
    <t>/latinisan/</t>
  </si>
  <si>
    <t>latinisan</t>
  </si>
  <si>
    <t>latinizar</t>
  </si>
  <si>
    <t>/latinisaɾ/</t>
  </si>
  <si>
    <t>latinisar</t>
  </si>
  <si>
    <t>Latinize</t>
  </si>
  <si>
    <t>Romanize</t>
  </si>
  <si>
    <t>Romanise</t>
  </si>
  <si>
    <t>Latinise</t>
  </si>
  <si>
    <t>latinizara</t>
  </si>
  <si>
    <t>/latinisaɾa/</t>
  </si>
  <si>
    <t>latinisara</t>
  </si>
  <si>
    <t>latinizaran</t>
  </si>
  <si>
    <t>/latinisaɾan/</t>
  </si>
  <si>
    <t>latinisaran</t>
  </si>
  <si>
    <t>latinizaras</t>
  </si>
  <si>
    <t>/latinisaɾas/</t>
  </si>
  <si>
    <t>latinisaras</t>
  </si>
  <si>
    <t>latinizas</t>
  </si>
  <si>
    <t>/latinisas/</t>
  </si>
  <si>
    <t>latinisas</t>
  </si>
  <si>
    <t>latir</t>
  </si>
  <si>
    <t>/latiɾ/</t>
  </si>
  <si>
    <t>pound</t>
  </si>
  <si>
    <t>thump</t>
  </si>
  <si>
    <t>shudder</t>
  </si>
  <si>
    <t>shiver</t>
  </si>
  <si>
    <t>thrill</t>
  </si>
  <si>
    <t>laza</t>
  </si>
  <si>
    <t>lazan</t>
  </si>
  <si>
    <t>/lasan/</t>
  </si>
  <si>
    <t>lasan</t>
  </si>
  <si>
    <t>lazar</t>
  </si>
  <si>
    <t>/lasaɾ/</t>
  </si>
  <si>
    <t>lasar</t>
  </si>
  <si>
    <t>lasso</t>
  </si>
  <si>
    <t>noose</t>
  </si>
  <si>
    <t>lazara</t>
  </si>
  <si>
    <t>/lasaɾa/</t>
  </si>
  <si>
    <t>lasara</t>
  </si>
  <si>
    <t>lazaran</t>
  </si>
  <si>
    <t>/lasaɾan/</t>
  </si>
  <si>
    <t>lasaran</t>
  </si>
  <si>
    <t>lazaras</t>
  </si>
  <si>
    <t>/lasaɾas/</t>
  </si>
  <si>
    <t>lasaras</t>
  </si>
  <si>
    <t>lazarina</t>
  </si>
  <si>
    <t>/lasaɾina/</t>
  </si>
  <si>
    <t>lasarina</t>
  </si>
  <si>
    <t>lazarinas</t>
  </si>
  <si>
    <t>/lasaɾinas/</t>
  </si>
  <si>
    <t>lasarinas</t>
  </si>
  <si>
    <t>lazas</t>
  </si>
  <si>
    <t>lazulita</t>
  </si>
  <si>
    <t>/lasulita/</t>
  </si>
  <si>
    <t>lasulita</t>
  </si>
  <si>
    <t>lazulitas</t>
  </si>
  <si>
    <t>/lasulitas/</t>
  </si>
  <si>
    <t>lasulitas</t>
  </si>
  <si>
    <t>licitan</t>
  </si>
  <si>
    <t>/lisitan/</t>
  </si>
  <si>
    <t>lisitan</t>
  </si>
  <si>
    <t>licitar</t>
  </si>
  <si>
    <t>/lisitaɾ/</t>
  </si>
  <si>
    <t>lisitar</t>
  </si>
  <si>
    <t>licitara</t>
  </si>
  <si>
    <t>/lisitaɾa/</t>
  </si>
  <si>
    <t>lisitara</t>
  </si>
  <si>
    <t>licitaran</t>
  </si>
  <si>
    <t>/lisitaɾan/</t>
  </si>
  <si>
    <t>lisitaran</t>
  </si>
  <si>
    <t>licitaras</t>
  </si>
  <si>
    <t>/lisitaɾas/</t>
  </si>
  <si>
    <t>lisitaras</t>
  </si>
  <si>
    <t>liga</t>
  </si>
  <si>
    <t>/liɣa/</t>
  </si>
  <si>
    <t>lika</t>
  </si>
  <si>
    <t>garter</t>
  </si>
  <si>
    <t>league</t>
  </si>
  <si>
    <t>conference</t>
  </si>
  <si>
    <t>birdlime</t>
  </si>
  <si>
    <t>ligamaza</t>
  </si>
  <si>
    <t>/liɣamasa/</t>
  </si>
  <si>
    <t>likamasa</t>
  </si>
  <si>
    <t>ligamazas</t>
  </si>
  <si>
    <t>/liɣamasas/</t>
  </si>
  <si>
    <t>likamasas</t>
  </si>
  <si>
    <t>ligan</t>
  </si>
  <si>
    <t>/liɣan/</t>
  </si>
  <si>
    <t>ligar</t>
  </si>
  <si>
    <t>/liɣaɾ/</t>
  </si>
  <si>
    <t>likar</t>
  </si>
  <si>
    <t>associate</t>
  </si>
  <si>
    <t>tie_in</t>
  </si>
  <si>
    <t>relate</t>
  </si>
  <si>
    <t>colligate</t>
  </si>
  <si>
    <t>link_up</t>
  </si>
  <si>
    <t>connect</t>
  </si>
  <si>
    <t>ligara</t>
  </si>
  <si>
    <t>/liɣaɾa/</t>
  </si>
  <si>
    <t>likara</t>
  </si>
  <si>
    <t>ligaran</t>
  </si>
  <si>
    <t>/liɣaɾan/</t>
  </si>
  <si>
    <t>likaran</t>
  </si>
  <si>
    <t>ligaras</t>
  </si>
  <si>
    <t>/liɣaɾas/</t>
  </si>
  <si>
    <t>likaras</t>
  </si>
  <si>
    <t>ligas</t>
  </si>
  <si>
    <t>/liɣas/</t>
  </si>
  <si>
    <t>likas</t>
  </si>
  <si>
    <t>liguilla</t>
  </si>
  <si>
    <t>/liɣiʎa/</t>
  </si>
  <si>
    <t>likilla</t>
  </si>
  <si>
    <t>liguillas</t>
  </si>
  <si>
    <t>/liɣiʎas/</t>
  </si>
  <si>
    <t>likillas</t>
  </si>
  <si>
    <t>ligur</t>
  </si>
  <si>
    <t>/liɣuɾ/</t>
  </si>
  <si>
    <t>likur</t>
  </si>
  <si>
    <t>ligurina</t>
  </si>
  <si>
    <t>/liɣuɾina/</t>
  </si>
  <si>
    <t>likurina</t>
  </si>
  <si>
    <t>ligurinas</t>
  </si>
  <si>
    <t>/liɣuɾinas/</t>
  </si>
  <si>
    <t>likurinas</t>
  </si>
  <si>
    <t>lija</t>
  </si>
  <si>
    <t>/lixa/</t>
  </si>
  <si>
    <t>lijan</t>
  </si>
  <si>
    <t>/lixan/</t>
  </si>
  <si>
    <t>lijar</t>
  </si>
  <si>
    <t>/lixaɾ/</t>
  </si>
  <si>
    <t>sandpaper</t>
  </si>
  <si>
    <t>lijara</t>
  </si>
  <si>
    <t>/lixaɾa/</t>
  </si>
  <si>
    <t>lijaran</t>
  </si>
  <si>
    <t>/lixaɾan/</t>
  </si>
  <si>
    <t>lijaras</t>
  </si>
  <si>
    <t>/lixaɾas/</t>
  </si>
  <si>
    <t>lijas</t>
  </si>
  <si>
    <t>/lixas/</t>
  </si>
  <si>
    <t>/lilak/</t>
  </si>
  <si>
    <t>lilak</t>
  </si>
  <si>
    <t>/lilas/</t>
  </si>
  <si>
    <t>limalla</t>
  </si>
  <si>
    <t>/limaʎa/</t>
  </si>
  <si>
    <t>limallas</t>
  </si>
  <si>
    <t>/limaʎas/</t>
  </si>
  <si>
    <t>liman</t>
  </si>
  <si>
    <t>/liman/</t>
  </si>
  <si>
    <t>limar</t>
  </si>
  <si>
    <t>/limaɾ/</t>
  </si>
  <si>
    <t>limara</t>
  </si>
  <si>
    <t>/limaɾa/</t>
  </si>
  <si>
    <t>limaran</t>
  </si>
  <si>
    <t>/limaɾan/</t>
  </si>
  <si>
    <t>limaras</t>
  </si>
  <si>
    <t>/limaɾas/</t>
  </si>
  <si>
    <t>limaza</t>
  </si>
  <si>
    <t>/limasa/</t>
  </si>
  <si>
    <t>limasa</t>
  </si>
  <si>
    <t>limazas</t>
  </si>
  <si>
    <t>/limasas/</t>
  </si>
  <si>
    <t>limasas</t>
  </si>
  <si>
    <t>limitan</t>
  </si>
  <si>
    <t>/limitan/</t>
  </si>
  <si>
    <t>limitar</t>
  </si>
  <si>
    <t>/limitaɾ/</t>
  </si>
  <si>
    <t>restrict</t>
  </si>
  <si>
    <t>restrain</t>
  </si>
  <si>
    <t>limit</t>
  </si>
  <si>
    <t>bound</t>
  </si>
  <si>
    <t>confine</t>
  </si>
  <si>
    <t>throttle</t>
  </si>
  <si>
    <t>circumscribe</t>
  </si>
  <si>
    <t>border</t>
  </si>
  <si>
    <t>limitara</t>
  </si>
  <si>
    <t>/limitaɾa/</t>
  </si>
  <si>
    <t>limitaran</t>
  </si>
  <si>
    <t>/limitaɾan/</t>
  </si>
  <si>
    <t>limitaras</t>
  </si>
  <si>
    <t>/limitaɾas/</t>
  </si>
  <si>
    <t>linar</t>
  </si>
  <si>
    <t>/linaɾ/</t>
  </si>
  <si>
    <t>linaza</t>
  </si>
  <si>
    <t>/linasa/</t>
  </si>
  <si>
    <t>linasa</t>
  </si>
  <si>
    <t>linazas</t>
  </si>
  <si>
    <t>/linasas/</t>
  </si>
  <si>
    <t>linasas</t>
  </si>
  <si>
    <t>lipis</t>
  </si>
  <si>
    <t>/lipis/</t>
  </si>
  <si>
    <t>/liɾa/</t>
  </si>
  <si>
    <t>lyre</t>
  </si>
  <si>
    <t>liras</t>
  </si>
  <si>
    <t>/liɾas/</t>
  </si>
  <si>
    <t>rabies</t>
  </si>
  <si>
    <t>hydrophobia</t>
  </si>
  <si>
    <t>lyssa</t>
  </si>
  <si>
    <t>madness</t>
  </si>
  <si>
    <t>lisis</t>
  </si>
  <si>
    <t>/lisis/</t>
  </si>
  <si>
    <t>lysis</t>
  </si>
  <si>
    <t>lisura</t>
  </si>
  <si>
    <t>/lisuɾa/</t>
  </si>
  <si>
    <t>lisuras</t>
  </si>
  <si>
    <t>/lisuɾas/</t>
  </si>
  <si>
    <t>lita</t>
  </si>
  <si>
    <t>/lita/</t>
  </si>
  <si>
    <t>litan</t>
  </si>
  <si>
    <t>/litan/</t>
  </si>
  <si>
    <t>litar</t>
  </si>
  <si>
    <t>/litaɾ/</t>
  </si>
  <si>
    <t>litara</t>
  </si>
  <si>
    <t>/litaɾa/</t>
  </si>
  <si>
    <t>litaran</t>
  </si>
  <si>
    <t>/litaɾan/</t>
  </si>
  <si>
    <t>litaras</t>
  </si>
  <si>
    <t>/litaɾas/</t>
  </si>
  <si>
    <t>litas</t>
  </si>
  <si>
    <t>/litas/</t>
  </si>
  <si>
    <t>litiga</t>
  </si>
  <si>
    <t>/litiɣa/</t>
  </si>
  <si>
    <t>litika</t>
  </si>
  <si>
    <t>litigan</t>
  </si>
  <si>
    <t>/litiɣan/</t>
  </si>
  <si>
    <t>litikan</t>
  </si>
  <si>
    <t>litigar</t>
  </si>
  <si>
    <t>/litiɣaɾ/</t>
  </si>
  <si>
    <t>litikar</t>
  </si>
  <si>
    <t>sue</t>
  </si>
  <si>
    <t>litigate</t>
  </si>
  <si>
    <t>litigara</t>
  </si>
  <si>
    <t>/litiɣaɾa/</t>
  </si>
  <si>
    <t>litikara</t>
  </si>
  <si>
    <t>litigaran</t>
  </si>
  <si>
    <t>/litiɣaɾan/</t>
  </si>
  <si>
    <t>litikaran</t>
  </si>
  <si>
    <t>litigaras</t>
  </si>
  <si>
    <t>/litiɣaɾas/</t>
  </si>
  <si>
    <t>litikaras</t>
  </si>
  <si>
    <t>litigas</t>
  </si>
  <si>
    <t>/litiɣas/</t>
  </si>
  <si>
    <t>litikas</t>
  </si>
  <si>
    <t>litina</t>
  </si>
  <si>
    <t>/litina/</t>
  </si>
  <si>
    <t>litinas</t>
  </si>
  <si>
    <t>/litinas/</t>
  </si>
  <si>
    <t>litis</t>
  </si>
  <si>
    <t>/litis/</t>
  </si>
  <si>
    <t>liza</t>
  </si>
  <si>
    <t>affray</t>
  </si>
  <si>
    <t>disturbance</t>
  </si>
  <si>
    <t>fray</t>
  </si>
  <si>
    <t>ruffle</t>
  </si>
  <si>
    <t>lizas</t>
  </si>
  <si>
    <t>llaca</t>
  </si>
  <si>
    <t>/ʎaka/</t>
  </si>
  <si>
    <t>llaka</t>
  </si>
  <si>
    <t>llacas</t>
  </si>
  <si>
    <t>/ʎakas/</t>
  </si>
  <si>
    <t>llakas</t>
  </si>
  <si>
    <t>llaga</t>
  </si>
  <si>
    <t>/ʎaɣa/</t>
  </si>
  <si>
    <t>canker</t>
  </si>
  <si>
    <t>canker_sore</t>
  </si>
  <si>
    <t>llagan</t>
  </si>
  <si>
    <t>/ʎaɣan/</t>
  </si>
  <si>
    <t>llakan</t>
  </si>
  <si>
    <t>llagar</t>
  </si>
  <si>
    <t>/ʎaɣaɾ/</t>
  </si>
  <si>
    <t>llakar</t>
  </si>
  <si>
    <t>llagara</t>
  </si>
  <si>
    <t>/ʎaɣaɾa/</t>
  </si>
  <si>
    <t>llakara</t>
  </si>
  <si>
    <t>llagaran</t>
  </si>
  <si>
    <t>/ʎaɣaɾan/</t>
  </si>
  <si>
    <t>llakaran</t>
  </si>
  <si>
    <t>llagaras</t>
  </si>
  <si>
    <t>/ʎaɣaɾas/</t>
  </si>
  <si>
    <t>llakaras</t>
  </si>
  <si>
    <t>llagas</t>
  </si>
  <si>
    <t>/ʎaɣas/</t>
  </si>
  <si>
    <t>/ʎama/</t>
  </si>
  <si>
    <t>llaman</t>
  </si>
  <si>
    <t>/ʎaman/</t>
  </si>
  <si>
    <t>llamar</t>
  </si>
  <si>
    <t>/ʎamaɾ/</t>
  </si>
  <si>
    <t>telephone</t>
  </si>
  <si>
    <t>call_up</t>
  </si>
  <si>
    <t>phone</t>
  </si>
  <si>
    <t>call_in</t>
  </si>
  <si>
    <t>buzz</t>
  </si>
  <si>
    <t>hail</t>
  </si>
  <si>
    <t>shout</t>
  </si>
  <si>
    <t>shout_out</t>
  </si>
  <si>
    <t>cry</t>
  </si>
  <si>
    <t>yell</t>
  </si>
  <si>
    <t>scream</t>
  </si>
  <si>
    <t>holler</t>
  </si>
  <si>
    <t>squall</t>
  </si>
  <si>
    <t>address</t>
  </si>
  <si>
    <t>accost</t>
  </si>
  <si>
    <t>come_up_to</t>
  </si>
  <si>
    <t>call_off</t>
  </si>
  <si>
    <t>llamara</t>
  </si>
  <si>
    <t>/ʎamaɾa/</t>
  </si>
  <si>
    <t>llamaran</t>
  </si>
  <si>
    <t>/ʎamaɾan/</t>
  </si>
  <si>
    <t>llamaras</t>
  </si>
  <si>
    <t>/ʎamaɾas/</t>
  </si>
  <si>
    <t>llamas</t>
  </si>
  <si>
    <t>/ʎamas/</t>
  </si>
  <si>
    <t>llamita</t>
  </si>
  <si>
    <t>/ʎamita/</t>
  </si>
  <si>
    <t>llamitas</t>
  </si>
  <si>
    <t>/ʎamitas/</t>
  </si>
  <si>
    <t>llana</t>
  </si>
  <si>
    <t>/ʎana/</t>
  </si>
  <si>
    <t>llanas</t>
  </si>
  <si>
    <t>/ʎanas/</t>
  </si>
  <si>
    <t>llanura</t>
  </si>
  <si>
    <t>/ʎanuɾa/</t>
  </si>
  <si>
    <t>prairie</t>
  </si>
  <si>
    <t>flat</t>
  </si>
  <si>
    <t>llano</t>
  </si>
  <si>
    <t>champaign</t>
  </si>
  <si>
    <t>prairie_soil</t>
  </si>
  <si>
    <t>llanuras</t>
  </si>
  <si>
    <t>/ʎanuɾas/</t>
  </si>
  <si>
    <t>llapa</t>
  </si>
  <si>
    <t>/ʎapa/</t>
  </si>
  <si>
    <t>llapan</t>
  </si>
  <si>
    <t>/ʎapan/</t>
  </si>
  <si>
    <t>llapar</t>
  </si>
  <si>
    <t>/ʎapaɾ/</t>
  </si>
  <si>
    <t>llapara</t>
  </si>
  <si>
    <t>/ʎapaɾa/</t>
  </si>
  <si>
    <t>llaparan</t>
  </si>
  <si>
    <t>/ʎapaɾan/</t>
  </si>
  <si>
    <t>llaparas</t>
  </si>
  <si>
    <t>/ʎapaɾas/</t>
  </si>
  <si>
    <t>llapas</t>
  </si>
  <si>
    <t>/ʎapas/</t>
  </si>
  <si>
    <t>llar</t>
  </si>
  <si>
    <t>/ʎaɾ/</t>
  </si>
  <si>
    <t>lucana</t>
  </si>
  <si>
    <t>/lukana/</t>
  </si>
  <si>
    <t>lukana</t>
  </si>
  <si>
    <t>lucanas</t>
  </si>
  <si>
    <t>/lukanas/</t>
  </si>
  <si>
    <t>lukanas</t>
  </si>
  <si>
    <t>lucilina</t>
  </si>
  <si>
    <t>/lusilina/</t>
  </si>
  <si>
    <t>lusilina</t>
  </si>
  <si>
    <t>lucilinas</t>
  </si>
  <si>
    <t>/lusilinas/</t>
  </si>
  <si>
    <t>lusilinas</t>
  </si>
  <si>
    <t>lucir</t>
  </si>
  <si>
    <t>/lusiɾ/</t>
  </si>
  <si>
    <t>lusir</t>
  </si>
  <si>
    <t>hold_up</t>
  </si>
  <si>
    <t>glow</t>
  </si>
  <si>
    <t>radiate</t>
  </si>
  <si>
    <t>shine</t>
  </si>
  <si>
    <t>wear</t>
  </si>
  <si>
    <t>lugar</t>
  </si>
  <si>
    <t>/luɣaɾ/</t>
  </si>
  <si>
    <t>lukar</t>
  </si>
  <si>
    <t>location</t>
  </si>
  <si>
    <t>stead</t>
  </si>
  <si>
    <t>lieu</t>
  </si>
  <si>
    <t>spatial_relation</t>
  </si>
  <si>
    <t>property</t>
  </si>
  <si>
    <t>topographic_point</t>
  </si>
  <si>
    <t>venue</t>
  </si>
  <si>
    <t>locale</t>
  </si>
  <si>
    <t>locus</t>
  </si>
  <si>
    <t>shoes</t>
  </si>
  <si>
    <t>status</t>
  </si>
  <si>
    <t>lula</t>
  </si>
  <si>
    <t>/lula/</t>
  </si>
  <si>
    <t>lulas</t>
  </si>
  <si>
    <t>/lulas/</t>
  </si>
  <si>
    <t>luma</t>
  </si>
  <si>
    <t>/luma/</t>
  </si>
  <si>
    <t>lumas</t>
  </si>
  <si>
    <t>/lumas/</t>
  </si>
  <si>
    <t>luminar</t>
  </si>
  <si>
    <t>/luminaɾ/</t>
  </si>
  <si>
    <t>luna</t>
  </si>
  <si>
    <t>/luna/</t>
  </si>
  <si>
    <t>Moon</t>
  </si>
  <si>
    <t>moon</t>
  </si>
  <si>
    <t>Luna</t>
  </si>
  <si>
    <t>lunar_month</t>
  </si>
  <si>
    <t>lunation</t>
  </si>
  <si>
    <t>synodic_month</t>
  </si>
  <si>
    <t>lunar</t>
  </si>
  <si>
    <t>/lunaɾ/</t>
  </si>
  <si>
    <t>lunas</t>
  </si>
  <si>
    <t>/lunas/</t>
  </si>
  <si>
    <t>lunilla</t>
  </si>
  <si>
    <t>/luniʎa/</t>
  </si>
  <si>
    <t>lunillas</t>
  </si>
  <si>
    <t>/luniʎas/</t>
  </si>
  <si>
    <t>lupanar</t>
  </si>
  <si>
    <t>/lupanaɾ/</t>
  </si>
  <si>
    <t>lupina</t>
  </si>
  <si>
    <t>/lupina/</t>
  </si>
  <si>
    <t>lupinas</t>
  </si>
  <si>
    <t>/lupinas/</t>
  </si>
  <si>
    <t>/lupus/</t>
  </si>
  <si>
    <t>lusa</t>
  </si>
  <si>
    <t>/lusa/</t>
  </si>
  <si>
    <t>lusas</t>
  </si>
  <si>
    <t>/lusas/</t>
  </si>
  <si>
    <t>lusitana</t>
  </si>
  <si>
    <t>/lusitana/</t>
  </si>
  <si>
    <t>lusitanas</t>
  </si>
  <si>
    <t>/lusitanas/</t>
  </si>
  <si>
    <t>luz</t>
  </si>
  <si>
    <t>/lus/</t>
  </si>
  <si>
    <t>lus</t>
  </si>
  <si>
    <t>lightness</t>
  </si>
  <si>
    <t>juice</t>
  </si>
  <si>
    <t>visible_light</t>
  </si>
  <si>
    <t>visible_radiation</t>
  </si>
  <si>
    <t>lighting</t>
  </si>
  <si>
    <t>maca</t>
  </si>
  <si>
    <t>macaca</t>
  </si>
  <si>
    <t>/makaka/</t>
  </si>
  <si>
    <t>makaka</t>
  </si>
  <si>
    <t>Macaca</t>
  </si>
  <si>
    <t>genus_Macaca</t>
  </si>
  <si>
    <t>macacas</t>
  </si>
  <si>
    <t>/makakas/</t>
  </si>
  <si>
    <t>makakas</t>
  </si>
  <si>
    <t>macan</t>
  </si>
  <si>
    <t>/makan/</t>
  </si>
  <si>
    <t>makan</t>
  </si>
  <si>
    <t>macana</t>
  </si>
  <si>
    <t>/makana/</t>
  </si>
  <si>
    <t>makana</t>
  </si>
  <si>
    <t>macanas</t>
  </si>
  <si>
    <t>/makanas/</t>
  </si>
  <si>
    <t>makanas</t>
  </si>
  <si>
    <t>macar</t>
  </si>
  <si>
    <t>/makaɾ/</t>
  </si>
  <si>
    <t>makar</t>
  </si>
  <si>
    <t>macara</t>
  </si>
  <si>
    <t>/makaɾa/</t>
  </si>
  <si>
    <t>makara</t>
  </si>
  <si>
    <t>macaran</t>
  </si>
  <si>
    <t>/makaɾan/</t>
  </si>
  <si>
    <t>makaran</t>
  </si>
  <si>
    <t>macaras</t>
  </si>
  <si>
    <t>/makaɾas/</t>
  </si>
  <si>
    <t>makaras</t>
  </si>
  <si>
    <t>macas</t>
  </si>
  <si>
    <t>macasar</t>
  </si>
  <si>
    <t>/makasaɾ/</t>
  </si>
  <si>
    <t>makasar</t>
  </si>
  <si>
    <t>macis</t>
  </si>
  <si>
    <t>/masis/</t>
  </si>
  <si>
    <t>masis</t>
  </si>
  <si>
    <t>maciza</t>
  </si>
  <si>
    <t>/masisa/</t>
  </si>
  <si>
    <t>masisa</t>
  </si>
  <si>
    <t>macizan</t>
  </si>
  <si>
    <t>/masisan/</t>
  </si>
  <si>
    <t>masisan</t>
  </si>
  <si>
    <t>macizar</t>
  </si>
  <si>
    <t>/masisaɾ/</t>
  </si>
  <si>
    <t>masisar</t>
  </si>
  <si>
    <t>macizara</t>
  </si>
  <si>
    <t>/masisaɾa/</t>
  </si>
  <si>
    <t>masisara</t>
  </si>
  <si>
    <t>macizaran</t>
  </si>
  <si>
    <t>/masisaɾan/</t>
  </si>
  <si>
    <t>masisaran</t>
  </si>
  <si>
    <t>macizaras</t>
  </si>
  <si>
    <t>/masisaɾas/</t>
  </si>
  <si>
    <t>masisaras</t>
  </si>
  <si>
    <t>macizas</t>
  </si>
  <si>
    <t>/masisas/</t>
  </si>
  <si>
    <t>masisas</t>
  </si>
  <si>
    <t>macuca</t>
  </si>
  <si>
    <t>/makuka/</t>
  </si>
  <si>
    <t>makuka</t>
  </si>
  <si>
    <t>macucas</t>
  </si>
  <si>
    <t>/makukas/</t>
  </si>
  <si>
    <t>makukas</t>
  </si>
  <si>
    <t>/makula/</t>
  </si>
  <si>
    <t>makula</t>
  </si>
  <si>
    <t>maculan</t>
  </si>
  <si>
    <t>/makulan/</t>
  </si>
  <si>
    <t>makulan</t>
  </si>
  <si>
    <t>macular</t>
  </si>
  <si>
    <t>/makulaɾ/</t>
  </si>
  <si>
    <t>makular</t>
  </si>
  <si>
    <t>maculara</t>
  </si>
  <si>
    <t>/makulaɾa/</t>
  </si>
  <si>
    <t>makulara</t>
  </si>
  <si>
    <t>macularan</t>
  </si>
  <si>
    <t>/makulaɾan/</t>
  </si>
  <si>
    <t>makularan</t>
  </si>
  <si>
    <t>macularas</t>
  </si>
  <si>
    <t>/makulaɾas/</t>
  </si>
  <si>
    <t>makularas</t>
  </si>
  <si>
    <t>maculas</t>
  </si>
  <si>
    <t>/makulas/</t>
  </si>
  <si>
    <t>makulas</t>
  </si>
  <si>
    <t>maculatura</t>
  </si>
  <si>
    <t>/makulatuɾa/</t>
  </si>
  <si>
    <t>makulatura</t>
  </si>
  <si>
    <t>maculaturas</t>
  </si>
  <si>
    <t>/makulatuɾas/</t>
  </si>
  <si>
    <t>makulaturas</t>
  </si>
  <si>
    <t>macupa</t>
  </si>
  <si>
    <t>/makupa/</t>
  </si>
  <si>
    <t>makupa</t>
  </si>
  <si>
    <t>macupas</t>
  </si>
  <si>
    <t>/makupas/</t>
  </si>
  <si>
    <t>makupas</t>
  </si>
  <si>
    <t>macuquina</t>
  </si>
  <si>
    <t>/makukina/</t>
  </si>
  <si>
    <t>makukina</t>
  </si>
  <si>
    <t>macuquinas</t>
  </si>
  <si>
    <t>/makukinas/</t>
  </si>
  <si>
    <t>makukinas</t>
  </si>
  <si>
    <t>maga</t>
  </si>
  <si>
    <t>/maɣa/</t>
  </si>
  <si>
    <t>magaña</t>
  </si>
  <si>
    <t>/maɣaɲa/</t>
  </si>
  <si>
    <t>makaña</t>
  </si>
  <si>
    <t>magañas</t>
  </si>
  <si>
    <t>/maɣaɲas/</t>
  </si>
  <si>
    <t>makañas</t>
  </si>
  <si>
    <t>magas</t>
  </si>
  <si>
    <t>/maɣas/</t>
  </si>
  <si>
    <t>magulla</t>
  </si>
  <si>
    <t>/maɣuʎa/</t>
  </si>
  <si>
    <t>makulla</t>
  </si>
  <si>
    <t>magullan</t>
  </si>
  <si>
    <t>/maɣuʎan/</t>
  </si>
  <si>
    <t>makullan</t>
  </si>
  <si>
    <t>magullar</t>
  </si>
  <si>
    <t>/maɣuʎaɾ/</t>
  </si>
  <si>
    <t>makullar</t>
  </si>
  <si>
    <t>magullara</t>
  </si>
  <si>
    <t>/maɣuʎaɾa/</t>
  </si>
  <si>
    <t>makullara</t>
  </si>
  <si>
    <t>magullaran</t>
  </si>
  <si>
    <t>/maɣuʎaɾan/</t>
  </si>
  <si>
    <t>makullaran</t>
  </si>
  <si>
    <t>magullaras</t>
  </si>
  <si>
    <t>/maɣuʎaɾas/</t>
  </si>
  <si>
    <t>makullaras</t>
  </si>
  <si>
    <t>magullas</t>
  </si>
  <si>
    <t>/maɣuʎas/</t>
  </si>
  <si>
    <t>makullas</t>
  </si>
  <si>
    <t>maja</t>
  </si>
  <si>
    <t>/maxa/</t>
  </si>
  <si>
    <t>Maja</t>
  </si>
  <si>
    <t>genus_Maja</t>
  </si>
  <si>
    <t>Maia</t>
  </si>
  <si>
    <t>genus_Maia</t>
  </si>
  <si>
    <t>majal</t>
  </si>
  <si>
    <t>/maxal/</t>
  </si>
  <si>
    <t>makal</t>
  </si>
  <si>
    <t>majan</t>
  </si>
  <si>
    <t>/maxan/</t>
  </si>
  <si>
    <t>majar</t>
  </si>
  <si>
    <t>/maxaɾ/</t>
  </si>
  <si>
    <t>pestle</t>
  </si>
  <si>
    <t>jam</t>
  </si>
  <si>
    <t>crush</t>
  </si>
  <si>
    <t>majara</t>
  </si>
  <si>
    <t>/maxaɾa/</t>
  </si>
  <si>
    <t>majaran</t>
  </si>
  <si>
    <t>/maxaɾan/</t>
  </si>
  <si>
    <t>majaras</t>
  </si>
  <si>
    <t>/maxaɾas/</t>
  </si>
  <si>
    <t>majas</t>
  </si>
  <si>
    <t>/maxas/</t>
  </si>
  <si>
    <t>imperfectly</t>
  </si>
  <si>
    <t>amiss</t>
  </si>
  <si>
    <t>damage</t>
  </si>
  <si>
    <t>scathe</t>
  </si>
  <si>
    <t>malacitana</t>
  </si>
  <si>
    <t>/malasitana/</t>
  </si>
  <si>
    <t>malasitana</t>
  </si>
  <si>
    <t>malacitanas</t>
  </si>
  <si>
    <t>/malasitanas/</t>
  </si>
  <si>
    <t>malasitanas</t>
  </si>
  <si>
    <t>malagana</t>
  </si>
  <si>
    <t>/malaɣana/</t>
  </si>
  <si>
    <t>malakana</t>
  </si>
  <si>
    <t>malaganas</t>
  </si>
  <si>
    <t>/malaɣanas/</t>
  </si>
  <si>
    <t>malakanas</t>
  </si>
  <si>
    <t>malagaña</t>
  </si>
  <si>
    <t>/malaɣaɲa/</t>
  </si>
  <si>
    <t>malakaña</t>
  </si>
  <si>
    <t>malagañas</t>
  </si>
  <si>
    <t>/malaɣaɲas/</t>
  </si>
  <si>
    <t>malakañas</t>
  </si>
  <si>
    <t>malaquita</t>
  </si>
  <si>
    <t>/malakita/</t>
  </si>
  <si>
    <t>malakita</t>
  </si>
  <si>
    <t>malaquitas</t>
  </si>
  <si>
    <t>/malakitas/</t>
  </si>
  <si>
    <t>malakitas</t>
  </si>
  <si>
    <t>malar</t>
  </si>
  <si>
    <t>/malaɾ/</t>
  </si>
  <si>
    <t>malas</t>
  </si>
  <si>
    <t>/malas/</t>
  </si>
  <si>
    <t>malata</t>
  </si>
  <si>
    <t>/malata/</t>
  </si>
  <si>
    <t>malatas</t>
  </si>
  <si>
    <t>/malatas/</t>
  </si>
  <si>
    <t>malilla</t>
  </si>
  <si>
    <t>/maliʎa/</t>
  </si>
  <si>
    <t>malillas</t>
  </si>
  <si>
    <t>/maliʎas/</t>
  </si>
  <si>
    <t>malina</t>
  </si>
  <si>
    <t>/malina/</t>
  </si>
  <si>
    <t>malinas</t>
  </si>
  <si>
    <t>/malinas/</t>
  </si>
  <si>
    <t>malla</t>
  </si>
  <si>
    <t>/maʎa/</t>
  </si>
  <si>
    <t>mallan</t>
  </si>
  <si>
    <t>/maʎan/</t>
  </si>
  <si>
    <t>mallar</t>
  </si>
  <si>
    <t>/maʎaɾ/</t>
  </si>
  <si>
    <t>mallara</t>
  </si>
  <si>
    <t>/maʎaɾa/</t>
  </si>
  <si>
    <t>mallaran</t>
  </si>
  <si>
    <t>/maʎaɾan/</t>
  </si>
  <si>
    <t>mallaras</t>
  </si>
  <si>
    <t>/maʎaɾas/</t>
  </si>
  <si>
    <t>mallas</t>
  </si>
  <si>
    <t>/maʎas/</t>
  </si>
  <si>
    <t>maillot</t>
  </si>
  <si>
    <t>maluca</t>
  </si>
  <si>
    <t>/maluka/</t>
  </si>
  <si>
    <t>maluka</t>
  </si>
  <si>
    <t>malucas</t>
  </si>
  <si>
    <t>/malukas/</t>
  </si>
  <si>
    <t>malukas</t>
  </si>
  <si>
    <t>dug</t>
  </si>
  <si>
    <t>maman</t>
  </si>
  <si>
    <t>/maman/</t>
  </si>
  <si>
    <t>mamar</t>
  </si>
  <si>
    <t>/mamaɾ/</t>
  </si>
  <si>
    <t>suckle</t>
  </si>
  <si>
    <t>mamara</t>
  </si>
  <si>
    <t>/mamaɾa/</t>
  </si>
  <si>
    <t>mamaran</t>
  </si>
  <si>
    <t>/mamaɾan/</t>
  </si>
  <si>
    <t>mamaras</t>
  </si>
  <si>
    <t>/mamaɾas/</t>
  </si>
  <si>
    <t>mamas</t>
  </si>
  <si>
    <t>/mamas/</t>
  </si>
  <si>
    <t>mamila</t>
  </si>
  <si>
    <t>/mamila/</t>
  </si>
  <si>
    <t>mamilas</t>
  </si>
  <si>
    <t>/mamilas/</t>
  </si>
  <si>
    <t>mamuja</t>
  </si>
  <si>
    <t>/mamuxa/</t>
  </si>
  <si>
    <t>mamuka</t>
  </si>
  <si>
    <t>mamujan</t>
  </si>
  <si>
    <t>/mamuxan/</t>
  </si>
  <si>
    <t>mamukan</t>
  </si>
  <si>
    <t>mamujar</t>
  </si>
  <si>
    <t>/mamuxaɾ/</t>
  </si>
  <si>
    <t>mamukar</t>
  </si>
  <si>
    <t>mamujara</t>
  </si>
  <si>
    <t>/mamuxaɾa/</t>
  </si>
  <si>
    <t>mamukara</t>
  </si>
  <si>
    <t>mamujaran</t>
  </si>
  <si>
    <t>/mamuxaɾan/</t>
  </si>
  <si>
    <t>mamukaran</t>
  </si>
  <si>
    <t>mamujaras</t>
  </si>
  <si>
    <t>/mamuxaɾas/</t>
  </si>
  <si>
    <t>mamukaras</t>
  </si>
  <si>
    <t>mamujas</t>
  </si>
  <si>
    <t>/mamuxas/</t>
  </si>
  <si>
    <t>mamukas</t>
  </si>
  <si>
    <t>mamulla</t>
  </si>
  <si>
    <t>/mamuʎa/</t>
  </si>
  <si>
    <t>mamullan</t>
  </si>
  <si>
    <t>/mamuʎan/</t>
  </si>
  <si>
    <t>mamullar</t>
  </si>
  <si>
    <t>/mamuʎaɾ/</t>
  </si>
  <si>
    <t>mamullara</t>
  </si>
  <si>
    <t>/mamuʎaɾa/</t>
  </si>
  <si>
    <t>mamullaran</t>
  </si>
  <si>
    <t>/mamuʎaɾan/</t>
  </si>
  <si>
    <t>mamullaras</t>
  </si>
  <si>
    <t>/mamuʎaɾas/</t>
  </si>
  <si>
    <t>mamullas</t>
  </si>
  <si>
    <t>/mamuʎas/</t>
  </si>
  <si>
    <t>manan</t>
  </si>
  <si>
    <t>/manan/</t>
  </si>
  <si>
    <t>manar</t>
  </si>
  <si>
    <t>/manaɾ/</t>
  </si>
  <si>
    <t>manara</t>
  </si>
  <si>
    <t>/manaɾa/</t>
  </si>
  <si>
    <t>manaran</t>
  </si>
  <si>
    <t>/manaɾan/</t>
  </si>
  <si>
    <t>manaras</t>
  </si>
  <si>
    <t>/manaɾas/</t>
  </si>
  <si>
    <t>manas</t>
  </si>
  <si>
    <t>/manas/</t>
  </si>
  <si>
    <t>manaza</t>
  </si>
  <si>
    <t>/manasa/</t>
  </si>
  <si>
    <t>manasa</t>
  </si>
  <si>
    <t>manazas</t>
  </si>
  <si>
    <t>/manasas/</t>
  </si>
  <si>
    <t>manasas</t>
  </si>
  <si>
    <t>manicura</t>
  </si>
  <si>
    <t>/manikuɾa/</t>
  </si>
  <si>
    <t>manikura</t>
  </si>
  <si>
    <t>manicure</t>
  </si>
  <si>
    <t>manicuras</t>
  </si>
  <si>
    <t>/manikuɾas/</t>
  </si>
  <si>
    <t>manikuras</t>
  </si>
  <si>
    <t>manija</t>
  </si>
  <si>
    <t>/manixa/</t>
  </si>
  <si>
    <t>manika</t>
  </si>
  <si>
    <t>manijas</t>
  </si>
  <si>
    <t>/manixas/</t>
  </si>
  <si>
    <t>manikas</t>
  </si>
  <si>
    <t>/manila/</t>
  </si>
  <si>
    <t>manilas</t>
  </si>
  <si>
    <t>/manilas/</t>
  </si>
  <si>
    <t>/maniʎa/</t>
  </si>
  <si>
    <t>manillar</t>
  </si>
  <si>
    <t>/maniʎaɾ/</t>
  </si>
  <si>
    <t>manillas</t>
  </si>
  <si>
    <t>/maniʎas/</t>
  </si>
  <si>
    <t>manipula</t>
  </si>
  <si>
    <t>/manipula/</t>
  </si>
  <si>
    <t>manipulan</t>
  </si>
  <si>
    <t>/manipulan/</t>
  </si>
  <si>
    <t>manipular</t>
  </si>
  <si>
    <t>/manipulaɾ/</t>
  </si>
  <si>
    <t>manipulate</t>
  </si>
  <si>
    <t>wield</t>
  </si>
  <si>
    <t>manage</t>
  </si>
  <si>
    <t>keep_in_line</t>
  </si>
  <si>
    <t>control</t>
  </si>
  <si>
    <t>rig</t>
  </si>
  <si>
    <t>wangle</t>
  </si>
  <si>
    <t>finagle</t>
  </si>
  <si>
    <t>pull_strings</t>
  </si>
  <si>
    <t>pull_wires</t>
  </si>
  <si>
    <t>fudge</t>
  </si>
  <si>
    <t>falsify</t>
  </si>
  <si>
    <t>misrepresent</t>
  </si>
  <si>
    <t>manipulara</t>
  </si>
  <si>
    <t>/manipulaɾa/</t>
  </si>
  <si>
    <t>manipularan</t>
  </si>
  <si>
    <t>/manipulaɾan/</t>
  </si>
  <si>
    <t>manipularas</t>
  </si>
  <si>
    <t>/manipulaɾas/</t>
  </si>
  <si>
    <t>manipulas</t>
  </si>
  <si>
    <t>/manipulas/</t>
  </si>
  <si>
    <t>manir</t>
  </si>
  <si>
    <t>/maniɾ/</t>
  </si>
  <si>
    <t>manitas</t>
  </si>
  <si>
    <t>/manitas/</t>
  </si>
  <si>
    <t>manumisa</t>
  </si>
  <si>
    <t>/manumisa/</t>
  </si>
  <si>
    <t>manumisas</t>
  </si>
  <si>
    <t>/manumisas/</t>
  </si>
  <si>
    <t>manumita</t>
  </si>
  <si>
    <t>/manumita/</t>
  </si>
  <si>
    <t>manumitan</t>
  </si>
  <si>
    <t>/manumitan/</t>
  </si>
  <si>
    <t>manumitas</t>
  </si>
  <si>
    <t>/manumitas/</t>
  </si>
  <si>
    <t>manumitir</t>
  </si>
  <si>
    <t>/manumitiɾ/</t>
  </si>
  <si>
    <t>affranchise</t>
  </si>
  <si>
    <t>enfranchise</t>
  </si>
  <si>
    <t>manutisa</t>
  </si>
  <si>
    <t>/manutisa/</t>
  </si>
  <si>
    <t>manutisas</t>
  </si>
  <si>
    <t>/manutisas/</t>
  </si>
  <si>
    <t>mañana</t>
  </si>
  <si>
    <t>/maɲana/</t>
  </si>
  <si>
    <t>tomorrow</t>
  </si>
  <si>
    <t>morning</t>
  </si>
  <si>
    <t>morn</t>
  </si>
  <si>
    <t>morning_time</t>
  </si>
  <si>
    <t>forenoon</t>
  </si>
  <si>
    <t>mañanas</t>
  </si>
  <si>
    <t>/maɲanas/</t>
  </si>
  <si>
    <t>mañanica</t>
  </si>
  <si>
    <t>/maɲanika/</t>
  </si>
  <si>
    <t>mañanika</t>
  </si>
  <si>
    <t>mañanicas</t>
  </si>
  <si>
    <t>/maɲanikas/</t>
  </si>
  <si>
    <t>mañanikas</t>
  </si>
  <si>
    <t>mañanita</t>
  </si>
  <si>
    <t>/maɲanita/</t>
  </si>
  <si>
    <t>mañanitas</t>
  </si>
  <si>
    <t>/maɲanitas/</t>
  </si>
  <si>
    <t>mapa</t>
  </si>
  <si>
    <t>/mapa/</t>
  </si>
  <si>
    <t>map</t>
  </si>
  <si>
    <t>mapas</t>
  </si>
  <si>
    <t>/mapas/</t>
  </si>
  <si>
    <t>maqui</t>
  </si>
  <si>
    <t>maquila</t>
  </si>
  <si>
    <t>/makila/</t>
  </si>
  <si>
    <t>makila</t>
  </si>
  <si>
    <t>maquilan</t>
  </si>
  <si>
    <t>/makilan/</t>
  </si>
  <si>
    <t>makilan</t>
  </si>
  <si>
    <t>maquilar</t>
  </si>
  <si>
    <t>/makilaɾ/</t>
  </si>
  <si>
    <t>makilar</t>
  </si>
  <si>
    <t>maquilara</t>
  </si>
  <si>
    <t>/makilaɾa/</t>
  </si>
  <si>
    <t>makilara</t>
  </si>
  <si>
    <t>maquilaran</t>
  </si>
  <si>
    <t>/makilaɾan/</t>
  </si>
  <si>
    <t>makilaran</t>
  </si>
  <si>
    <t>maquilaras</t>
  </si>
  <si>
    <t>/makilaɾas/</t>
  </si>
  <si>
    <t>makilaras</t>
  </si>
  <si>
    <t>maquilas</t>
  </si>
  <si>
    <t>/makilas/</t>
  </si>
  <si>
    <t>makilas</t>
  </si>
  <si>
    <t>/makiʎa/</t>
  </si>
  <si>
    <t>makilla</t>
  </si>
  <si>
    <t>maquillan</t>
  </si>
  <si>
    <t>/makiʎan/</t>
  </si>
  <si>
    <t>makillan</t>
  </si>
  <si>
    <t>maquillar</t>
  </si>
  <si>
    <t>/makiʎaɾ/</t>
  </si>
  <si>
    <t>makillar</t>
  </si>
  <si>
    <t>maquillara</t>
  </si>
  <si>
    <t>/makiʎaɾa/</t>
  </si>
  <si>
    <t>makillara</t>
  </si>
  <si>
    <t>maquillaran</t>
  </si>
  <si>
    <t>/makiʎaɾan/</t>
  </si>
  <si>
    <t>makillaran</t>
  </si>
  <si>
    <t>maquillaras</t>
  </si>
  <si>
    <t>/makiʎaɾas/</t>
  </si>
  <si>
    <t>makillaras</t>
  </si>
  <si>
    <t>/makiʎas/</t>
  </si>
  <si>
    <t>makillas</t>
  </si>
  <si>
    <t>maquina</t>
  </si>
  <si>
    <t>/makina/</t>
  </si>
  <si>
    <t>makina</t>
  </si>
  <si>
    <t>maquinan</t>
  </si>
  <si>
    <t>/makinan/</t>
  </si>
  <si>
    <t>makinan</t>
  </si>
  <si>
    <t>maquinar</t>
  </si>
  <si>
    <t>/makinaɾ/</t>
  </si>
  <si>
    <t>makinar</t>
  </si>
  <si>
    <t>trump_up</t>
  </si>
  <si>
    <t>concoct</t>
  </si>
  <si>
    <t>maquinara</t>
  </si>
  <si>
    <t>/makinaɾa/</t>
  </si>
  <si>
    <t>makinara</t>
  </si>
  <si>
    <t>maquinaran</t>
  </si>
  <si>
    <t>/makinaɾan/</t>
  </si>
  <si>
    <t>makinaran</t>
  </si>
  <si>
    <t>maquinaras</t>
  </si>
  <si>
    <t>/makinaɾas/</t>
  </si>
  <si>
    <t>makinaras</t>
  </si>
  <si>
    <t>maquinas</t>
  </si>
  <si>
    <t>/makinas/</t>
  </si>
  <si>
    <t>makinas</t>
  </si>
  <si>
    <t>/maɾ/</t>
  </si>
  <si>
    <t>sea</t>
  </si>
  <si>
    <t>ocean</t>
  </si>
  <si>
    <t>maraca</t>
  </si>
  <si>
    <t>/maɾaka/</t>
  </si>
  <si>
    <t>maraka</t>
  </si>
  <si>
    <t>maracas</t>
  </si>
  <si>
    <t>/maɾakas/</t>
  </si>
  <si>
    <t>marakas</t>
  </si>
  <si>
    <t>maragata</t>
  </si>
  <si>
    <t>/maɾaɣata/</t>
  </si>
  <si>
    <t>marakata</t>
  </si>
  <si>
    <t>maragatas</t>
  </si>
  <si>
    <t>/maɾaɣatas/</t>
  </si>
  <si>
    <t>marakatas</t>
  </si>
  <si>
    <t>maranalla</t>
  </si>
  <si>
    <t>/maɾanaʎa/</t>
  </si>
  <si>
    <t>maranallas</t>
  </si>
  <si>
    <t>/maɾanaʎas/</t>
  </si>
  <si>
    <t>maraña</t>
  </si>
  <si>
    <t>/maɾaɲa/</t>
  </si>
  <si>
    <t>tangle</t>
  </si>
  <si>
    <t>snarl</t>
  </si>
  <si>
    <t>maze</t>
  </si>
  <si>
    <t>marañal</t>
  </si>
  <si>
    <t>/maɾaɲal/</t>
  </si>
  <si>
    <t>marañan</t>
  </si>
  <si>
    <t>/maɾaɲan/</t>
  </si>
  <si>
    <t>marañar</t>
  </si>
  <si>
    <t>/maɾaɲaɾ/</t>
  </si>
  <si>
    <t>marañara</t>
  </si>
  <si>
    <t>/maɾaɲaɾa/</t>
  </si>
  <si>
    <t>marañaran</t>
  </si>
  <si>
    <t>/maɾaɲaɾan/</t>
  </si>
  <si>
    <t>marañaras</t>
  </si>
  <si>
    <t>/maɾaɲaɾas/</t>
  </si>
  <si>
    <t>marañas</t>
  </si>
  <si>
    <t>/maɾaɲas/</t>
  </si>
  <si>
    <t>marica</t>
  </si>
  <si>
    <t>/maɾika/</t>
  </si>
  <si>
    <t>marika</t>
  </si>
  <si>
    <t>maricas</t>
  </si>
  <si>
    <t>/maɾikas/</t>
  </si>
  <si>
    <t>marikas</t>
  </si>
  <si>
    <t>marimarica</t>
  </si>
  <si>
    <t>/maɾimaɾika/</t>
  </si>
  <si>
    <t>marimarika</t>
  </si>
  <si>
    <t>marimaricas</t>
  </si>
  <si>
    <t>/maɾimaɾikas/</t>
  </si>
  <si>
    <t>marimarikas</t>
  </si>
  <si>
    <t>marina</t>
  </si>
  <si>
    <t>/maɾina/</t>
  </si>
  <si>
    <t>marinan</t>
  </si>
  <si>
    <t>/maɾinan/</t>
  </si>
  <si>
    <t>marinar</t>
  </si>
  <si>
    <t>/maɾinaɾ/</t>
  </si>
  <si>
    <t>marinade</t>
  </si>
  <si>
    <t>marinate</t>
  </si>
  <si>
    <t>marinaran</t>
  </si>
  <si>
    <t>/maɾinaɾan/</t>
  </si>
  <si>
    <t>marinaras</t>
  </si>
  <si>
    <t>/maɾinaɾas/</t>
  </si>
  <si>
    <t>marinas</t>
  </si>
  <si>
    <t>/maɾinas/</t>
  </si>
  <si>
    <t>mariquita</t>
  </si>
  <si>
    <t>/maɾikita/</t>
  </si>
  <si>
    <t>marikita</t>
  </si>
  <si>
    <t>mariquitas</t>
  </si>
  <si>
    <t>/maɾikitas/</t>
  </si>
  <si>
    <t>marikitas</t>
  </si>
  <si>
    <t>marital</t>
  </si>
  <si>
    <t>/maɾital/</t>
  </si>
  <si>
    <t>matrimonial</t>
  </si>
  <si>
    <t>married</t>
  </si>
  <si>
    <t>maritata</t>
  </si>
  <si>
    <t>/maɾitata/</t>
  </si>
  <si>
    <t>maritatas</t>
  </si>
  <si>
    <t>/maɾitatas/</t>
  </si>
  <si>
    <t>mariza</t>
  </si>
  <si>
    <t>/maɾisa/</t>
  </si>
  <si>
    <t>marisa</t>
  </si>
  <si>
    <t>marizan</t>
  </si>
  <si>
    <t>/maɾisan/</t>
  </si>
  <si>
    <t>marisan</t>
  </si>
  <si>
    <t>marizar</t>
  </si>
  <si>
    <t>/maɾisaɾ/</t>
  </si>
  <si>
    <t>marisar</t>
  </si>
  <si>
    <t>marizara</t>
  </si>
  <si>
    <t>/maɾisaɾa/</t>
  </si>
  <si>
    <t>marisara</t>
  </si>
  <si>
    <t>marizaran</t>
  </si>
  <si>
    <t>/maɾisaɾan/</t>
  </si>
  <si>
    <t>marisaran</t>
  </si>
  <si>
    <t>marizaras</t>
  </si>
  <si>
    <t>/maɾisaɾas/</t>
  </si>
  <si>
    <t>marisaras</t>
  </si>
  <si>
    <t>marizas</t>
  </si>
  <si>
    <t>/maɾisas/</t>
  </si>
  <si>
    <t>marisas</t>
  </si>
  <si>
    <t>Masa</t>
  </si>
  <si>
    <t>pastry</t>
  </si>
  <si>
    <t>pastry_dough</t>
  </si>
  <si>
    <t>dough</t>
  </si>
  <si>
    <t>ruck</t>
  </si>
  <si>
    <t>herd</t>
  </si>
  <si>
    <t>battalion</t>
  </si>
  <si>
    <t>large_number</t>
  </si>
  <si>
    <t>plurality</t>
  </si>
  <si>
    <t>masan</t>
  </si>
  <si>
    <t>/masan/</t>
  </si>
  <si>
    <t>masar</t>
  </si>
  <si>
    <t>/masaɾ/</t>
  </si>
  <si>
    <t>masaran</t>
  </si>
  <si>
    <t>/masaɾan/</t>
  </si>
  <si>
    <t>masaras</t>
  </si>
  <si>
    <t>/masaɾas/</t>
  </si>
  <si>
    <t>masila</t>
  </si>
  <si>
    <t>/masila/</t>
  </si>
  <si>
    <t>masilas</t>
  </si>
  <si>
    <t>/masilas/</t>
  </si>
  <si>
    <t>masilla</t>
  </si>
  <si>
    <t>/masiʎa/</t>
  </si>
  <si>
    <t>masillas</t>
  </si>
  <si>
    <t>/masiʎas/</t>
  </si>
  <si>
    <t>masita</t>
  </si>
  <si>
    <t>/masita/</t>
  </si>
  <si>
    <t>masitas</t>
  </si>
  <si>
    <t>/masitas/</t>
  </si>
  <si>
    <t>matagallina</t>
  </si>
  <si>
    <t>/mataɣaʎina/</t>
  </si>
  <si>
    <t>matakallina</t>
  </si>
  <si>
    <t>matagallinas</t>
  </si>
  <si>
    <t>/mataɣaʎinas/</t>
  </si>
  <si>
    <t>matakallinas</t>
  </si>
  <si>
    <t>matan</t>
  </si>
  <si>
    <t>/matan/</t>
  </si>
  <si>
    <t>matar</t>
  </si>
  <si>
    <t>/mataɾ/</t>
  </si>
  <si>
    <t>stamp_out</t>
  </si>
  <si>
    <t>kill</t>
  </si>
  <si>
    <t>destroy</t>
  </si>
  <si>
    <t>put_down</t>
  </si>
  <si>
    <t>matara</t>
  </si>
  <si>
    <t>/mataɾa/</t>
  </si>
  <si>
    <t>mataran</t>
  </si>
  <si>
    <t>/mataɾan/</t>
  </si>
  <si>
    <t>mataras</t>
  </si>
  <si>
    <t>/mataɾas/</t>
  </si>
  <si>
    <t>matiz</t>
  </si>
  <si>
    <t>semblance</t>
  </si>
  <si>
    <t>gloss</t>
  </si>
  <si>
    <t>color</t>
  </si>
  <si>
    <t>colour</t>
  </si>
  <si>
    <t>aspect</t>
  </si>
  <si>
    <t>undertone</t>
  </si>
  <si>
    <t>tinge</t>
  </si>
  <si>
    <t>hue</t>
  </si>
  <si>
    <t>chromaticity</t>
  </si>
  <si>
    <t>nuance</t>
  </si>
  <si>
    <t>nicety</t>
  </si>
  <si>
    <t>subtlety</t>
  </si>
  <si>
    <t>refinement</t>
  </si>
  <si>
    <t>matiza</t>
  </si>
  <si>
    <t>/matisa/</t>
  </si>
  <si>
    <t>matisa</t>
  </si>
  <si>
    <t>matizan</t>
  </si>
  <si>
    <t>/matisan/</t>
  </si>
  <si>
    <t>matisan</t>
  </si>
  <si>
    <t>matizar</t>
  </si>
  <si>
    <t>/matisaɾ/</t>
  </si>
  <si>
    <t>matisar</t>
  </si>
  <si>
    <t>matizara</t>
  </si>
  <si>
    <t>/matisaɾa/</t>
  </si>
  <si>
    <t>matisara</t>
  </si>
  <si>
    <t>matizaran</t>
  </si>
  <si>
    <t>/matisaɾan/</t>
  </si>
  <si>
    <t>matisaran</t>
  </si>
  <si>
    <t>matizaras</t>
  </si>
  <si>
    <t>/matisaɾas/</t>
  </si>
  <si>
    <t>matisaras</t>
  </si>
  <si>
    <t>matizas</t>
  </si>
  <si>
    <t>/matisas/</t>
  </si>
  <si>
    <t>matisas</t>
  </si>
  <si>
    <t>matula</t>
  </si>
  <si>
    <t>/matula/</t>
  </si>
  <si>
    <t>matulas</t>
  </si>
  <si>
    <t>/matulas/</t>
  </si>
  <si>
    <t>matutina</t>
  </si>
  <si>
    <t>/matutina/</t>
  </si>
  <si>
    <t>matutinas</t>
  </si>
  <si>
    <t>/matutinas/</t>
  </si>
  <si>
    <t>maza</t>
  </si>
  <si>
    <t>mazan</t>
  </si>
  <si>
    <t>mazar</t>
  </si>
  <si>
    <t>mazara</t>
  </si>
  <si>
    <t>mazaran</t>
  </si>
  <si>
    <t>mazaras</t>
  </si>
  <si>
    <t>mazas</t>
  </si>
  <si>
    <t>micacita</t>
  </si>
  <si>
    <t>/mikasita/</t>
  </si>
  <si>
    <t>mikasita</t>
  </si>
  <si>
    <t>micacitas</t>
  </si>
  <si>
    <t>/mikasitas/</t>
  </si>
  <si>
    <t>mikasitas</t>
  </si>
  <si>
    <t>/mikas/</t>
  </si>
  <si>
    <t>mikas</t>
  </si>
  <si>
    <t>miga</t>
  </si>
  <si>
    <t>/miɣa/</t>
  </si>
  <si>
    <t>migaja</t>
  </si>
  <si>
    <t>/miɣaxa/</t>
  </si>
  <si>
    <t>mikaka</t>
  </si>
  <si>
    <t>migajas</t>
  </si>
  <si>
    <t>/miɣaxas/</t>
  </si>
  <si>
    <t>mikakas</t>
  </si>
  <si>
    <t>migan</t>
  </si>
  <si>
    <t>/miɣan/</t>
  </si>
  <si>
    <t>mikan</t>
  </si>
  <si>
    <t>migar</t>
  </si>
  <si>
    <t>/miɣaɾ/</t>
  </si>
  <si>
    <t>mikar</t>
  </si>
  <si>
    <t>migara</t>
  </si>
  <si>
    <t>/miɣaɾa/</t>
  </si>
  <si>
    <t>mikara</t>
  </si>
  <si>
    <t>migaran</t>
  </si>
  <si>
    <t>/miɣaɾan/</t>
  </si>
  <si>
    <t>mikaran</t>
  </si>
  <si>
    <t>migaras</t>
  </si>
  <si>
    <t>/miɣaɾas/</t>
  </si>
  <si>
    <t>mikaras</t>
  </si>
  <si>
    <t>migas</t>
  </si>
  <si>
    <t>/miɣas/</t>
  </si>
  <si>
    <t>militan</t>
  </si>
  <si>
    <t>/militan/</t>
  </si>
  <si>
    <t>militar</t>
  </si>
  <si>
    <t>/militaɾ/</t>
  </si>
  <si>
    <t>military</t>
  </si>
  <si>
    <t>army_officer</t>
  </si>
  <si>
    <t>serviceman</t>
  </si>
  <si>
    <t>military_man</t>
  </si>
  <si>
    <t>military_personnel</t>
  </si>
  <si>
    <t>militara</t>
  </si>
  <si>
    <t>/militaɾa/</t>
  </si>
  <si>
    <t>militaran</t>
  </si>
  <si>
    <t>/militaɾan/</t>
  </si>
  <si>
    <t>militaras</t>
  </si>
  <si>
    <t>/militaɾas/</t>
  </si>
  <si>
    <t>militariza</t>
  </si>
  <si>
    <t>/militaɾisa/</t>
  </si>
  <si>
    <t>militarisa</t>
  </si>
  <si>
    <t>militarizan</t>
  </si>
  <si>
    <t>/militaɾisan/</t>
  </si>
  <si>
    <t>militarisan</t>
  </si>
  <si>
    <t>militarizar</t>
  </si>
  <si>
    <t>/militaɾisaɾ/</t>
  </si>
  <si>
    <t>militarisar</t>
  </si>
  <si>
    <t>militarizara</t>
  </si>
  <si>
    <t>/militaɾisaɾa/</t>
  </si>
  <si>
    <t>militarisara</t>
  </si>
  <si>
    <t>militarizaran</t>
  </si>
  <si>
    <t>/militaɾisaɾan/</t>
  </si>
  <si>
    <t>militarisaran</t>
  </si>
  <si>
    <t>militarizaras</t>
  </si>
  <si>
    <t>/militaɾisaɾas/</t>
  </si>
  <si>
    <t>militarisaras</t>
  </si>
  <si>
    <t>militarizas</t>
  </si>
  <si>
    <t>/militaɾisas/</t>
  </si>
  <si>
    <t>militarisas</t>
  </si>
  <si>
    <t>milla</t>
  </si>
  <si>
    <t>/miʎa/</t>
  </si>
  <si>
    <t>millaca</t>
  </si>
  <si>
    <t>/miʎaka/</t>
  </si>
  <si>
    <t>millaka</t>
  </si>
  <si>
    <t>millacas</t>
  </si>
  <si>
    <t>/miʎakas/</t>
  </si>
  <si>
    <t>millakas</t>
  </si>
  <si>
    <t>millar</t>
  </si>
  <si>
    <t>/miʎaɾ/</t>
  </si>
  <si>
    <t>millas</t>
  </si>
  <si>
    <t>/miʎas/</t>
  </si>
  <si>
    <t>miler</t>
  </si>
  <si>
    <t>miman</t>
  </si>
  <si>
    <t>/miman/</t>
  </si>
  <si>
    <t>mimar</t>
  </si>
  <si>
    <t>/mimaɾ/</t>
  </si>
  <si>
    <t>dandle</t>
  </si>
  <si>
    <t>canoodle</t>
  </si>
  <si>
    <t>mother</t>
  </si>
  <si>
    <t>overprotect</t>
  </si>
  <si>
    <t>mimara</t>
  </si>
  <si>
    <t>/mimaɾa/</t>
  </si>
  <si>
    <t>mimaran</t>
  </si>
  <si>
    <t>/mimaɾan/</t>
  </si>
  <si>
    <t>mimaras</t>
  </si>
  <si>
    <t>/mimaɾas/</t>
  </si>
  <si>
    <t>pencil_lead</t>
  </si>
  <si>
    <t>treasure_house</t>
  </si>
  <si>
    <t>minal</t>
  </si>
  <si>
    <t>/minal/</t>
  </si>
  <si>
    <t>minan</t>
  </si>
  <si>
    <t>/minan/</t>
  </si>
  <si>
    <t>minar</t>
  </si>
  <si>
    <t>/minaɾ/</t>
  </si>
  <si>
    <t>cavern</t>
  </si>
  <si>
    <t>cavern_out</t>
  </si>
  <si>
    <t>minara</t>
  </si>
  <si>
    <t>/minaɾa/</t>
  </si>
  <si>
    <t>minaran</t>
  </si>
  <si>
    <t>/minaɾan/</t>
  </si>
  <si>
    <t>minaras</t>
  </si>
  <si>
    <t>/minaɾas/</t>
  </si>
  <si>
    <t>minimiza</t>
  </si>
  <si>
    <t>/minimisa/</t>
  </si>
  <si>
    <t>minimisa</t>
  </si>
  <si>
    <t>minimizan</t>
  </si>
  <si>
    <t>/minimisan/</t>
  </si>
  <si>
    <t>minimisan</t>
  </si>
  <si>
    <t>minimizar</t>
  </si>
  <si>
    <t>/minimisaɾ/</t>
  </si>
  <si>
    <t>minimisar</t>
  </si>
  <si>
    <t>minimizara</t>
  </si>
  <si>
    <t>/minimisaɾa/</t>
  </si>
  <si>
    <t>minimisara</t>
  </si>
  <si>
    <t>minimizaran</t>
  </si>
  <si>
    <t>/minimisaɾan/</t>
  </si>
  <si>
    <t>minimisaran</t>
  </si>
  <si>
    <t>minimizaras</t>
  </si>
  <si>
    <t>/minimisaɾas/</t>
  </si>
  <si>
    <t>minimisaras</t>
  </si>
  <si>
    <t>minimizas</t>
  </si>
  <si>
    <t>/minimisas/</t>
  </si>
  <si>
    <t>minimisas</t>
  </si>
  <si>
    <t>minina</t>
  </si>
  <si>
    <t>/minina/</t>
  </si>
  <si>
    <t>mininas</t>
  </si>
  <si>
    <t>/mininas/</t>
  </si>
  <si>
    <t>minuta</t>
  </si>
  <si>
    <t>/minuta/</t>
  </si>
  <si>
    <t>minutan</t>
  </si>
  <si>
    <t>/minutan/</t>
  </si>
  <si>
    <t>minutar</t>
  </si>
  <si>
    <t>/minutaɾ/</t>
  </si>
  <si>
    <t>minutara</t>
  </si>
  <si>
    <t>/minutaɾa/</t>
  </si>
  <si>
    <t>minutaran</t>
  </si>
  <si>
    <t>/minutaɾan/</t>
  </si>
  <si>
    <t>minutaras</t>
  </si>
  <si>
    <t>/minutaɾas/</t>
  </si>
  <si>
    <t>minutas</t>
  </si>
  <si>
    <t>/minutas/</t>
  </si>
  <si>
    <t>minutes</t>
  </si>
  <si>
    <t>proceedings</t>
  </si>
  <si>
    <t>transactions</t>
  </si>
  <si>
    <t>miquis</t>
  </si>
  <si>
    <t>/mikis/</t>
  </si>
  <si>
    <t>mikis</t>
  </si>
  <si>
    <t>mira</t>
  </si>
  <si>
    <t>/miɾa/</t>
  </si>
  <si>
    <t>miran</t>
  </si>
  <si>
    <t>/miɾan/</t>
  </si>
  <si>
    <t>mirar</t>
  </si>
  <si>
    <t>/miɾaɾ/</t>
  </si>
  <si>
    <t>look_on</t>
  </si>
  <si>
    <t>consider</t>
  </si>
  <si>
    <t>look_at</t>
  </si>
  <si>
    <t>see</t>
  </si>
  <si>
    <t>eyeball</t>
  </si>
  <si>
    <t>mirara</t>
  </si>
  <si>
    <t>/miɾaɾa/</t>
  </si>
  <si>
    <t>miraran</t>
  </si>
  <si>
    <t>/miɾaɾan/</t>
  </si>
  <si>
    <t>miraras</t>
  </si>
  <si>
    <t>/miɾaɾas/</t>
  </si>
  <si>
    <t>miras</t>
  </si>
  <si>
    <t>/miɾas/</t>
  </si>
  <si>
    <t>mirilla</t>
  </si>
  <si>
    <t>/miɾiʎa/</t>
  </si>
  <si>
    <t>judas</t>
  </si>
  <si>
    <t>mirillas</t>
  </si>
  <si>
    <t>/miɾiʎas/</t>
  </si>
  <si>
    <t>/misal/</t>
  </si>
  <si>
    <t>/misan/</t>
  </si>
  <si>
    <t>misar</t>
  </si>
  <si>
    <t>/misaɾ/</t>
  </si>
  <si>
    <t>misara</t>
  </si>
  <si>
    <t>/misaɾa/</t>
  </si>
  <si>
    <t>misaran</t>
  </si>
  <si>
    <t>/misaɾan/</t>
  </si>
  <si>
    <t>misaras</t>
  </si>
  <si>
    <t>/misaɾas/</t>
  </si>
  <si>
    <t>misas</t>
  </si>
  <si>
    <t>/misas/</t>
  </si>
  <si>
    <t>mitiga</t>
  </si>
  <si>
    <t>/mitiɣa/</t>
  </si>
  <si>
    <t>mitika</t>
  </si>
  <si>
    <t>mitigan</t>
  </si>
  <si>
    <t>/mitiɣan/</t>
  </si>
  <si>
    <t>mitikan</t>
  </si>
  <si>
    <t>mitigar</t>
  </si>
  <si>
    <t>/mitiɣaɾ/</t>
  </si>
  <si>
    <t>mitikar</t>
  </si>
  <si>
    <t>mitigara</t>
  </si>
  <si>
    <t>/mitiɣaɾa/</t>
  </si>
  <si>
    <t>mitikara</t>
  </si>
  <si>
    <t>mitigaran</t>
  </si>
  <si>
    <t>/mitiɣaɾan/</t>
  </si>
  <si>
    <t>mitikaran</t>
  </si>
  <si>
    <t>mitigaras</t>
  </si>
  <si>
    <t>/mitiɣaɾas/</t>
  </si>
  <si>
    <t>mitikaras</t>
  </si>
  <si>
    <t>mitigas</t>
  </si>
  <si>
    <t>/mitiɣas/</t>
  </si>
  <si>
    <t>mitikas</t>
  </si>
  <si>
    <t>mitin</t>
  </si>
  <si>
    <t>/mitin/</t>
  </si>
  <si>
    <t>miz</t>
  </si>
  <si>
    <t>miza</t>
  </si>
  <si>
    <t>mizas</t>
  </si>
  <si>
    <t>mucama</t>
  </si>
  <si>
    <t>/mukama/</t>
  </si>
  <si>
    <t>mukama</t>
  </si>
  <si>
    <t>mucamas</t>
  </si>
  <si>
    <t>/mukamas/</t>
  </si>
  <si>
    <t>mukamas</t>
  </si>
  <si>
    <t>muga</t>
  </si>
  <si>
    <t>/muɣa/</t>
  </si>
  <si>
    <t>muka</t>
  </si>
  <si>
    <t>mugan</t>
  </si>
  <si>
    <t>/muɣan/</t>
  </si>
  <si>
    <t>mukan</t>
  </si>
  <si>
    <t>mugar</t>
  </si>
  <si>
    <t>/muɣaɾ/</t>
  </si>
  <si>
    <t>mukar</t>
  </si>
  <si>
    <t>mugara</t>
  </si>
  <si>
    <t>/muɣaɾa/</t>
  </si>
  <si>
    <t>mukara</t>
  </si>
  <si>
    <t>mugaran</t>
  </si>
  <si>
    <t>/muɣaɾan/</t>
  </si>
  <si>
    <t>mukaran</t>
  </si>
  <si>
    <t>mugaras</t>
  </si>
  <si>
    <t>/muɣaɾas/</t>
  </si>
  <si>
    <t>mukaras</t>
  </si>
  <si>
    <t>mugas</t>
  </si>
  <si>
    <t>/muɣas/</t>
  </si>
  <si>
    <t>mukas</t>
  </si>
  <si>
    <t>mugir</t>
  </si>
  <si>
    <t>/muxiɾ/</t>
  </si>
  <si>
    <t>mukir</t>
  </si>
  <si>
    <t>mujalata</t>
  </si>
  <si>
    <t>/muxalata/</t>
  </si>
  <si>
    <t>mukalata</t>
  </si>
  <si>
    <t>mujalatas</t>
  </si>
  <si>
    <t>/muxalatas/</t>
  </si>
  <si>
    <t>mukalatas</t>
  </si>
  <si>
    <t>mule</t>
  </si>
  <si>
    <t>hinny</t>
  </si>
  <si>
    <t>mular</t>
  </si>
  <si>
    <t>/mulaɾ/</t>
  </si>
  <si>
    <t>mulata</t>
  </si>
  <si>
    <t>/mulata/</t>
  </si>
  <si>
    <t>mulatas</t>
  </si>
  <si>
    <t>/mulatas/</t>
  </si>
  <si>
    <t>mulatiza</t>
  </si>
  <si>
    <t>/mulatisa/</t>
  </si>
  <si>
    <t>mulatisa</t>
  </si>
  <si>
    <t>mulatizan</t>
  </si>
  <si>
    <t>/mulatisan/</t>
  </si>
  <si>
    <t>mulatisan</t>
  </si>
  <si>
    <t>mulatizar</t>
  </si>
  <si>
    <t>/mulatisaɾ/</t>
  </si>
  <si>
    <t>mulatisar</t>
  </si>
  <si>
    <t>mulatizara</t>
  </si>
  <si>
    <t>/mulatisaɾa/</t>
  </si>
  <si>
    <t>mulatisara</t>
  </si>
  <si>
    <t>mulatizaran</t>
  </si>
  <si>
    <t>/mulatisaɾan/</t>
  </si>
  <si>
    <t>mulatisaran</t>
  </si>
  <si>
    <t>mulatizaras</t>
  </si>
  <si>
    <t>/mulatisaɾas/</t>
  </si>
  <si>
    <t>mulatisaras</t>
  </si>
  <si>
    <t>mulatizas</t>
  </si>
  <si>
    <t>/mulatisas/</t>
  </si>
  <si>
    <t>mulatisas</t>
  </si>
  <si>
    <t>mulilla</t>
  </si>
  <si>
    <t>/muliʎa/</t>
  </si>
  <si>
    <t>mulillas</t>
  </si>
  <si>
    <t>/muliʎas/</t>
  </si>
  <si>
    <t>mulla</t>
  </si>
  <si>
    <t>/muʎa/</t>
  </si>
  <si>
    <t>mullan</t>
  </si>
  <si>
    <t>/muʎan/</t>
  </si>
  <si>
    <t>mullas</t>
  </si>
  <si>
    <t>/muʎas/</t>
  </si>
  <si>
    <t>mullica</t>
  </si>
  <si>
    <t>/muʎika/</t>
  </si>
  <si>
    <t>mullika</t>
  </si>
  <si>
    <t>mullican</t>
  </si>
  <si>
    <t>/muʎikan/</t>
  </si>
  <si>
    <t>mullikan</t>
  </si>
  <si>
    <t>mullicar</t>
  </si>
  <si>
    <t>/muʎikaɾ/</t>
  </si>
  <si>
    <t>mullikar</t>
  </si>
  <si>
    <t>mullicara</t>
  </si>
  <si>
    <t>/muʎikaɾa/</t>
  </si>
  <si>
    <t>mullikara</t>
  </si>
  <si>
    <t>mullicaran</t>
  </si>
  <si>
    <t>/muʎikaɾan/</t>
  </si>
  <si>
    <t>mullikaran</t>
  </si>
  <si>
    <t>mullicaras</t>
  </si>
  <si>
    <t>/muʎikaɾas/</t>
  </si>
  <si>
    <t>mullikaras</t>
  </si>
  <si>
    <t>mullicas</t>
  </si>
  <si>
    <t>/muʎikas/</t>
  </si>
  <si>
    <t>mullikas</t>
  </si>
  <si>
    <t>mullir</t>
  </si>
  <si>
    <t>/muʎiɾ/</t>
  </si>
  <si>
    <t>municipal</t>
  </si>
  <si>
    <t>/munisipal/</t>
  </si>
  <si>
    <t>munisipal</t>
  </si>
  <si>
    <t>municipaliza</t>
  </si>
  <si>
    <t>/munisipalisa/</t>
  </si>
  <si>
    <t>munisipalisa</t>
  </si>
  <si>
    <t>municipalizan</t>
  </si>
  <si>
    <t>/munisipalisan/</t>
  </si>
  <si>
    <t>munisipalisan</t>
  </si>
  <si>
    <t>municipalizar</t>
  </si>
  <si>
    <t>/munisipalisaɾ/</t>
  </si>
  <si>
    <t>munisipalisar</t>
  </si>
  <si>
    <t>municipalizara</t>
  </si>
  <si>
    <t>/munisipalisaɾa/</t>
  </si>
  <si>
    <t>munisipalisara</t>
  </si>
  <si>
    <t>municipalizaran</t>
  </si>
  <si>
    <t>/munisipalisaɾan/</t>
  </si>
  <si>
    <t>munisipalisaran</t>
  </si>
  <si>
    <t>municipalizaras</t>
  </si>
  <si>
    <t>/munisipalisaɾas/</t>
  </si>
  <si>
    <t>munisipalisaras</t>
  </si>
  <si>
    <t>municipalizas</t>
  </si>
  <si>
    <t>/munisipalisas/</t>
  </si>
  <si>
    <t>munisipalisas</t>
  </si>
  <si>
    <t>muñir</t>
  </si>
  <si>
    <t>/muɲiɾ/</t>
  </si>
  <si>
    <t>mura</t>
  </si>
  <si>
    <t>/muɾa/</t>
  </si>
  <si>
    <t>mural</t>
  </si>
  <si>
    <t>/muɾal/</t>
  </si>
  <si>
    <t>muralla</t>
  </si>
  <si>
    <t>/muɾaʎa/</t>
  </si>
  <si>
    <t>rampart</t>
  </si>
  <si>
    <t>murallas</t>
  </si>
  <si>
    <t>/muɾaʎas/</t>
  </si>
  <si>
    <t>muran</t>
  </si>
  <si>
    <t>/muɾan/</t>
  </si>
  <si>
    <t>murar</t>
  </si>
  <si>
    <t>/muɾaɾ/</t>
  </si>
  <si>
    <t>murara</t>
  </si>
  <si>
    <t>/muɾaɾa/</t>
  </si>
  <si>
    <t>muraran</t>
  </si>
  <si>
    <t>/muɾaɾan/</t>
  </si>
  <si>
    <t>muraras</t>
  </si>
  <si>
    <t>/muɾaɾas/</t>
  </si>
  <si>
    <t>muras</t>
  </si>
  <si>
    <t>/muɾas/</t>
  </si>
  <si>
    <t>mouse</t>
  </si>
  <si>
    <t>Musa</t>
  </si>
  <si>
    <t>genus_Musa</t>
  </si>
  <si>
    <t>musan</t>
  </si>
  <si>
    <t>/musan/</t>
  </si>
  <si>
    <t>musaraña</t>
  </si>
  <si>
    <t>/musaɾaɲa/</t>
  </si>
  <si>
    <t>musarañas</t>
  </si>
  <si>
    <t>/musaɾaɲas/</t>
  </si>
  <si>
    <t>musical</t>
  </si>
  <si>
    <t>/musikal/</t>
  </si>
  <si>
    <t>musikal</t>
  </si>
  <si>
    <t>song_and_dance</t>
  </si>
  <si>
    <t>musir</t>
  </si>
  <si>
    <t>/musiɾ/</t>
  </si>
  <si>
    <t>musita</t>
  </si>
  <si>
    <t>/musita/</t>
  </si>
  <si>
    <t>musitan</t>
  </si>
  <si>
    <t>/musitan/</t>
  </si>
  <si>
    <t>musitar</t>
  </si>
  <si>
    <t>/musitaɾ/</t>
  </si>
  <si>
    <t>mumble</t>
  </si>
  <si>
    <t>mutter</t>
  </si>
  <si>
    <t>maunder</t>
  </si>
  <si>
    <t>mussitate</t>
  </si>
  <si>
    <t>musitara</t>
  </si>
  <si>
    <t>/musitaɾa/</t>
  </si>
  <si>
    <t>musitaran</t>
  </si>
  <si>
    <t>/musitaɾan/</t>
  </si>
  <si>
    <t>musitaras</t>
  </si>
  <si>
    <t>/musitaɾas/</t>
  </si>
  <si>
    <t>musitas</t>
  </si>
  <si>
    <t>/musitas/</t>
  </si>
  <si>
    <t>muta</t>
  </si>
  <si>
    <t>/muta/</t>
  </si>
  <si>
    <t>mutan</t>
  </si>
  <si>
    <t>/mutan/</t>
  </si>
  <si>
    <t>mutar</t>
  </si>
  <si>
    <t>/mutaɾ/</t>
  </si>
  <si>
    <t>mutara</t>
  </si>
  <si>
    <t>/mutaɾa/</t>
  </si>
  <si>
    <t>mutaran</t>
  </si>
  <si>
    <t>/mutaɾan/</t>
  </si>
  <si>
    <t>mutaras</t>
  </si>
  <si>
    <t>/mutaɾas/</t>
  </si>
  <si>
    <t>mutas</t>
  </si>
  <si>
    <t>/mutas/</t>
  </si>
  <si>
    <t>mutatis</t>
  </si>
  <si>
    <t>/mutatis/</t>
  </si>
  <si>
    <t>mutila</t>
  </si>
  <si>
    <t>/mutila/</t>
  </si>
  <si>
    <t>mutilan</t>
  </si>
  <si>
    <t>/mutilan/</t>
  </si>
  <si>
    <t>mutilar</t>
  </si>
  <si>
    <t>/mutilaɾ/</t>
  </si>
  <si>
    <t>mutilara</t>
  </si>
  <si>
    <t>/mutilaɾa/</t>
  </si>
  <si>
    <t>mutilaran</t>
  </si>
  <si>
    <t>/mutilaɾan/</t>
  </si>
  <si>
    <t>mutilaras</t>
  </si>
  <si>
    <t>/mutilaɾas/</t>
  </si>
  <si>
    <t>mutilas</t>
  </si>
  <si>
    <t>/mutilas/</t>
  </si>
  <si>
    <t>mutis</t>
  </si>
  <si>
    <t>/mutis/</t>
  </si>
  <si>
    <t>muz</t>
  </si>
  <si>
    <t>nacarina</t>
  </si>
  <si>
    <t>/nakaɾina/</t>
  </si>
  <si>
    <t>nakarina</t>
  </si>
  <si>
    <t>nacarinas</t>
  </si>
  <si>
    <t>/nakaɾinas/</t>
  </si>
  <si>
    <t>nakarinas</t>
  </si>
  <si>
    <t>nacatamal</t>
  </si>
  <si>
    <t>/nakatamal/</t>
  </si>
  <si>
    <t>nakatamal</t>
  </si>
  <si>
    <t>naja</t>
  </si>
  <si>
    <t>/naxa/</t>
  </si>
  <si>
    <t>naka</t>
  </si>
  <si>
    <t>Naja</t>
  </si>
  <si>
    <t>genus_Naja</t>
  </si>
  <si>
    <t>najas</t>
  </si>
  <si>
    <t>/naxas/</t>
  </si>
  <si>
    <t>nakas</t>
  </si>
  <si>
    <t>nanita</t>
  </si>
  <si>
    <t>/nanita/</t>
  </si>
  <si>
    <t>nanitas</t>
  </si>
  <si>
    <t>/nanitas/</t>
  </si>
  <si>
    <t>nariguilla</t>
  </si>
  <si>
    <t>/naɾiɣiʎa/</t>
  </si>
  <si>
    <t>narikilla</t>
  </si>
  <si>
    <t>nariguillas</t>
  </si>
  <si>
    <t>/naɾiɣiʎas/</t>
  </si>
  <si>
    <t>narikillas</t>
  </si>
  <si>
    <t>nariz</t>
  </si>
  <si>
    <t>/naɾis/</t>
  </si>
  <si>
    <t>naris</t>
  </si>
  <si>
    <t>National_Aeronautics_and_Space_Administration</t>
  </si>
  <si>
    <t>NASA</t>
  </si>
  <si>
    <t>rhinal</t>
  </si>
  <si>
    <t>narial</t>
  </si>
  <si>
    <t>nasaliza</t>
  </si>
  <si>
    <t>/nasalisa/</t>
  </si>
  <si>
    <t>nasalisa</t>
  </si>
  <si>
    <t>nasalizan</t>
  </si>
  <si>
    <t>/nasalisan/</t>
  </si>
  <si>
    <t>nasalisan</t>
  </si>
  <si>
    <t>nasalizar</t>
  </si>
  <si>
    <t>/nasalisaɾ/</t>
  </si>
  <si>
    <t>nasalisar</t>
  </si>
  <si>
    <t>nasalizara</t>
  </si>
  <si>
    <t>/nasalisaɾa/</t>
  </si>
  <si>
    <t>nasalisara</t>
  </si>
  <si>
    <t>nasalizaran</t>
  </si>
  <si>
    <t>/nasalisaɾan/</t>
  </si>
  <si>
    <t>nasalisaran</t>
  </si>
  <si>
    <t>nasalizaras</t>
  </si>
  <si>
    <t>/nasalisaɾas/</t>
  </si>
  <si>
    <t>nasalisaras</t>
  </si>
  <si>
    <t>nasalizas</t>
  </si>
  <si>
    <t>/nasalisas/</t>
  </si>
  <si>
    <t>nasalisas</t>
  </si>
  <si>
    <t>nasas</t>
  </si>
  <si>
    <t>/nasas/</t>
  </si>
  <si>
    <t>Natal</t>
  </si>
  <si>
    <t>KwaZulu-Natal</t>
  </si>
  <si>
    <t>natillas</t>
  </si>
  <si>
    <t>/natiʎas/</t>
  </si>
  <si>
    <t>custard</t>
  </si>
  <si>
    <t>natura</t>
  </si>
  <si>
    <t>/natuɾa/</t>
  </si>
  <si>
    <t>natural</t>
  </si>
  <si>
    <t>/natuɾal/</t>
  </si>
  <si>
    <t>unaffected</t>
  </si>
  <si>
    <t>lifelike</t>
  </si>
  <si>
    <t>raw</t>
  </si>
  <si>
    <t>unsanded</t>
  </si>
  <si>
    <t>autochthonal</t>
  </si>
  <si>
    <t>autochthonic</t>
  </si>
  <si>
    <t>autochthonous</t>
  </si>
  <si>
    <t>endemic</t>
  </si>
  <si>
    <t>indigenous</t>
  </si>
  <si>
    <t>rude</t>
  </si>
  <si>
    <t>elemental</t>
  </si>
  <si>
    <t>naturaliza</t>
  </si>
  <si>
    <t>/natuɾalisa/</t>
  </si>
  <si>
    <t>naturalisa</t>
  </si>
  <si>
    <t>naturalizan</t>
  </si>
  <si>
    <t>/natuɾalisan/</t>
  </si>
  <si>
    <t>naturalisan</t>
  </si>
  <si>
    <t>naturalizar</t>
  </si>
  <si>
    <t>/natuɾalisaɾ/</t>
  </si>
  <si>
    <t>naturalisar</t>
  </si>
  <si>
    <t>naturalize</t>
  </si>
  <si>
    <t>naturalise</t>
  </si>
  <si>
    <t>naturalizara</t>
  </si>
  <si>
    <t>/natuɾalisaɾa/</t>
  </si>
  <si>
    <t>naturalisara</t>
  </si>
  <si>
    <t>naturalizaran</t>
  </si>
  <si>
    <t>/natuɾalisaɾan/</t>
  </si>
  <si>
    <t>naturalisaran</t>
  </si>
  <si>
    <t>naturalizaras</t>
  </si>
  <si>
    <t>/natuɾalisaɾas/</t>
  </si>
  <si>
    <t>naturalisaras</t>
  </si>
  <si>
    <t>naturalizas</t>
  </si>
  <si>
    <t>/natuɾalisas/</t>
  </si>
  <si>
    <t>naturalisas</t>
  </si>
  <si>
    <t>naturas</t>
  </si>
  <si>
    <t>/natuɾas/</t>
  </si>
  <si>
    <t>nazarita</t>
  </si>
  <si>
    <t>/nasaɾita/</t>
  </si>
  <si>
    <t>nasarita</t>
  </si>
  <si>
    <t>nazaritas</t>
  </si>
  <si>
    <t>/nasaɾitas/</t>
  </si>
  <si>
    <t>nasaritas</t>
  </si>
  <si>
    <t>niña</t>
  </si>
  <si>
    <t>/niɲa/</t>
  </si>
  <si>
    <t>female_child</t>
  </si>
  <si>
    <t>little_girl</t>
  </si>
  <si>
    <t>missy</t>
  </si>
  <si>
    <t>young_lady</t>
  </si>
  <si>
    <t>young_woman</t>
  </si>
  <si>
    <t>fille</t>
  </si>
  <si>
    <t>lass</t>
  </si>
  <si>
    <t>lassie</t>
  </si>
  <si>
    <t>young_girl</t>
  </si>
  <si>
    <t>jeune_fille</t>
  </si>
  <si>
    <t>niñas</t>
  </si>
  <si>
    <t>/niɲas/</t>
  </si>
  <si>
    <t>nuca</t>
  </si>
  <si>
    <t>/nuka/</t>
  </si>
  <si>
    <t>nuka</t>
  </si>
  <si>
    <t>nucas</t>
  </si>
  <si>
    <t>/nukas/</t>
  </si>
  <si>
    <t>nukas</t>
  </si>
  <si>
    <t>nula</t>
  </si>
  <si>
    <t>/nula/</t>
  </si>
  <si>
    <t>nulas</t>
  </si>
  <si>
    <t>/nulas/</t>
  </si>
  <si>
    <t>numular</t>
  </si>
  <si>
    <t>/numulaɾ/</t>
  </si>
  <si>
    <t>numulita</t>
  </si>
  <si>
    <t>/numulita/</t>
  </si>
  <si>
    <t>numulitas</t>
  </si>
  <si>
    <t>/numulitas/</t>
  </si>
  <si>
    <t>ñacanina</t>
  </si>
  <si>
    <t>/ɲakanina/</t>
  </si>
  <si>
    <t>ñakanina</t>
  </si>
  <si>
    <t>ñu</t>
  </si>
  <si>
    <t>/ɲu/</t>
  </si>
  <si>
    <t>pacana</t>
  </si>
  <si>
    <t>/pakana/</t>
  </si>
  <si>
    <t>pakana</t>
  </si>
  <si>
    <t>pacanas</t>
  </si>
  <si>
    <t>/pakanas/</t>
  </si>
  <si>
    <t>pakanas</t>
  </si>
  <si>
    <t>pacata</t>
  </si>
  <si>
    <t>/pakata/</t>
  </si>
  <si>
    <t>pakata</t>
  </si>
  <si>
    <t>pacatas</t>
  </si>
  <si>
    <t>/pakatas/</t>
  </si>
  <si>
    <t>pakatas</t>
  </si>
  <si>
    <t>paga</t>
  </si>
  <si>
    <t>/paɣa/</t>
  </si>
  <si>
    <t>pagan</t>
  </si>
  <si>
    <t>/paɣan/</t>
  </si>
  <si>
    <t>paganiza</t>
  </si>
  <si>
    <t>/paɣanisa/</t>
  </si>
  <si>
    <t>pakanisa</t>
  </si>
  <si>
    <t>paganizan</t>
  </si>
  <si>
    <t>/paɣanisan/</t>
  </si>
  <si>
    <t>pakanisan</t>
  </si>
  <si>
    <t>paganizar</t>
  </si>
  <si>
    <t>/paɣanisaɾ/</t>
  </si>
  <si>
    <t>pakanisar</t>
  </si>
  <si>
    <t>paganizara</t>
  </si>
  <si>
    <t>/paɣanisaɾa/</t>
  </si>
  <si>
    <t>pakanisara</t>
  </si>
  <si>
    <t>paganizaran</t>
  </si>
  <si>
    <t>/paɣanisaɾan/</t>
  </si>
  <si>
    <t>pakanisaran</t>
  </si>
  <si>
    <t>paganizaras</t>
  </si>
  <si>
    <t>/paɣanisaɾas/</t>
  </si>
  <si>
    <t>pakanisaras</t>
  </si>
  <si>
    <t>paganizas</t>
  </si>
  <si>
    <t>/paɣanisas/</t>
  </si>
  <si>
    <t>pakanisas</t>
  </si>
  <si>
    <t>pagar</t>
  </si>
  <si>
    <t>/paɣaɾ/</t>
  </si>
  <si>
    <t>pakar</t>
  </si>
  <si>
    <t>underwrite</t>
  </si>
  <si>
    <t>subvention</t>
  </si>
  <si>
    <t>subvent</t>
  </si>
  <si>
    <t>pay_back</t>
  </si>
  <si>
    <t>pay_off</t>
  </si>
  <si>
    <t>get</t>
  </si>
  <si>
    <t>fund</t>
  </si>
  <si>
    <t>honor</t>
  </si>
  <si>
    <t>honour</t>
  </si>
  <si>
    <t>pay_up</t>
  </si>
  <si>
    <t>ante_up</t>
  </si>
  <si>
    <t>buy_off</t>
  </si>
  <si>
    <t>foot</t>
  </si>
  <si>
    <t>pick</t>
  </si>
  <si>
    <t>yield</t>
  </si>
  <si>
    <t>requite</t>
  </si>
  <si>
    <t>repay</t>
  </si>
  <si>
    <t>expiate</t>
  </si>
  <si>
    <t>aby</t>
  </si>
  <si>
    <t>abye</t>
  </si>
  <si>
    <t>atone</t>
  </si>
  <si>
    <t>pagara</t>
  </si>
  <si>
    <t>/paɣaɾa/</t>
  </si>
  <si>
    <t>pakara</t>
  </si>
  <si>
    <t>pagaran</t>
  </si>
  <si>
    <t>/paɣaɾan/</t>
  </si>
  <si>
    <t>pakaran</t>
  </si>
  <si>
    <t>pagaras</t>
  </si>
  <si>
    <t>/paɣaɾas/</t>
  </si>
  <si>
    <t>pakaras</t>
  </si>
  <si>
    <t>pagas</t>
  </si>
  <si>
    <t>/paɣas/</t>
  </si>
  <si>
    <t>pakas</t>
  </si>
  <si>
    <t>pagina</t>
  </si>
  <si>
    <t>/paxina/</t>
  </si>
  <si>
    <t>pakina</t>
  </si>
  <si>
    <t>paginan</t>
  </si>
  <si>
    <t>/paxinan/</t>
  </si>
  <si>
    <t>pakinan</t>
  </si>
  <si>
    <t>paginar</t>
  </si>
  <si>
    <t>/paxinaɾ/</t>
  </si>
  <si>
    <t>pakinar</t>
  </si>
  <si>
    <t>paginara</t>
  </si>
  <si>
    <t>/paxinaɾa/</t>
  </si>
  <si>
    <t>pakinara</t>
  </si>
  <si>
    <t>paginaran</t>
  </si>
  <si>
    <t>/paxinaɾan/</t>
  </si>
  <si>
    <t>pakinaran</t>
  </si>
  <si>
    <t>paginaras</t>
  </si>
  <si>
    <t>/paxinaɾas/</t>
  </si>
  <si>
    <t>pakinaras</t>
  </si>
  <si>
    <t>paginas</t>
  </si>
  <si>
    <t>/paxinas/</t>
  </si>
  <si>
    <t>pakinas</t>
  </si>
  <si>
    <t>paja</t>
  </si>
  <si>
    <t>/paxa/</t>
  </si>
  <si>
    <t>jacking_off</t>
  </si>
  <si>
    <t>jerking_off</t>
  </si>
  <si>
    <t>hand_job</t>
  </si>
  <si>
    <t>wank</t>
  </si>
  <si>
    <t>folderol</t>
  </si>
  <si>
    <t>rubbish</t>
  </si>
  <si>
    <t>tripe</t>
  </si>
  <si>
    <t>trumpery</t>
  </si>
  <si>
    <t>trash</t>
  </si>
  <si>
    <t>wish-wash</t>
  </si>
  <si>
    <t>applesauce</t>
  </si>
  <si>
    <t>codswallop</t>
  </si>
  <si>
    <t>thatch</t>
  </si>
  <si>
    <t>pajar</t>
  </si>
  <si>
    <t>/paxaɾ/</t>
  </si>
  <si>
    <t>haystack</t>
  </si>
  <si>
    <t>hayrick</t>
  </si>
  <si>
    <t>rick</t>
  </si>
  <si>
    <t>pajarilla</t>
  </si>
  <si>
    <t>/paxaɾiʎa/</t>
  </si>
  <si>
    <t>pakarilla</t>
  </si>
  <si>
    <t>pajarillas</t>
  </si>
  <si>
    <t>/paxaɾiʎas/</t>
  </si>
  <si>
    <t>pakarillas</t>
  </si>
  <si>
    <t>pajarita</t>
  </si>
  <si>
    <t>/paxaɾita/</t>
  </si>
  <si>
    <t>pakarita</t>
  </si>
  <si>
    <t>pajaritas</t>
  </si>
  <si>
    <t>/paxaɾitas/</t>
  </si>
  <si>
    <t>pakaritas</t>
  </si>
  <si>
    <t>pajas</t>
  </si>
  <si>
    <t>/paxas/</t>
  </si>
  <si>
    <t>pajaza</t>
  </si>
  <si>
    <t>/paxasa/</t>
  </si>
  <si>
    <t>pakasa</t>
  </si>
  <si>
    <t>pajazas</t>
  </si>
  <si>
    <t>/paxasas/</t>
  </si>
  <si>
    <t>pakasas</t>
  </si>
  <si>
    <t>paji</t>
  </si>
  <si>
    <t>/paxi/</t>
  </si>
  <si>
    <t>paki</t>
  </si>
  <si>
    <t>pajilla</t>
  </si>
  <si>
    <t>/paxiʎa/</t>
  </si>
  <si>
    <t>pakilla</t>
  </si>
  <si>
    <t>pajillas</t>
  </si>
  <si>
    <t>/paxiʎas/</t>
  </si>
  <si>
    <t>pakillas</t>
  </si>
  <si>
    <t>shoulder_flash</t>
  </si>
  <si>
    <t>palasan</t>
  </si>
  <si>
    <t>/palasan/</t>
  </si>
  <si>
    <t>palataliza</t>
  </si>
  <si>
    <t>/palatalisa/</t>
  </si>
  <si>
    <t>palatalisa</t>
  </si>
  <si>
    <t>palatalizan</t>
  </si>
  <si>
    <t>/palatalisan/</t>
  </si>
  <si>
    <t>palatalisan</t>
  </si>
  <si>
    <t>palatalizar</t>
  </si>
  <si>
    <t>/palatalisaɾ/</t>
  </si>
  <si>
    <t>palatalisar</t>
  </si>
  <si>
    <t>palatalize</t>
  </si>
  <si>
    <t>palatalise</t>
  </si>
  <si>
    <t>palatalizara</t>
  </si>
  <si>
    <t>/palatalisaɾa/</t>
  </si>
  <si>
    <t>palatalisara</t>
  </si>
  <si>
    <t>palatalizaran</t>
  </si>
  <si>
    <t>/palatalisaɾan/</t>
  </si>
  <si>
    <t>palatalisaran</t>
  </si>
  <si>
    <t>palatalizaras</t>
  </si>
  <si>
    <t>/palatalisaɾas/</t>
  </si>
  <si>
    <t>palatalisaras</t>
  </si>
  <si>
    <t>palatalizas</t>
  </si>
  <si>
    <t>/palatalisas/</t>
  </si>
  <si>
    <t>palatalisas</t>
  </si>
  <si>
    <t>palatinas</t>
  </si>
  <si>
    <t>/palatinas/</t>
  </si>
  <si>
    <t>paliza</t>
  </si>
  <si>
    <t>/palisa/</t>
  </si>
  <si>
    <t>beating</t>
  </si>
  <si>
    <t>thrashing</t>
  </si>
  <si>
    <t>licking</t>
  </si>
  <si>
    <t>drubbing</t>
  </si>
  <si>
    <t>trouncing</t>
  </si>
  <si>
    <t>whacking</t>
  </si>
  <si>
    <t>walloping</t>
  </si>
  <si>
    <t>debacle</t>
  </si>
  <si>
    <t>whipping</t>
  </si>
  <si>
    <t>palizas</t>
  </si>
  <si>
    <t>/palisas/</t>
  </si>
  <si>
    <t>palisas</t>
  </si>
  <si>
    <t>pallas</t>
  </si>
  <si>
    <t>/paʎas/</t>
  </si>
  <si>
    <t>Pan</t>
  </si>
  <si>
    <t>genus_Pan</t>
  </si>
  <si>
    <t>chimpanzee</t>
  </si>
  <si>
    <t>chimp</t>
  </si>
  <si>
    <t>Pan_troglodytes</t>
  </si>
  <si>
    <t>bread</t>
  </si>
  <si>
    <t>breadstuff</t>
  </si>
  <si>
    <t>staff_of_life</t>
  </si>
  <si>
    <t>beehive</t>
  </si>
  <si>
    <t>hive</t>
  </si>
  <si>
    <t>honeycomb</t>
  </si>
  <si>
    <t>panicular</t>
  </si>
  <si>
    <t>/panikulaɾ/</t>
  </si>
  <si>
    <t>panikular</t>
  </si>
  <si>
    <t>panilla</t>
  </si>
  <si>
    <t>/paniʎa/</t>
  </si>
  <si>
    <t>panillas</t>
  </si>
  <si>
    <t>/paniʎas/</t>
  </si>
  <si>
    <t>pañal</t>
  </si>
  <si>
    <t>/paɲal/</t>
  </si>
  <si>
    <t>father</t>
  </si>
  <si>
    <t>male_parent</t>
  </si>
  <si>
    <t>begetter</t>
  </si>
  <si>
    <t>papalina</t>
  </si>
  <si>
    <t>/papalina/</t>
  </si>
  <si>
    <t>papalinas</t>
  </si>
  <si>
    <t>/papalinas/</t>
  </si>
  <si>
    <t>papan</t>
  </si>
  <si>
    <t>/papan/</t>
  </si>
  <si>
    <t>papanatas</t>
  </si>
  <si>
    <t>/papanatas/</t>
  </si>
  <si>
    <t>papar</t>
  </si>
  <si>
    <t>/papaɾ/</t>
  </si>
  <si>
    <t>papara</t>
  </si>
  <si>
    <t>/papaɾa/</t>
  </si>
  <si>
    <t>paparan</t>
  </si>
  <si>
    <t>/papaɾan/</t>
  </si>
  <si>
    <t>paparas</t>
  </si>
  <si>
    <t>/papaɾas/</t>
  </si>
  <si>
    <t>papilar</t>
  </si>
  <si>
    <t>/papilaɾ/</t>
  </si>
  <si>
    <t>papillary</t>
  </si>
  <si>
    <t>papillose</t>
  </si>
  <si>
    <t>papilas</t>
  </si>
  <si>
    <t>/papilas/</t>
  </si>
  <si>
    <t>papilla</t>
  </si>
  <si>
    <t>/papiʎa/</t>
  </si>
  <si>
    <t>papillas</t>
  </si>
  <si>
    <t>/papiʎas/</t>
  </si>
  <si>
    <t>par</t>
  </si>
  <si>
    <t>/paɾ/</t>
  </si>
  <si>
    <t>brace</t>
  </si>
  <si>
    <t>peer</t>
  </si>
  <si>
    <t>compeer</t>
  </si>
  <si>
    <t>twosome</t>
  </si>
  <si>
    <t>twain</t>
  </si>
  <si>
    <t>span</t>
  </si>
  <si>
    <t>couplet</t>
  </si>
  <si>
    <t>distich</t>
  </si>
  <si>
    <t>duo</t>
  </si>
  <si>
    <t>duet</t>
  </si>
  <si>
    <t>dyad</t>
  </si>
  <si>
    <t>duad</t>
  </si>
  <si>
    <t>paralitica</t>
  </si>
  <si>
    <t>/paɾalitika/</t>
  </si>
  <si>
    <t>paralitika</t>
  </si>
  <si>
    <t>paralitican</t>
  </si>
  <si>
    <t>/paɾalitikan/</t>
  </si>
  <si>
    <t>paralitikan</t>
  </si>
  <si>
    <t>paraliticar</t>
  </si>
  <si>
    <t>/paɾalitikaɾ/</t>
  </si>
  <si>
    <t>paralitikar</t>
  </si>
  <si>
    <t>paraliticara</t>
  </si>
  <si>
    <t>/paɾalitikaɾa/</t>
  </si>
  <si>
    <t>paralitikara</t>
  </si>
  <si>
    <t>paraliticaran</t>
  </si>
  <si>
    <t>/paɾalitikaɾan/</t>
  </si>
  <si>
    <t>paralitikaran</t>
  </si>
  <si>
    <t>paraliticaras</t>
  </si>
  <si>
    <t>/paɾalitikaɾas/</t>
  </si>
  <si>
    <t>paralitikaras</t>
  </si>
  <si>
    <t>paraliticas</t>
  </si>
  <si>
    <t>/paɾalitikas/</t>
  </si>
  <si>
    <t>paralitikas</t>
  </si>
  <si>
    <t>paraliza</t>
  </si>
  <si>
    <t>/paɾalisa/</t>
  </si>
  <si>
    <t>paralisa</t>
  </si>
  <si>
    <t>paralizan</t>
  </si>
  <si>
    <t>/paɾalisan/</t>
  </si>
  <si>
    <t>paralisan</t>
  </si>
  <si>
    <t>paralizar</t>
  </si>
  <si>
    <t>/paɾalisaɾ/</t>
  </si>
  <si>
    <t>paralisar</t>
  </si>
  <si>
    <t>paralyze</t>
  </si>
  <si>
    <t>paralyse</t>
  </si>
  <si>
    <t>paralizara</t>
  </si>
  <si>
    <t>/paɾalisaɾa/</t>
  </si>
  <si>
    <t>paralisara</t>
  </si>
  <si>
    <t>paralizaran</t>
  </si>
  <si>
    <t>/paɾalisaɾan/</t>
  </si>
  <si>
    <t>paralisaran</t>
  </si>
  <si>
    <t>paralizaras</t>
  </si>
  <si>
    <t>/paɾalisaɾas/</t>
  </si>
  <si>
    <t>paralisaras</t>
  </si>
  <si>
    <t>paralizas</t>
  </si>
  <si>
    <t>/paɾalisas/</t>
  </si>
  <si>
    <t>paralisas</t>
  </si>
  <si>
    <t>paran</t>
  </si>
  <si>
    <t>/paɾan/</t>
  </si>
  <si>
    <t>parar</t>
  </si>
  <si>
    <t>/paɾaɾ/</t>
  </si>
  <si>
    <t>break_off</t>
  </si>
  <si>
    <t>stop</t>
  </si>
  <si>
    <t>interrupt</t>
  </si>
  <si>
    <t>disrupt</t>
  </si>
  <si>
    <t>break_up</t>
  </si>
  <si>
    <t>cut_off</t>
  </si>
  <si>
    <t>parry</t>
  </si>
  <si>
    <t>halt</t>
  </si>
  <si>
    <t>stop_over</t>
  </si>
  <si>
    <t>settle</t>
  </si>
  <si>
    <t>kibosh</t>
  </si>
  <si>
    <t>finish</t>
  </si>
  <si>
    <t>terminate</t>
  </si>
  <si>
    <t>cease</t>
  </si>
  <si>
    <t>give_up</t>
  </si>
  <si>
    <t>quit</t>
  </si>
  <si>
    <t>lay_off</t>
  </si>
  <si>
    <t>parara</t>
  </si>
  <si>
    <t>/paɾaɾa/</t>
  </si>
  <si>
    <t>pararan</t>
  </si>
  <si>
    <t>/paɾaɾan/</t>
  </si>
  <si>
    <t>pararas</t>
  </si>
  <si>
    <t>/paɾaɾas/</t>
  </si>
  <si>
    <t>paras</t>
  </si>
  <si>
    <t>/paɾas/</t>
  </si>
  <si>
    <t>parata</t>
  </si>
  <si>
    <t>/paɾata/</t>
  </si>
  <si>
    <t>paratas</t>
  </si>
  <si>
    <t>/paɾatas/</t>
  </si>
  <si>
    <t>parir</t>
  </si>
  <si>
    <t>/paɾiɾ/</t>
  </si>
  <si>
    <t>give_birth</t>
  </si>
  <si>
    <t>deliver</t>
  </si>
  <si>
    <t>birth</t>
  </si>
  <si>
    <t>have</t>
  </si>
  <si>
    <t>foal</t>
  </si>
  <si>
    <t>litter</t>
  </si>
  <si>
    <t>whelp</t>
  </si>
  <si>
    <t>farrow</t>
  </si>
  <si>
    <t>fawn</t>
  </si>
  <si>
    <t>calve</t>
  </si>
  <si>
    <t>have_young</t>
  </si>
  <si>
    <t>produce</t>
  </si>
  <si>
    <t>bring_forth</t>
  </si>
  <si>
    <t>parisina</t>
  </si>
  <si>
    <t>/paɾisina/</t>
  </si>
  <si>
    <t>parisinas</t>
  </si>
  <si>
    <t>/paɾisinas/</t>
  </si>
  <si>
    <t>pasan</t>
  </si>
  <si>
    <t>/pasan/</t>
  </si>
  <si>
    <t>pasar</t>
  </si>
  <si>
    <t>/pasaɾ/</t>
  </si>
  <si>
    <t>recrudesce</t>
  </si>
  <si>
    <t>develop</t>
  </si>
  <si>
    <t>happen</t>
  </si>
  <si>
    <t>hap</t>
  </si>
  <si>
    <t>go_on</t>
  </si>
  <si>
    <t>pass_off</t>
  </si>
  <si>
    <t>occur</t>
  </si>
  <si>
    <t>fall_out</t>
  </si>
  <si>
    <t>come_about</t>
  </si>
  <si>
    <t>take_place</t>
  </si>
  <si>
    <t>operate</t>
  </si>
  <si>
    <t>evanesce</t>
  </si>
  <si>
    <t>fade</t>
  </si>
  <si>
    <t>blow_over</t>
  </si>
  <si>
    <t>fleet</t>
  </si>
  <si>
    <t>guide</t>
  </si>
  <si>
    <t>draw</t>
  </si>
  <si>
    <t>sink</t>
  </si>
  <si>
    <t>lapse</t>
  </si>
  <si>
    <t>overtake</t>
  </si>
  <si>
    <t>overhaul</t>
  </si>
  <si>
    <t>get_by</t>
  </si>
  <si>
    <t>go_through</t>
  </si>
  <si>
    <t>go_across</t>
  </si>
  <si>
    <t>travel_by</t>
  </si>
  <si>
    <t>pass_by</t>
  </si>
  <si>
    <t>surpass</t>
  </si>
  <si>
    <t>go_past</t>
  </si>
  <si>
    <t>go_by</t>
  </si>
  <si>
    <t>make_pass</t>
  </si>
  <si>
    <t>elapse</t>
  </si>
  <si>
    <t>slip_by</t>
  </si>
  <si>
    <t>glide_by</t>
  </si>
  <si>
    <t>slip_away</t>
  </si>
  <si>
    <t>slide_by</t>
  </si>
  <si>
    <t>go_along</t>
  </si>
  <si>
    <t>distribute</t>
  </si>
  <si>
    <t>give_out</t>
  </si>
  <si>
    <t>hand_out</t>
  </si>
  <si>
    <t>pass_out</t>
  </si>
  <si>
    <t>pass_on</t>
  </si>
  <si>
    <t>reach</t>
  </si>
  <si>
    <t>give</t>
  </si>
  <si>
    <t>legislate</t>
  </si>
  <si>
    <t>drop_by</t>
  </si>
  <si>
    <t>drop_in</t>
  </si>
  <si>
    <t>come_by</t>
  </si>
  <si>
    <t>spend</t>
  </si>
  <si>
    <t>be</t>
  </si>
  <si>
    <t>pasara</t>
  </si>
  <si>
    <t>/pasaɾa/</t>
  </si>
  <si>
    <t>pasaran</t>
  </si>
  <si>
    <t>/pasaɾan/</t>
  </si>
  <si>
    <t>pasaras</t>
  </si>
  <si>
    <t>/pasaɾas/</t>
  </si>
  <si>
    <t>pata</t>
  </si>
  <si>
    <t>/pata/</t>
  </si>
  <si>
    <t>animal_foot</t>
  </si>
  <si>
    <t>animal_leg</t>
  </si>
  <si>
    <t>patas</t>
  </si>
  <si>
    <t>/patas/</t>
  </si>
  <si>
    <t>potato</t>
  </si>
  <si>
    <t>white_potato</t>
  </si>
  <si>
    <t>Irish_potato</t>
  </si>
  <si>
    <t>murphy</t>
  </si>
  <si>
    <t>tater</t>
  </si>
  <si>
    <t>patatal</t>
  </si>
  <si>
    <t>/patatal/</t>
  </si>
  <si>
    <t>patatar</t>
  </si>
  <si>
    <t>/patataɾ/</t>
  </si>
  <si>
    <t>patatas</t>
  </si>
  <si>
    <t>/patatas/</t>
  </si>
  <si>
    <t>patinan</t>
  </si>
  <si>
    <t>/patinan/</t>
  </si>
  <si>
    <t>patinar</t>
  </si>
  <si>
    <t>/patinaɾ/</t>
  </si>
  <si>
    <t>skid</t>
  </si>
  <si>
    <t>patinara</t>
  </si>
  <si>
    <t>/patinaɾa/</t>
  </si>
  <si>
    <t>patinaran</t>
  </si>
  <si>
    <t>/patinaɾan/</t>
  </si>
  <si>
    <t>patinaras</t>
  </si>
  <si>
    <t>/patinaɾas/</t>
  </si>
  <si>
    <t>patulla</t>
  </si>
  <si>
    <t>/patuʎa/</t>
  </si>
  <si>
    <t>patullan</t>
  </si>
  <si>
    <t>/patuʎan/</t>
  </si>
  <si>
    <t>patullar</t>
  </si>
  <si>
    <t>/patuʎaɾ/</t>
  </si>
  <si>
    <t>patullara</t>
  </si>
  <si>
    <t>/patuʎaɾa/</t>
  </si>
  <si>
    <t>patullaran</t>
  </si>
  <si>
    <t>/patuʎaɾan/</t>
  </si>
  <si>
    <t>patullaras</t>
  </si>
  <si>
    <t>/patuʎaɾas/</t>
  </si>
  <si>
    <t>patullas</t>
  </si>
  <si>
    <t>/patuʎas/</t>
  </si>
  <si>
    <t>paz</t>
  </si>
  <si>
    <t>pax</t>
  </si>
  <si>
    <t>kiss_of_peace</t>
  </si>
  <si>
    <t>harmony</t>
  </si>
  <si>
    <t>concord</t>
  </si>
  <si>
    <t>concordance</t>
  </si>
  <si>
    <t>peaceableness</t>
  </si>
  <si>
    <t>paza</t>
  </si>
  <si>
    <t>pazan</t>
  </si>
  <si>
    <t>pazas</t>
  </si>
  <si>
    <t>phi</t>
  </si>
  <si>
    <t>pica</t>
  </si>
  <si>
    <t>picagallina</t>
  </si>
  <si>
    <t>/pikaɣaʎina/</t>
  </si>
  <si>
    <t>pikakallina</t>
  </si>
  <si>
    <t>picagallinas</t>
  </si>
  <si>
    <t>/pikaɣaʎinas/</t>
  </si>
  <si>
    <t>pikakallinas</t>
  </si>
  <si>
    <t>pican</t>
  </si>
  <si>
    <t>/pikan/</t>
  </si>
  <si>
    <t>pikan</t>
  </si>
  <si>
    <t>picana</t>
  </si>
  <si>
    <t>/pikana/</t>
  </si>
  <si>
    <t>pikana</t>
  </si>
  <si>
    <t>picanas</t>
  </si>
  <si>
    <t>/pikanas/</t>
  </si>
  <si>
    <t>pikanas</t>
  </si>
  <si>
    <t>picapica</t>
  </si>
  <si>
    <t>picapicas</t>
  </si>
  <si>
    <t>/pikapikas/</t>
  </si>
  <si>
    <t>pikapikas</t>
  </si>
  <si>
    <t>picar</t>
  </si>
  <si>
    <t>/pikaɾ/</t>
  </si>
  <si>
    <t>pikar</t>
  </si>
  <si>
    <t>grind</t>
  </si>
  <si>
    <t>crunch</t>
  </si>
  <si>
    <t>bray</t>
  </si>
  <si>
    <t>comminute</t>
  </si>
  <si>
    <t>sting</t>
  </si>
  <si>
    <t>clock_in</t>
  </si>
  <si>
    <t>punch_in</t>
  </si>
  <si>
    <t>clock_on</t>
  </si>
  <si>
    <t>nibble</t>
  </si>
  <si>
    <t>browse</t>
  </si>
  <si>
    <t>diet</t>
  </si>
  <si>
    <t>hack</t>
  </si>
  <si>
    <t>hash</t>
  </si>
  <si>
    <t>chip</t>
  </si>
  <si>
    <t>chip_off</t>
  </si>
  <si>
    <t>come_off</t>
  </si>
  <si>
    <t>break_away</t>
  </si>
  <si>
    <t>prickle</t>
  </si>
  <si>
    <t>bite</t>
  </si>
  <si>
    <t>hype_up</t>
  </si>
  <si>
    <t>psych_up</t>
  </si>
  <si>
    <t>offend</t>
  </si>
  <si>
    <t>tickle</t>
  </si>
  <si>
    <t>vibrate</t>
  </si>
  <si>
    <t>rub</t>
  </si>
  <si>
    <t>scratch</t>
  </si>
  <si>
    <t>twinge</t>
  </si>
  <si>
    <t>picara</t>
  </si>
  <si>
    <t>/pikaɾa/</t>
  </si>
  <si>
    <t>pikara</t>
  </si>
  <si>
    <t>picaran</t>
  </si>
  <si>
    <t>/pikaɾan/</t>
  </si>
  <si>
    <t>pikaran</t>
  </si>
  <si>
    <t>picaras</t>
  </si>
  <si>
    <t>/pikaɾas/</t>
  </si>
  <si>
    <t>pikaras</t>
  </si>
  <si>
    <t>picaraza</t>
  </si>
  <si>
    <t>/pikaɾasa/</t>
  </si>
  <si>
    <t>pikarasa</t>
  </si>
  <si>
    <t>picarazas</t>
  </si>
  <si>
    <t>/pikaɾasas/</t>
  </si>
  <si>
    <t>pikarasas</t>
  </si>
  <si>
    <t>picariza</t>
  </si>
  <si>
    <t>/pikaɾisa/</t>
  </si>
  <si>
    <t>pikarisa</t>
  </si>
  <si>
    <t>picarizan</t>
  </si>
  <si>
    <t>/pikaɾisan/</t>
  </si>
  <si>
    <t>pikarisan</t>
  </si>
  <si>
    <t>picarizar</t>
  </si>
  <si>
    <t>/pikaɾisaɾ/</t>
  </si>
  <si>
    <t>pikarisar</t>
  </si>
  <si>
    <t>picarizara</t>
  </si>
  <si>
    <t>/pikaɾisaɾa/</t>
  </si>
  <si>
    <t>pikarisara</t>
  </si>
  <si>
    <t>picarizaran</t>
  </si>
  <si>
    <t>/pikaɾisaɾan/</t>
  </si>
  <si>
    <t>pikarisaran</t>
  </si>
  <si>
    <t>picarizaras</t>
  </si>
  <si>
    <t>/pikaɾisaɾas/</t>
  </si>
  <si>
    <t>pikarisaras</t>
  </si>
  <si>
    <t>picarizas</t>
  </si>
  <si>
    <t>/pikaɾisas/</t>
  </si>
  <si>
    <t>pikarisas</t>
  </si>
  <si>
    <t>picas</t>
  </si>
  <si>
    <t>pijama</t>
  </si>
  <si>
    <t>/pixama/</t>
  </si>
  <si>
    <t>pikama</t>
  </si>
  <si>
    <t>pijamas</t>
  </si>
  <si>
    <t>/pixamas/</t>
  </si>
  <si>
    <t>pikamas</t>
  </si>
  <si>
    <t>tons</t>
  </si>
  <si>
    <t>dozens</t>
  </si>
  <si>
    <t>heaps</t>
  </si>
  <si>
    <t>lots</t>
  </si>
  <si>
    <t>scores</t>
  </si>
  <si>
    <t>stacks</t>
  </si>
  <si>
    <t>loads</t>
  </si>
  <si>
    <t>rafts</t>
  </si>
  <si>
    <t>slews</t>
  </si>
  <si>
    <t>wads</t>
  </si>
  <si>
    <t>oodles</t>
  </si>
  <si>
    <t>gobs</t>
  </si>
  <si>
    <t>scads</t>
  </si>
  <si>
    <t>lashings</t>
  </si>
  <si>
    <t>pilapila</t>
  </si>
  <si>
    <t>/pilapila/</t>
  </si>
  <si>
    <t>pilapilas</t>
  </si>
  <si>
    <t>/pilapilas/</t>
  </si>
  <si>
    <t>pilar</t>
  </si>
  <si>
    <t>/pilaɾ/</t>
  </si>
  <si>
    <t>pillar</t>
  </si>
  <si>
    <t>mainstay</t>
  </si>
  <si>
    <t>pilatuna</t>
  </si>
  <si>
    <t>/pilatuna/</t>
  </si>
  <si>
    <t>pilatunas</t>
  </si>
  <si>
    <t>/pilatunas/</t>
  </si>
  <si>
    <t>/piʎa/</t>
  </si>
  <si>
    <t>pillan</t>
  </si>
  <si>
    <t>/piʎan/</t>
  </si>
  <si>
    <t>/piʎaɾ/</t>
  </si>
  <si>
    <t>nab</t>
  </si>
  <si>
    <t>nail</t>
  </si>
  <si>
    <t>apprehend</t>
  </si>
  <si>
    <t>arrest</t>
  </si>
  <si>
    <t>pick_up</t>
  </si>
  <si>
    <t>snatch_up</t>
  </si>
  <si>
    <t>snap</t>
  </si>
  <si>
    <t>hop</t>
  </si>
  <si>
    <t>plunder</t>
  </si>
  <si>
    <t>loot</t>
  </si>
  <si>
    <t>snag</t>
  </si>
  <si>
    <t>frame</t>
  </si>
  <si>
    <t>set_up</t>
  </si>
  <si>
    <t>pillara</t>
  </si>
  <si>
    <t>/piʎaɾa/</t>
  </si>
  <si>
    <t>pillaran</t>
  </si>
  <si>
    <t>/piʎaɾan/</t>
  </si>
  <si>
    <t>pillaras</t>
  </si>
  <si>
    <t>/piʎaɾas/</t>
  </si>
  <si>
    <t>/piʎas/</t>
  </si>
  <si>
    <t>pinar</t>
  </si>
  <si>
    <t>/pinaɾ/</t>
  </si>
  <si>
    <t>pinetum</t>
  </si>
  <si>
    <t>pinaza</t>
  </si>
  <si>
    <t>/pinasa/</t>
  </si>
  <si>
    <t>pinasa</t>
  </si>
  <si>
    <t>pinazas</t>
  </si>
  <si>
    <t>/pinasas/</t>
  </si>
  <si>
    <t>pinasas</t>
  </si>
  <si>
    <t>pinuca</t>
  </si>
  <si>
    <t>/pinuka/</t>
  </si>
  <si>
    <t>pinuka</t>
  </si>
  <si>
    <t>pinucas</t>
  </si>
  <si>
    <t>/pinukas/</t>
  </si>
  <si>
    <t>pinukas</t>
  </si>
  <si>
    <t>piña</t>
  </si>
  <si>
    <t>/piɲa/</t>
  </si>
  <si>
    <t>piñal</t>
  </si>
  <si>
    <t>/piɲal/</t>
  </si>
  <si>
    <t>piñas</t>
  </si>
  <si>
    <t>/piɲas/</t>
  </si>
  <si>
    <t>piñata</t>
  </si>
  <si>
    <t>/piɲata/</t>
  </si>
  <si>
    <t>piñatas</t>
  </si>
  <si>
    <t>/piɲatas/</t>
  </si>
  <si>
    <t>pipan</t>
  </si>
  <si>
    <t>/pipan/</t>
  </si>
  <si>
    <t>pipar</t>
  </si>
  <si>
    <t>/pipaɾ/</t>
  </si>
  <si>
    <t>pipara</t>
  </si>
  <si>
    <t>/pipaɾa/</t>
  </si>
  <si>
    <t>piparan</t>
  </si>
  <si>
    <t>/pipaɾan/</t>
  </si>
  <si>
    <t>piparas</t>
  </si>
  <si>
    <t>/pipaɾas/</t>
  </si>
  <si>
    <t>pipirigaña</t>
  </si>
  <si>
    <t>/pipiɾiɣaɲa/</t>
  </si>
  <si>
    <t>pipirikaña</t>
  </si>
  <si>
    <t>pipirigañas</t>
  </si>
  <si>
    <t>/pipiɾiɣaɲas/</t>
  </si>
  <si>
    <t>pipirikañas</t>
  </si>
  <si>
    <t>pipiritaña</t>
  </si>
  <si>
    <t>/pipiɾitaɲa/</t>
  </si>
  <si>
    <t>pipiritañas</t>
  </si>
  <si>
    <t>/pipiɾitaɲas/</t>
  </si>
  <si>
    <t>pipita</t>
  </si>
  <si>
    <t>/pipita/</t>
  </si>
  <si>
    <t>pipitaña</t>
  </si>
  <si>
    <t>/pipitaɲa/</t>
  </si>
  <si>
    <t>pipitañas</t>
  </si>
  <si>
    <t>/pipitaɲas/</t>
  </si>
  <si>
    <t>pipitas</t>
  </si>
  <si>
    <t>/pipitas/</t>
  </si>
  <si>
    <t>pira</t>
  </si>
  <si>
    <t>/piɾa/</t>
  </si>
  <si>
    <t>piras</t>
  </si>
  <si>
    <t>/piɾas/</t>
  </si>
  <si>
    <t>pirata</t>
  </si>
  <si>
    <t>/piɾata/</t>
  </si>
  <si>
    <t>corsair</t>
  </si>
  <si>
    <t>Barbary_pirate</t>
  </si>
  <si>
    <t>cracker</t>
  </si>
  <si>
    <t>piratas</t>
  </si>
  <si>
    <t>/piɾatas/</t>
  </si>
  <si>
    <t>pirita</t>
  </si>
  <si>
    <t>/piɾita/</t>
  </si>
  <si>
    <t>piritas</t>
  </si>
  <si>
    <t>/piɾitas/</t>
  </si>
  <si>
    <t>piruja</t>
  </si>
  <si>
    <t>/piɾuxa/</t>
  </si>
  <si>
    <t>piruka</t>
  </si>
  <si>
    <t>pirujas</t>
  </si>
  <si>
    <t>/piɾuxas/</t>
  </si>
  <si>
    <t>pirukas</t>
  </si>
  <si>
    <t>pisan</t>
  </si>
  <si>
    <t>/pisan/</t>
  </si>
  <si>
    <t>pisana</t>
  </si>
  <si>
    <t>/pisana/</t>
  </si>
  <si>
    <t>pisanas</t>
  </si>
  <si>
    <t>/pisanas/</t>
  </si>
  <si>
    <t>pisar</t>
  </si>
  <si>
    <t>/pisaɾ/</t>
  </si>
  <si>
    <t>trample</t>
  </si>
  <si>
    <t>tramp_down</t>
  </si>
  <si>
    <t>tread_down</t>
  </si>
  <si>
    <t>pisara</t>
  </si>
  <si>
    <t>/pisaɾa/</t>
  </si>
  <si>
    <t>pisaran</t>
  </si>
  <si>
    <t>/pisaɾan/</t>
  </si>
  <si>
    <t>pisaras</t>
  </si>
  <si>
    <t>/pisaɾas/</t>
  </si>
  <si>
    <t>pitajaña</t>
  </si>
  <si>
    <t>/pitaxaɲa/</t>
  </si>
  <si>
    <t>pitakaña</t>
  </si>
  <si>
    <t>pitajañas</t>
  </si>
  <si>
    <t>/pitaxaɲas/</t>
  </si>
  <si>
    <t>pitakañas</t>
  </si>
  <si>
    <t>pitan</t>
  </si>
  <si>
    <t>/pitan/</t>
  </si>
  <si>
    <t>pitaña</t>
  </si>
  <si>
    <t>/pitaɲa/</t>
  </si>
  <si>
    <t>pitañas</t>
  </si>
  <si>
    <t>/pitaɲas/</t>
  </si>
  <si>
    <t>pitar</t>
  </si>
  <si>
    <t>/pitaɾ/</t>
  </si>
  <si>
    <t>pitara</t>
  </si>
  <si>
    <t>/pitaɾa/</t>
  </si>
  <si>
    <t>pitaran</t>
  </si>
  <si>
    <t>/pitaɾan/</t>
  </si>
  <si>
    <t>pitaras</t>
  </si>
  <si>
    <t>/pitaɾas/</t>
  </si>
  <si>
    <t>pitas</t>
  </si>
  <si>
    <t>/pitas/</t>
  </si>
  <si>
    <t>pitusa</t>
  </si>
  <si>
    <t>/pitusa/</t>
  </si>
  <si>
    <t>pitusas</t>
  </si>
  <si>
    <t>/pitusas/</t>
  </si>
  <si>
    <t>puga</t>
  </si>
  <si>
    <t>/puɣa/</t>
  </si>
  <si>
    <t>puka</t>
  </si>
  <si>
    <t>pugas</t>
  </si>
  <si>
    <t>/puɣas/</t>
  </si>
  <si>
    <t>pukas</t>
  </si>
  <si>
    <t>pugilar</t>
  </si>
  <si>
    <t>/puxilaɾ/</t>
  </si>
  <si>
    <t>pukilar</t>
  </si>
  <si>
    <t>puja</t>
  </si>
  <si>
    <t>/puxa/</t>
  </si>
  <si>
    <t>pujan</t>
  </si>
  <si>
    <t>/puxan/</t>
  </si>
  <si>
    <t>pukan</t>
  </si>
  <si>
    <t>pujar</t>
  </si>
  <si>
    <t>/puxaɾ/</t>
  </si>
  <si>
    <t>pukar</t>
  </si>
  <si>
    <t>bear_down</t>
  </si>
  <si>
    <t>overbear</t>
  </si>
  <si>
    <t>offer</t>
  </si>
  <si>
    <t>pujara</t>
  </si>
  <si>
    <t>/puxaɾa/</t>
  </si>
  <si>
    <t>pukara</t>
  </si>
  <si>
    <t>pujaran</t>
  </si>
  <si>
    <t>/puxaɾan/</t>
  </si>
  <si>
    <t>pukaran</t>
  </si>
  <si>
    <t>pujaras</t>
  </si>
  <si>
    <t>/puxaɾas/</t>
  </si>
  <si>
    <t>pukaras</t>
  </si>
  <si>
    <t>pujas</t>
  </si>
  <si>
    <t>/puxas/</t>
  </si>
  <si>
    <t>/pula/</t>
  </si>
  <si>
    <t>/pulan/</t>
  </si>
  <si>
    <t>pulas</t>
  </si>
  <si>
    <t>/pulas/</t>
  </si>
  <si>
    <t>pulir</t>
  </si>
  <si>
    <t>/puliɾ/</t>
  </si>
  <si>
    <t>polish</t>
  </si>
  <si>
    <t>refine</t>
  </si>
  <si>
    <t>fine-tune</t>
  </si>
  <si>
    <t>down</t>
  </si>
  <si>
    <t>burnish</t>
  </si>
  <si>
    <t>furbish</t>
  </si>
  <si>
    <t>pulula</t>
  </si>
  <si>
    <t>/pulula/</t>
  </si>
  <si>
    <t>pululan</t>
  </si>
  <si>
    <t>/pululan/</t>
  </si>
  <si>
    <t>pulular</t>
  </si>
  <si>
    <t>/pululaɾ/</t>
  </si>
  <si>
    <t>pululara</t>
  </si>
  <si>
    <t>/pululaɾa/</t>
  </si>
  <si>
    <t>pulularan</t>
  </si>
  <si>
    <t>/pululaɾan/</t>
  </si>
  <si>
    <t>pulularas</t>
  </si>
  <si>
    <t>/pululaɾas/</t>
  </si>
  <si>
    <t>pululas</t>
  </si>
  <si>
    <t>/pululas/</t>
  </si>
  <si>
    <t>pum</t>
  </si>
  <si>
    <t>/pum/</t>
  </si>
  <si>
    <t>puma</t>
  </si>
  <si>
    <t>/puma/</t>
  </si>
  <si>
    <t>pumas</t>
  </si>
  <si>
    <t>/pumas/</t>
  </si>
  <si>
    <t>pumita</t>
  </si>
  <si>
    <t>/pumita/</t>
  </si>
  <si>
    <t>pumice</t>
  </si>
  <si>
    <t>pumice_stone</t>
  </si>
  <si>
    <t>pumitas</t>
  </si>
  <si>
    <t>/pumitas/</t>
  </si>
  <si>
    <t>puna</t>
  </si>
  <si>
    <t>/puna/</t>
  </si>
  <si>
    <t>punan</t>
  </si>
  <si>
    <t>/punan/</t>
  </si>
  <si>
    <t>punas</t>
  </si>
  <si>
    <t>/punas/</t>
  </si>
  <si>
    <t>punir</t>
  </si>
  <si>
    <t>/puniɾ/</t>
  </si>
  <si>
    <t>puñal</t>
  </si>
  <si>
    <t>/puɲal/</t>
  </si>
  <si>
    <t>knife_fight</t>
  </si>
  <si>
    <t>snickersnee</t>
  </si>
  <si>
    <t>cut-and-thrust</t>
  </si>
  <si>
    <t>bodkin</t>
  </si>
  <si>
    <t>pupa</t>
  </si>
  <si>
    <t>/pupa/</t>
  </si>
  <si>
    <t>pupas</t>
  </si>
  <si>
    <t>/pupas/</t>
  </si>
  <si>
    <t>pupila</t>
  </si>
  <si>
    <t>/pupila/</t>
  </si>
  <si>
    <t>pupil</t>
  </si>
  <si>
    <t>pupilar</t>
  </si>
  <si>
    <t>/pupilaɾ/</t>
  </si>
  <si>
    <t>pupilas</t>
  </si>
  <si>
    <t>/pupilas/</t>
  </si>
  <si>
    <t>pura</t>
  </si>
  <si>
    <t>/puɾa/</t>
  </si>
  <si>
    <t>purana</t>
  </si>
  <si>
    <t>/puɾana/</t>
  </si>
  <si>
    <t>puranas</t>
  </si>
  <si>
    <t>/puɾanas/</t>
  </si>
  <si>
    <t>puras</t>
  </si>
  <si>
    <t>/puɾas/</t>
  </si>
  <si>
    <t>puritana</t>
  </si>
  <si>
    <t>/puɾitana/</t>
  </si>
  <si>
    <t>puritanas</t>
  </si>
  <si>
    <t>/puɾitanas/</t>
  </si>
  <si>
    <t>purulence</t>
  </si>
  <si>
    <t>suppuration</t>
  </si>
  <si>
    <t>ichor</t>
  </si>
  <si>
    <t>sanies</t>
  </si>
  <si>
    <t>festering</t>
  </si>
  <si>
    <t>puta</t>
  </si>
  <si>
    <t>/puta/</t>
  </si>
  <si>
    <t>streetwalker</t>
  </si>
  <si>
    <t>street_girl</t>
  </si>
  <si>
    <t>hooker</t>
  </si>
  <si>
    <t>hustler</t>
  </si>
  <si>
    <t>floozy</t>
  </si>
  <si>
    <t>floozie</t>
  </si>
  <si>
    <t>slattern</t>
  </si>
  <si>
    <t>putas</t>
  </si>
  <si>
    <t>/putas/</t>
  </si>
  <si>
    <t>quijar</t>
  </si>
  <si>
    <t>/kixaɾ/</t>
  </si>
  <si>
    <t>kikar</t>
  </si>
  <si>
    <t>quila</t>
  </si>
  <si>
    <t>/kila/</t>
  </si>
  <si>
    <t>kila</t>
  </si>
  <si>
    <t>quilas</t>
  </si>
  <si>
    <t>/kilas/</t>
  </si>
  <si>
    <t>kilas</t>
  </si>
  <si>
    <t>quilata</t>
  </si>
  <si>
    <t>/kilata/</t>
  </si>
  <si>
    <t>kilata</t>
  </si>
  <si>
    <t>quilatan</t>
  </si>
  <si>
    <t>/kilatan/</t>
  </si>
  <si>
    <t>kilatan</t>
  </si>
  <si>
    <t>quilatar</t>
  </si>
  <si>
    <t>/kilataɾ/</t>
  </si>
  <si>
    <t>kilatar</t>
  </si>
  <si>
    <t>quilatara</t>
  </si>
  <si>
    <t>/kilataɾa/</t>
  </si>
  <si>
    <t>kilatara</t>
  </si>
  <si>
    <t>quilataran</t>
  </si>
  <si>
    <t>/kilataɾan/</t>
  </si>
  <si>
    <t>kilataran</t>
  </si>
  <si>
    <t>quilataras</t>
  </si>
  <si>
    <t>/kilataɾas/</t>
  </si>
  <si>
    <t>kilataras</t>
  </si>
  <si>
    <t>quilatas</t>
  </si>
  <si>
    <t>/kilatas/</t>
  </si>
  <si>
    <t>kilatas</t>
  </si>
  <si>
    <t>quilla</t>
  </si>
  <si>
    <t>/kiʎa/</t>
  </si>
  <si>
    <t>killa</t>
  </si>
  <si>
    <t>hull</t>
  </si>
  <si>
    <t>quillas</t>
  </si>
  <si>
    <t>/kiʎas/</t>
  </si>
  <si>
    <t>killas</t>
  </si>
  <si>
    <t>quima</t>
  </si>
  <si>
    <t>/kima/</t>
  </si>
  <si>
    <t>quimas</t>
  </si>
  <si>
    <t>/kimas/</t>
  </si>
  <si>
    <t>quina</t>
  </si>
  <si>
    <t>quinaquina</t>
  </si>
  <si>
    <t>quinaquinas</t>
  </si>
  <si>
    <t>/kinakinas/</t>
  </si>
  <si>
    <t>kinakinas</t>
  </si>
  <si>
    <t>quinas</t>
  </si>
  <si>
    <t>/kinas/</t>
  </si>
  <si>
    <t>kinas</t>
  </si>
  <si>
    <t>quinina</t>
  </si>
  <si>
    <t>/kinina/</t>
  </si>
  <si>
    <t>kinina</t>
  </si>
  <si>
    <t>quininas</t>
  </si>
  <si>
    <t>/kininas/</t>
  </si>
  <si>
    <t>kininas</t>
  </si>
  <si>
    <t>quirigalla</t>
  </si>
  <si>
    <t>/kiɾiɣaʎa/</t>
  </si>
  <si>
    <t>kirikalla</t>
  </si>
  <si>
    <t>quirigallas</t>
  </si>
  <si>
    <t>/kiɾiɣaʎas/</t>
  </si>
  <si>
    <t>kirikallas</t>
  </si>
  <si>
    <t>quita</t>
  </si>
  <si>
    <t>quitan</t>
  </si>
  <si>
    <t>/kitan/</t>
  </si>
  <si>
    <t>quitar</t>
  </si>
  <si>
    <t>/kitaɾ/</t>
  </si>
  <si>
    <t>remove</t>
  </si>
  <si>
    <t>take_away</t>
  </si>
  <si>
    <t>withdraw</t>
  </si>
  <si>
    <t>detract</t>
  </si>
  <si>
    <t>wash_away</t>
  </si>
  <si>
    <t>subtract</t>
  </si>
  <si>
    <t>deduct</t>
  </si>
  <si>
    <t>take_off</t>
  </si>
  <si>
    <t>wipe</t>
  </si>
  <si>
    <t>pass_over</t>
  </si>
  <si>
    <t>expropriate</t>
  </si>
  <si>
    <t>clean</t>
  </si>
  <si>
    <t>strip</t>
  </si>
  <si>
    <t>get_rid_of</t>
  </si>
  <si>
    <t>draw_off</t>
  </si>
  <si>
    <t>relieve</t>
  </si>
  <si>
    <t>move_out</t>
  </si>
  <si>
    <t>quitara</t>
  </si>
  <si>
    <t>quitaran</t>
  </si>
  <si>
    <t>/kitaɾan/</t>
  </si>
  <si>
    <t>quitaras</t>
  </si>
  <si>
    <t>/kitaɾas/</t>
  </si>
  <si>
    <t>quitas</t>
  </si>
  <si>
    <t>quitina</t>
  </si>
  <si>
    <t>/kitina/</t>
  </si>
  <si>
    <t>kitina</t>
  </si>
  <si>
    <t>chitin</t>
  </si>
  <si>
    <t>quitinas</t>
  </si>
  <si>
    <t>/kitinas/</t>
  </si>
  <si>
    <t>kitinas</t>
  </si>
  <si>
    <t>saca</t>
  </si>
  <si>
    <t>sacan</t>
  </si>
  <si>
    <t>/sakan/</t>
  </si>
  <si>
    <t>sakan</t>
  </si>
  <si>
    <t>sacar</t>
  </si>
  <si>
    <t>/sakaɾ/</t>
  </si>
  <si>
    <t>sakar</t>
  </si>
  <si>
    <t>expectorate</t>
  </si>
  <si>
    <t>clear_out</t>
  </si>
  <si>
    <t>drive_out</t>
  </si>
  <si>
    <t>publish</t>
  </si>
  <si>
    <t>bring_out</t>
  </si>
  <si>
    <t>introduce</t>
  </si>
  <si>
    <t>face_off</t>
  </si>
  <si>
    <t>bully_off</t>
  </si>
  <si>
    <t>quarry</t>
  </si>
  <si>
    <t>get_out</t>
  </si>
  <si>
    <t>force_out</t>
  </si>
  <si>
    <t>scoop_out</t>
  </si>
  <si>
    <t>dig_out</t>
  </si>
  <si>
    <t>let_out</t>
  </si>
  <si>
    <t>dislodge</t>
  </si>
  <si>
    <t>uproot</t>
  </si>
  <si>
    <t>extirpate</t>
  </si>
  <si>
    <t>deracinate</t>
  </si>
  <si>
    <t>root_out</t>
  </si>
  <si>
    <t>educe</t>
  </si>
  <si>
    <t>elicit</t>
  </si>
  <si>
    <t>draw_out</t>
  </si>
  <si>
    <t>extort</t>
  </si>
  <si>
    <t>wring_from</t>
  </si>
  <si>
    <t>extrude</t>
  </si>
  <si>
    <t>squeeze_out</t>
  </si>
  <si>
    <t>push_out</t>
  </si>
  <si>
    <t>obtrude</t>
  </si>
  <si>
    <t>thrust_out</t>
  </si>
  <si>
    <t>push_aside</t>
  </si>
  <si>
    <t>push_away</t>
  </si>
  <si>
    <t>pull_out</t>
  </si>
  <si>
    <t>bring_on</t>
  </si>
  <si>
    <t>derive</t>
  </si>
  <si>
    <t>sacara</t>
  </si>
  <si>
    <t>/sakaɾa/</t>
  </si>
  <si>
    <t>sakara</t>
  </si>
  <si>
    <t>sacaran</t>
  </si>
  <si>
    <t>/sakaɾan/</t>
  </si>
  <si>
    <t>sakaran</t>
  </si>
  <si>
    <t>sacaras</t>
  </si>
  <si>
    <t>/sakaɾas/</t>
  </si>
  <si>
    <t>sakaras</t>
  </si>
  <si>
    <t>sacarina</t>
  </si>
  <si>
    <t>/sakaɾina/</t>
  </si>
  <si>
    <t>sakarina</t>
  </si>
  <si>
    <t>sacarinas</t>
  </si>
  <si>
    <t>/sakaɾinas/</t>
  </si>
  <si>
    <t>sakarinas</t>
  </si>
  <si>
    <t>sacas</t>
  </si>
  <si>
    <t>sacasillas</t>
  </si>
  <si>
    <t>/sakasiʎas/</t>
  </si>
  <si>
    <t>sakasillas</t>
  </si>
  <si>
    <t>saciña</t>
  </si>
  <si>
    <t>/sasiɲa/</t>
  </si>
  <si>
    <t>sasiña</t>
  </si>
  <si>
    <t>saciñas</t>
  </si>
  <si>
    <t>/sasiɲas/</t>
  </si>
  <si>
    <t>sasiñas</t>
  </si>
  <si>
    <t>saga</t>
  </si>
  <si>
    <t>/saɣa/</t>
  </si>
  <si>
    <t>kin_group</t>
  </si>
  <si>
    <t>kinship_group</t>
  </si>
  <si>
    <t>kindred</t>
  </si>
  <si>
    <t>clan</t>
  </si>
  <si>
    <t>tribe</t>
  </si>
  <si>
    <t>lineage</t>
  </si>
  <si>
    <t>line_of_descent</t>
  </si>
  <si>
    <t>bloodline</t>
  </si>
  <si>
    <t>blood_line</t>
  </si>
  <si>
    <t>blood</t>
  </si>
  <si>
    <t>pedigree</t>
  </si>
  <si>
    <t>ancestry</t>
  </si>
  <si>
    <t>parentage</t>
  </si>
  <si>
    <t>stemma</t>
  </si>
  <si>
    <t>stock</t>
  </si>
  <si>
    <t>sagas</t>
  </si>
  <si>
    <t>/saɣas/</t>
  </si>
  <si>
    <t>sagaz</t>
  </si>
  <si>
    <t>discriminative</t>
  </si>
  <si>
    <t>judicial</t>
  </si>
  <si>
    <t>sagita</t>
  </si>
  <si>
    <t>/saxita/</t>
  </si>
  <si>
    <t>sakita</t>
  </si>
  <si>
    <t>sagital</t>
  </si>
  <si>
    <t>/saxital/</t>
  </si>
  <si>
    <t>sakital</t>
  </si>
  <si>
    <t>sagitas</t>
  </si>
  <si>
    <t>/saxitas/</t>
  </si>
  <si>
    <t>sakitas</t>
  </si>
  <si>
    <t>saja</t>
  </si>
  <si>
    <t>/saxa/</t>
  </si>
  <si>
    <t>sajan</t>
  </si>
  <si>
    <t>/saxan/</t>
  </si>
  <si>
    <t>sajar</t>
  </si>
  <si>
    <t>/saxaɾ/</t>
  </si>
  <si>
    <t>incise</t>
  </si>
  <si>
    <t>sajara</t>
  </si>
  <si>
    <t>/saxaɾa/</t>
  </si>
  <si>
    <t>sajaran</t>
  </si>
  <si>
    <t>/saxaɾan/</t>
  </si>
  <si>
    <t>sajaras</t>
  </si>
  <si>
    <t>/saxaɾas/</t>
  </si>
  <si>
    <t>sajas</t>
  </si>
  <si>
    <t>/saxas/</t>
  </si>
  <si>
    <t>common_room</t>
  </si>
  <si>
    <t>salan</t>
  </si>
  <si>
    <t>/salan/</t>
  </si>
  <si>
    <t>salar</t>
  </si>
  <si>
    <t>/salaɾ/</t>
  </si>
  <si>
    <t>brine</t>
  </si>
  <si>
    <t>dun</t>
  </si>
  <si>
    <t>corn</t>
  </si>
  <si>
    <t>salinate</t>
  </si>
  <si>
    <t>salara</t>
  </si>
  <si>
    <t>/salaɾa/</t>
  </si>
  <si>
    <t>salaran</t>
  </si>
  <si>
    <t>/salaɾan/</t>
  </si>
  <si>
    <t>salaras</t>
  </si>
  <si>
    <t>/salaɾas/</t>
  </si>
  <si>
    <t>salaz</t>
  </si>
  <si>
    <t>salicina</t>
  </si>
  <si>
    <t>/salisina/</t>
  </si>
  <si>
    <t>salisina</t>
  </si>
  <si>
    <t>salicinas</t>
  </si>
  <si>
    <t>/salisinas/</t>
  </si>
  <si>
    <t>salisinas</t>
  </si>
  <si>
    <t>salina</t>
  </si>
  <si>
    <t>/salina/</t>
  </si>
  <si>
    <t>salinas</t>
  </si>
  <si>
    <t>/salinas/</t>
  </si>
  <si>
    <t>salipirina</t>
  </si>
  <si>
    <t>/salipiɾina/</t>
  </si>
  <si>
    <t>salipirinas</t>
  </si>
  <si>
    <t>/salipiɾinas/</t>
  </si>
  <si>
    <t>salir</t>
  </si>
  <si>
    <t>/saliɾ/</t>
  </si>
  <si>
    <t>go_off</t>
  </si>
  <si>
    <t>go_over</t>
  </si>
  <si>
    <t>strike_out</t>
  </si>
  <si>
    <t>come_on</t>
  </si>
  <si>
    <t>come_out</t>
  </si>
  <si>
    <t>turn_up</t>
  </si>
  <si>
    <t>surface</t>
  </si>
  <si>
    <t>show_up</t>
  </si>
  <si>
    <t>appear</t>
  </si>
  <si>
    <t>emerge</t>
  </si>
  <si>
    <t>come_forth</t>
  </si>
  <si>
    <t>egress</t>
  </si>
  <si>
    <t>erupt</t>
  </si>
  <si>
    <t>break_through</t>
  </si>
  <si>
    <t>push_through</t>
  </si>
  <si>
    <t>out</t>
  </si>
  <si>
    <t>jet</t>
  </si>
  <si>
    <t>gush</t>
  </si>
  <si>
    <t>enter</t>
  </si>
  <si>
    <t>go_out</t>
  </si>
  <si>
    <t>come_up</t>
  </si>
  <si>
    <t>uprise</t>
  </si>
  <si>
    <t>ascend</t>
  </si>
  <si>
    <t>exit</t>
  </si>
  <si>
    <t>sidetrack</t>
  </si>
  <si>
    <t>depart</t>
  </si>
  <si>
    <t>digress</t>
  </si>
  <si>
    <t>straggle</t>
  </si>
  <si>
    <t>log_out</t>
  </si>
  <si>
    <t>log_off</t>
  </si>
  <si>
    <t>go_steady</t>
  </si>
  <si>
    <t>salisipan</t>
  </si>
  <si>
    <t>/salisipan/</t>
  </si>
  <si>
    <t>salla</t>
  </si>
  <si>
    <t>/saʎa/</t>
  </si>
  <si>
    <t>sallan</t>
  </si>
  <si>
    <t>/saʎan/</t>
  </si>
  <si>
    <t>sallar</t>
  </si>
  <si>
    <t>/saʎaɾ/</t>
  </si>
  <si>
    <t>sallara</t>
  </si>
  <si>
    <t>/saʎaɾa/</t>
  </si>
  <si>
    <t>sallaran</t>
  </si>
  <si>
    <t>/saʎaɾan/</t>
  </si>
  <si>
    <t>sallaras</t>
  </si>
  <si>
    <t>/saʎaɾas/</t>
  </si>
  <si>
    <t>sallas</t>
  </si>
  <si>
    <t>/saʎas/</t>
  </si>
  <si>
    <t>sama</t>
  </si>
  <si>
    <t>/sama/</t>
  </si>
  <si>
    <t>samarilla</t>
  </si>
  <si>
    <t>/samaɾiʎa/</t>
  </si>
  <si>
    <t>samarillas</t>
  </si>
  <si>
    <t>/samaɾiʎas/</t>
  </si>
  <si>
    <t>samarita</t>
  </si>
  <si>
    <t>/samaɾita/</t>
  </si>
  <si>
    <t>samaritana</t>
  </si>
  <si>
    <t>/samaɾitana/</t>
  </si>
  <si>
    <t>samaritanas</t>
  </si>
  <si>
    <t>/samaɾitanas/</t>
  </si>
  <si>
    <t>samaritas</t>
  </si>
  <si>
    <t>/samaɾitas/</t>
  </si>
  <si>
    <t>samas</t>
  </si>
  <si>
    <t>/samas/</t>
  </si>
  <si>
    <t>samuga</t>
  </si>
  <si>
    <t>/samuɣa/</t>
  </si>
  <si>
    <t>samuka</t>
  </si>
  <si>
    <t>samugas</t>
  </si>
  <si>
    <t>/samuɣas/</t>
  </si>
  <si>
    <t>samukas</t>
  </si>
  <si>
    <t>sanan</t>
  </si>
  <si>
    <t>/sanan/</t>
  </si>
  <si>
    <t>sananica</t>
  </si>
  <si>
    <t>/sananika/</t>
  </si>
  <si>
    <t>sananika</t>
  </si>
  <si>
    <t>sananicas</t>
  </si>
  <si>
    <t>/sananikas/</t>
  </si>
  <si>
    <t>sananikas</t>
  </si>
  <si>
    <t>sanar</t>
  </si>
  <si>
    <t>/sanaɾ/</t>
  </si>
  <si>
    <t>sanara</t>
  </si>
  <si>
    <t>/sanaɾa/</t>
  </si>
  <si>
    <t>sanaran</t>
  </si>
  <si>
    <t>/sanaɾan/</t>
  </si>
  <si>
    <t>sanaras</t>
  </si>
  <si>
    <t>/sanaɾas/</t>
  </si>
  <si>
    <t>/sanas/</t>
  </si>
  <si>
    <t>sapina</t>
  </si>
  <si>
    <t>/sapina/</t>
  </si>
  <si>
    <t>sapinas</t>
  </si>
  <si>
    <t>/sapinas/</t>
  </si>
  <si>
    <t>sarama</t>
  </si>
  <si>
    <t>/saɾama/</t>
  </si>
  <si>
    <t>saramas</t>
  </si>
  <si>
    <t>/saɾamas/</t>
  </si>
  <si>
    <t>sarasas</t>
  </si>
  <si>
    <t>/saɾasas/</t>
  </si>
  <si>
    <t>sarilla</t>
  </si>
  <si>
    <t>/saɾiʎa/</t>
  </si>
  <si>
    <t>sarillas</t>
  </si>
  <si>
    <t>/saɾiʎas/</t>
  </si>
  <si>
    <t>satinan</t>
  </si>
  <si>
    <t>/satinan/</t>
  </si>
  <si>
    <t>satinar</t>
  </si>
  <si>
    <t>/satinaɾ/</t>
  </si>
  <si>
    <t>satinara</t>
  </si>
  <si>
    <t>/satinaɾa/</t>
  </si>
  <si>
    <t>satinaran</t>
  </si>
  <si>
    <t>/satinaɾan/</t>
  </si>
  <si>
    <t>satinaras</t>
  </si>
  <si>
    <t>/satinaɾas/</t>
  </si>
  <si>
    <t>satiriza</t>
  </si>
  <si>
    <t>/satiɾisa/</t>
  </si>
  <si>
    <t>satirisa</t>
  </si>
  <si>
    <t>satirizan</t>
  </si>
  <si>
    <t>/satiɾisan/</t>
  </si>
  <si>
    <t>satirisan</t>
  </si>
  <si>
    <t>satirizar</t>
  </si>
  <si>
    <t>/satiɾisaɾ/</t>
  </si>
  <si>
    <t>satirisar</t>
  </si>
  <si>
    <t>satirize</t>
  </si>
  <si>
    <t>satirise</t>
  </si>
  <si>
    <t>lampoon</t>
  </si>
  <si>
    <t>gag</t>
  </si>
  <si>
    <t>quip</t>
  </si>
  <si>
    <t>satirizara</t>
  </si>
  <si>
    <t>/satiɾisaɾa/</t>
  </si>
  <si>
    <t>satirisara</t>
  </si>
  <si>
    <t>satirizaran</t>
  </si>
  <si>
    <t>/satiɾisaɾan/</t>
  </si>
  <si>
    <t>satirisaran</t>
  </si>
  <si>
    <t>satirizaras</t>
  </si>
  <si>
    <t>/satiɾisaɾas/</t>
  </si>
  <si>
    <t>satirisaras</t>
  </si>
  <si>
    <t>satirizas</t>
  </si>
  <si>
    <t>/satiɾisas/</t>
  </si>
  <si>
    <t>satirisas</t>
  </si>
  <si>
    <t>satis</t>
  </si>
  <si>
    <t>/satis/</t>
  </si>
  <si>
    <t>satura</t>
  </si>
  <si>
    <t>/satuɾa/</t>
  </si>
  <si>
    <t>saturan</t>
  </si>
  <si>
    <t>/satuɾan/</t>
  </si>
  <si>
    <t>saturar</t>
  </si>
  <si>
    <t>/satuɾaɾ/</t>
  </si>
  <si>
    <t>saturara</t>
  </si>
  <si>
    <t>/satuɾaɾa/</t>
  </si>
  <si>
    <t>saturaran</t>
  </si>
  <si>
    <t>/satuɾaɾan/</t>
  </si>
  <si>
    <t>saturaras</t>
  </si>
  <si>
    <t>/satuɾaɾas/</t>
  </si>
  <si>
    <t>saturas</t>
  </si>
  <si>
    <t>/satuɾas/</t>
  </si>
  <si>
    <t>saz</t>
  </si>
  <si>
    <t>te</t>
  </si>
  <si>
    <t>siga</t>
  </si>
  <si>
    <t>/siɣa/</t>
  </si>
  <si>
    <t>sika</t>
  </si>
  <si>
    <t>sigan</t>
  </si>
  <si>
    <t>/siɣan/</t>
  </si>
  <si>
    <t>sikan</t>
  </si>
  <si>
    <t>sigas</t>
  </si>
  <si>
    <t>/siɣas/</t>
  </si>
  <si>
    <t>sikas</t>
  </si>
  <si>
    <t>sigila</t>
  </si>
  <si>
    <t>/sixila/</t>
  </si>
  <si>
    <t>sikila</t>
  </si>
  <si>
    <t>sigilan</t>
  </si>
  <si>
    <t>/sixilan/</t>
  </si>
  <si>
    <t>sikilan</t>
  </si>
  <si>
    <t>sigilar</t>
  </si>
  <si>
    <t>/sixilaɾ/</t>
  </si>
  <si>
    <t>sikilar</t>
  </si>
  <si>
    <t>sigilara</t>
  </si>
  <si>
    <t>/sixilaɾa/</t>
  </si>
  <si>
    <t>sikilara</t>
  </si>
  <si>
    <t>sigilaran</t>
  </si>
  <si>
    <t>/sixilaɾan/</t>
  </si>
  <si>
    <t>sikilaran</t>
  </si>
  <si>
    <t>sigilaras</t>
  </si>
  <si>
    <t>/sixilaɾas/</t>
  </si>
  <si>
    <t>sikilaras</t>
  </si>
  <si>
    <t>sigilas</t>
  </si>
  <si>
    <t>/sixilas/</t>
  </si>
  <si>
    <t>sikilas</t>
  </si>
  <si>
    <t>silla</t>
  </si>
  <si>
    <t>/siʎa/</t>
  </si>
  <si>
    <t>chair</t>
  </si>
  <si>
    <t>electric_chair</t>
  </si>
  <si>
    <t>death_chair</t>
  </si>
  <si>
    <t>hot_seat</t>
  </si>
  <si>
    <t>sillar</t>
  </si>
  <si>
    <t>/siʎaɾ/</t>
  </si>
  <si>
    <t>ashlar</t>
  </si>
  <si>
    <t>sillas</t>
  </si>
  <si>
    <t>/siʎas/</t>
  </si>
  <si>
    <t>/similaɾ/</t>
  </si>
  <si>
    <t>suchlike</t>
  </si>
  <si>
    <t>simula</t>
  </si>
  <si>
    <t>/simula/</t>
  </si>
  <si>
    <t>simulan</t>
  </si>
  <si>
    <t>/simulan/</t>
  </si>
  <si>
    <t>simular</t>
  </si>
  <si>
    <t>/simulaɾ/</t>
  </si>
  <si>
    <t>act_as</t>
  </si>
  <si>
    <t>feign</t>
  </si>
  <si>
    <t>pretend</t>
  </si>
  <si>
    <t>affect</t>
  </si>
  <si>
    <t>reenact</t>
  </si>
  <si>
    <t>simulara</t>
  </si>
  <si>
    <t>/simulaɾa/</t>
  </si>
  <si>
    <t>simularan</t>
  </si>
  <si>
    <t>/simulaɾan/</t>
  </si>
  <si>
    <t>simularas</t>
  </si>
  <si>
    <t>/simulaɾas/</t>
  </si>
  <si>
    <t>simulas</t>
  </si>
  <si>
    <t>/simulas/</t>
  </si>
  <si>
    <t>sinusitis</t>
  </si>
  <si>
    <t>/sinusitis/</t>
  </si>
  <si>
    <t>sira</t>
  </si>
  <si>
    <t>/siɾa/</t>
  </si>
  <si>
    <t>siracusana</t>
  </si>
  <si>
    <t>/siɾakusana/</t>
  </si>
  <si>
    <t>sirakusana</t>
  </si>
  <si>
    <t>siracusanas</t>
  </si>
  <si>
    <t>/siɾakusanas/</t>
  </si>
  <si>
    <t>sirakusanas</t>
  </si>
  <si>
    <t>siras</t>
  </si>
  <si>
    <t>/siɾas/</t>
  </si>
  <si>
    <t>sisa</t>
  </si>
  <si>
    <t>/sisa/</t>
  </si>
  <si>
    <t>sisan</t>
  </si>
  <si>
    <t>/sisan/</t>
  </si>
  <si>
    <t>sisar</t>
  </si>
  <si>
    <t>/sisaɾ/</t>
  </si>
  <si>
    <t>sisara</t>
  </si>
  <si>
    <t>/sisaɾa/</t>
  </si>
  <si>
    <t>sisaran</t>
  </si>
  <si>
    <t>/sisaɾan/</t>
  </si>
  <si>
    <t>sisaras</t>
  </si>
  <si>
    <t>/sisaɾas/</t>
  </si>
  <si>
    <t>sisas</t>
  </si>
  <si>
    <t>/sisas/</t>
  </si>
  <si>
    <t>Sula</t>
  </si>
  <si>
    <t>genus_Sula</t>
  </si>
  <si>
    <t>booby</t>
  </si>
  <si>
    <t>/suma/</t>
  </si>
  <si>
    <t>summation</t>
  </si>
  <si>
    <t>addition</t>
  </si>
  <si>
    <t>sum</t>
  </si>
  <si>
    <t>total</t>
  </si>
  <si>
    <t>totality</t>
  </si>
  <si>
    <t>aggregate</t>
  </si>
  <si>
    <t>amount</t>
  </si>
  <si>
    <t>sum_total</t>
  </si>
  <si>
    <t>sum_of_money</t>
  </si>
  <si>
    <t>amount_of_money</t>
  </si>
  <si>
    <t>sumaca</t>
  </si>
  <si>
    <t>/sumaka/</t>
  </si>
  <si>
    <t>sumaka</t>
  </si>
  <si>
    <t>sumacas</t>
  </si>
  <si>
    <t>/sumakas/</t>
  </si>
  <si>
    <t>sumakas</t>
  </si>
  <si>
    <t>suman</t>
  </si>
  <si>
    <t>/suman/</t>
  </si>
  <si>
    <t>sumar</t>
  </si>
  <si>
    <t>/sumaɾ/</t>
  </si>
  <si>
    <t>totalize</t>
  </si>
  <si>
    <t>totalise</t>
  </si>
  <si>
    <t>add</t>
  </si>
  <si>
    <t>add_together</t>
  </si>
  <si>
    <t>tot</t>
  </si>
  <si>
    <t>tot_up</t>
  </si>
  <si>
    <t>sum_up</t>
  </si>
  <si>
    <t>summate</t>
  </si>
  <si>
    <t>tote_up</t>
  </si>
  <si>
    <t>tally</t>
  </si>
  <si>
    <t>add_up</t>
  </si>
  <si>
    <t>sumara</t>
  </si>
  <si>
    <t>/sumaɾa/</t>
  </si>
  <si>
    <t>sumaran</t>
  </si>
  <si>
    <t>/sumaɾan/</t>
  </si>
  <si>
    <t>sumaras</t>
  </si>
  <si>
    <t>/sumaɾas/</t>
  </si>
  <si>
    <t>sumas</t>
  </si>
  <si>
    <t>/sumas/</t>
  </si>
  <si>
    <t>sumir</t>
  </si>
  <si>
    <t>/sumiɾ/</t>
  </si>
  <si>
    <t>sumisa</t>
  </si>
  <si>
    <t>/sumisa/</t>
  </si>
  <si>
    <t>sumisas</t>
  </si>
  <si>
    <t>/sumisas/</t>
  </si>
  <si>
    <t>supina</t>
  </si>
  <si>
    <t>/supina/</t>
  </si>
  <si>
    <t>supinas</t>
  </si>
  <si>
    <t>/supinas/</t>
  </si>
  <si>
    <t>supitaña</t>
  </si>
  <si>
    <t>/supitaɲa/</t>
  </si>
  <si>
    <t>supitañas</t>
  </si>
  <si>
    <t>/supitaɲas/</t>
  </si>
  <si>
    <t>supura</t>
  </si>
  <si>
    <t>/supuɾa/</t>
  </si>
  <si>
    <t>supuran</t>
  </si>
  <si>
    <t>/supuɾan/</t>
  </si>
  <si>
    <t>supurar</t>
  </si>
  <si>
    <t>/supuɾaɾ/</t>
  </si>
  <si>
    <t>fester</t>
  </si>
  <si>
    <t>maturate</t>
  </si>
  <si>
    <t>suppurate</t>
  </si>
  <si>
    <t>eat_into</t>
  </si>
  <si>
    <t>rankle</t>
  </si>
  <si>
    <t>supurara</t>
  </si>
  <si>
    <t>/supuɾaɾa/</t>
  </si>
  <si>
    <t>supuraran</t>
  </si>
  <si>
    <t>/supuɾaɾan/</t>
  </si>
  <si>
    <t>supuraras</t>
  </si>
  <si>
    <t>/supuɾaɾas/</t>
  </si>
  <si>
    <t>supuras</t>
  </si>
  <si>
    <t>/supuɾas/</t>
  </si>
  <si>
    <t>sur</t>
  </si>
  <si>
    <t>/suɾ/</t>
  </si>
  <si>
    <t>southland</t>
  </si>
  <si>
    <t>Sus</t>
  </si>
  <si>
    <t>genus_Sus</t>
  </si>
  <si>
    <t>hog</t>
  </si>
  <si>
    <t>grunter</t>
  </si>
  <si>
    <t>squealer</t>
  </si>
  <si>
    <t>Sus_scrofa</t>
  </si>
  <si>
    <t>susana</t>
  </si>
  <si>
    <t>/susana/</t>
  </si>
  <si>
    <t>susanas</t>
  </si>
  <si>
    <t>/susanas/</t>
  </si>
  <si>
    <t>sutil</t>
  </si>
  <si>
    <t>/sutil/</t>
  </si>
  <si>
    <t>insidious</t>
  </si>
  <si>
    <t>pernicious</t>
  </si>
  <si>
    <t>subtle</t>
  </si>
  <si>
    <t>elusive</t>
  </si>
  <si>
    <t>fine</t>
  </si>
  <si>
    <t>sutiliza</t>
  </si>
  <si>
    <t>/sutilisa/</t>
  </si>
  <si>
    <t>sutilisa</t>
  </si>
  <si>
    <t>sutilizan</t>
  </si>
  <si>
    <t>/sutilisan/</t>
  </si>
  <si>
    <t>sutilisan</t>
  </si>
  <si>
    <t>sutilizar</t>
  </si>
  <si>
    <t>/sutilisaɾ/</t>
  </si>
  <si>
    <t>sutilisar</t>
  </si>
  <si>
    <t>sutilizara</t>
  </si>
  <si>
    <t>/sutilisaɾa/</t>
  </si>
  <si>
    <t>sutilisara</t>
  </si>
  <si>
    <t>sutilizaran</t>
  </si>
  <si>
    <t>/sutilisaɾan/</t>
  </si>
  <si>
    <t>sutilisaran</t>
  </si>
  <si>
    <t>sutilizaras</t>
  </si>
  <si>
    <t>/sutilisaɾas/</t>
  </si>
  <si>
    <t>sutilisaras</t>
  </si>
  <si>
    <t>sutilizas</t>
  </si>
  <si>
    <t>/sutilisas/</t>
  </si>
  <si>
    <t>sutilisas</t>
  </si>
  <si>
    <t>sutura</t>
  </si>
  <si>
    <t>/sutuɾa/</t>
  </si>
  <si>
    <t>suturas</t>
  </si>
  <si>
    <t>/sutuɾas/</t>
  </si>
  <si>
    <t>taca</t>
  </si>
  <si>
    <t>tacan</t>
  </si>
  <si>
    <t>/takan/</t>
  </si>
  <si>
    <t>takan</t>
  </si>
  <si>
    <t>tacaña</t>
  </si>
  <si>
    <t>/takaɲa/</t>
  </si>
  <si>
    <t>takaña</t>
  </si>
  <si>
    <t>tacañas</t>
  </si>
  <si>
    <t>/takaɲas/</t>
  </si>
  <si>
    <t>takañas</t>
  </si>
  <si>
    <t>tacar</t>
  </si>
  <si>
    <t>/takaɾ/</t>
  </si>
  <si>
    <t>takar</t>
  </si>
  <si>
    <t>tacara</t>
  </si>
  <si>
    <t>tacaran</t>
  </si>
  <si>
    <t>/takaɾan/</t>
  </si>
  <si>
    <t>takaran</t>
  </si>
  <si>
    <t>tacaras</t>
  </si>
  <si>
    <t>/takaɾas/</t>
  </si>
  <si>
    <t>takaras</t>
  </si>
  <si>
    <t>tacas</t>
  </si>
  <si>
    <t>/takas/</t>
  </si>
  <si>
    <t>takas</t>
  </si>
  <si>
    <t>tacita</t>
  </si>
  <si>
    <t>/tasita/</t>
  </si>
  <si>
    <t>tasita</t>
  </si>
  <si>
    <t>tacitas</t>
  </si>
  <si>
    <t>/tasitas/</t>
  </si>
  <si>
    <t>tasitas</t>
  </si>
  <si>
    <t>tagarina</t>
  </si>
  <si>
    <t>/taɣaɾina/</t>
  </si>
  <si>
    <t>takarina</t>
  </si>
  <si>
    <t>tagarinas</t>
  </si>
  <si>
    <t>/taɣaɾinas/</t>
  </si>
  <si>
    <t>takarinas</t>
  </si>
  <si>
    <t>taja</t>
  </si>
  <si>
    <t>/taxa/</t>
  </si>
  <si>
    <t>tajamar</t>
  </si>
  <si>
    <t>/taxamaɾ/</t>
  </si>
  <si>
    <t>takamar</t>
  </si>
  <si>
    <t>tajan</t>
  </si>
  <si>
    <t>/taxan/</t>
  </si>
  <si>
    <t>tajar</t>
  </si>
  <si>
    <t>/taxaɾ/</t>
  </si>
  <si>
    <t>cut_up</t>
  </si>
  <si>
    <t>tajara</t>
  </si>
  <si>
    <t>/taxaɾa/</t>
  </si>
  <si>
    <t>tajaran</t>
  </si>
  <si>
    <t>/taxaɾan/</t>
  </si>
  <si>
    <t>tajaras</t>
  </si>
  <si>
    <t>/taxaɾas/</t>
  </si>
  <si>
    <t>tajas</t>
  </si>
  <si>
    <t>/taxas/</t>
  </si>
  <si>
    <t>tala</t>
  </si>
  <si>
    <t>/tala/</t>
  </si>
  <si>
    <t>talan</t>
  </si>
  <si>
    <t>/talan/</t>
  </si>
  <si>
    <t>talar</t>
  </si>
  <si>
    <t>/talaɾ/</t>
  </si>
  <si>
    <t>chop_down</t>
  </si>
  <si>
    <t>talara</t>
  </si>
  <si>
    <t>/talaɾa/</t>
  </si>
  <si>
    <t>talaran</t>
  </si>
  <si>
    <t>/talaɾan/</t>
  </si>
  <si>
    <t>talaras</t>
  </si>
  <si>
    <t>/talaɾas/</t>
  </si>
  <si>
    <t>talas</t>
  </si>
  <si>
    <t>/talas/</t>
  </si>
  <si>
    <t>talla</t>
  </si>
  <si>
    <t>/taʎa/</t>
  </si>
  <si>
    <t>sculpture</t>
  </si>
  <si>
    <t>carving</t>
  </si>
  <si>
    <t>woodcarving</t>
  </si>
  <si>
    <t>tallan</t>
  </si>
  <si>
    <t>/taʎan/</t>
  </si>
  <si>
    <t>tallar</t>
  </si>
  <si>
    <t>/taʎaɾ/</t>
  </si>
  <si>
    <t>carve</t>
  </si>
  <si>
    <t>chip_at</t>
  </si>
  <si>
    <t>hew</t>
  </si>
  <si>
    <t>cut_out</t>
  </si>
  <si>
    <t>tallara</t>
  </si>
  <si>
    <t>/taʎaɾa/</t>
  </si>
  <si>
    <t>tallaran</t>
  </si>
  <si>
    <t>/taʎaɾan/</t>
  </si>
  <si>
    <t>tallaras</t>
  </si>
  <si>
    <t>/taʎaɾas/</t>
  </si>
  <si>
    <t>tallas</t>
  </si>
  <si>
    <t>/taʎas/</t>
  </si>
  <si>
    <t>tamal</t>
  </si>
  <si>
    <t>/tamal/</t>
  </si>
  <si>
    <t>tamanaca</t>
  </si>
  <si>
    <t>/tamanaka/</t>
  </si>
  <si>
    <t>tamanaka</t>
  </si>
  <si>
    <t>tamanacas</t>
  </si>
  <si>
    <t>/tamanakas/</t>
  </si>
  <si>
    <t>tamanakas</t>
  </si>
  <si>
    <t>tamaña</t>
  </si>
  <si>
    <t>/tamaɲa/</t>
  </si>
  <si>
    <t>tamañas</t>
  </si>
  <si>
    <t>/tamaɲas/</t>
  </si>
  <si>
    <t>tamañita</t>
  </si>
  <si>
    <t>/tamaɲita/</t>
  </si>
  <si>
    <t>tamañitas</t>
  </si>
  <si>
    <t>/tamaɲitas/</t>
  </si>
  <si>
    <t>tamaral</t>
  </si>
  <si>
    <t>/tamaɾal/</t>
  </si>
  <si>
    <t>tamarigal</t>
  </si>
  <si>
    <t>/tamaɾiɣal/</t>
  </si>
  <si>
    <t>tamarikal</t>
  </si>
  <si>
    <t>tamaritana</t>
  </si>
  <si>
    <t>/tamaɾitana/</t>
  </si>
  <si>
    <t>tamaritanas</t>
  </si>
  <si>
    <t>/tamaɾitanas/</t>
  </si>
  <si>
    <t>tamariz</t>
  </si>
  <si>
    <t>/tamaɾis/</t>
  </si>
  <si>
    <t>tamaris</t>
  </si>
  <si>
    <t>tamiz</t>
  </si>
  <si>
    <t>/tamis/</t>
  </si>
  <si>
    <t>tamiza</t>
  </si>
  <si>
    <t>/tamisa/</t>
  </si>
  <si>
    <t>tamisa</t>
  </si>
  <si>
    <t>tamizan</t>
  </si>
  <si>
    <t>/tamisan/</t>
  </si>
  <si>
    <t>tamisan</t>
  </si>
  <si>
    <t>tamizar</t>
  </si>
  <si>
    <t>/tamisaɾ/</t>
  </si>
  <si>
    <t>tamisar</t>
  </si>
  <si>
    <t>tamizara</t>
  </si>
  <si>
    <t>/tamisaɾa/</t>
  </si>
  <si>
    <t>tamisara</t>
  </si>
  <si>
    <t>tamizaran</t>
  </si>
  <si>
    <t>/tamisaɾan/</t>
  </si>
  <si>
    <t>tamisaran</t>
  </si>
  <si>
    <t>tamizaras</t>
  </si>
  <si>
    <t>/tamisaɾas/</t>
  </si>
  <si>
    <t>tamisaras</t>
  </si>
  <si>
    <t>tamizas</t>
  </si>
  <si>
    <t>/tamisas/</t>
  </si>
  <si>
    <t>tamisas</t>
  </si>
  <si>
    <t>tamuja</t>
  </si>
  <si>
    <t>/tamuxa/</t>
  </si>
  <si>
    <t>tamuka</t>
  </si>
  <si>
    <t>tamujas</t>
  </si>
  <si>
    <t>/tamuxas/</t>
  </si>
  <si>
    <t>tamukas</t>
  </si>
  <si>
    <t>tañan</t>
  </si>
  <si>
    <t>/taɲan/</t>
  </si>
  <si>
    <t>tañas</t>
  </si>
  <si>
    <t>/taɲas/</t>
  </si>
  <si>
    <t>tapan</t>
  </si>
  <si>
    <t>/tapan/</t>
  </si>
  <si>
    <t>tapar</t>
  </si>
  <si>
    <t>/tapaɾ/</t>
  </si>
  <si>
    <t>screen_off</t>
  </si>
  <si>
    <t>separate_off</t>
  </si>
  <si>
    <t>plug</t>
  </si>
  <si>
    <t>stop_up</t>
  </si>
  <si>
    <t>secure</t>
  </si>
  <si>
    <t>stuff</t>
  </si>
  <si>
    <t>lug</t>
  </si>
  <si>
    <t>choke_up</t>
  </si>
  <si>
    <t>conceal</t>
  </si>
  <si>
    <t>hide_out</t>
  </si>
  <si>
    <t>hold_back</t>
  </si>
  <si>
    <t>hold_in</t>
  </si>
  <si>
    <t>tapara</t>
  </si>
  <si>
    <t>/tapaɾa/</t>
  </si>
  <si>
    <t>taparan</t>
  </si>
  <si>
    <t>/tapaɾan/</t>
  </si>
  <si>
    <t>taparas</t>
  </si>
  <si>
    <t>/tapaɾas/</t>
  </si>
  <si>
    <t>tapir</t>
  </si>
  <si>
    <t>/tapiɾ/</t>
  </si>
  <si>
    <t>tapiz</t>
  </si>
  <si>
    <t>tapestry</t>
  </si>
  <si>
    <t>arras</t>
  </si>
  <si>
    <t>tapiza</t>
  </si>
  <si>
    <t>tapizan</t>
  </si>
  <si>
    <t>/tapisan/</t>
  </si>
  <si>
    <t>tapisan</t>
  </si>
  <si>
    <t>tapizar</t>
  </si>
  <si>
    <t>/tapisaɾ/</t>
  </si>
  <si>
    <t>tapisar</t>
  </si>
  <si>
    <t>tapizara</t>
  </si>
  <si>
    <t>/tapisaɾa/</t>
  </si>
  <si>
    <t>tapisara</t>
  </si>
  <si>
    <t>tapizaran</t>
  </si>
  <si>
    <t>/tapisaɾan/</t>
  </si>
  <si>
    <t>tapisaran</t>
  </si>
  <si>
    <t>tapizaras</t>
  </si>
  <si>
    <t>/tapisaɾas/</t>
  </si>
  <si>
    <t>tapisaras</t>
  </si>
  <si>
    <t>tapizas</t>
  </si>
  <si>
    <t>taquilla</t>
  </si>
  <si>
    <t>/takiʎa/</t>
  </si>
  <si>
    <t>takilla</t>
  </si>
  <si>
    <t>box_office</t>
  </si>
  <si>
    <t>taquillas</t>
  </si>
  <si>
    <t>/takiʎas/</t>
  </si>
  <si>
    <t>takillas</t>
  </si>
  <si>
    <t>blemish</t>
  </si>
  <si>
    <t>lameness</t>
  </si>
  <si>
    <t>tarara</t>
  </si>
  <si>
    <t>/taɾaɾa/</t>
  </si>
  <si>
    <t>tararas</t>
  </si>
  <si>
    <t>/taɾaɾas/</t>
  </si>
  <si>
    <t>tararira</t>
  </si>
  <si>
    <t>/taɾaɾiɾa/</t>
  </si>
  <si>
    <t>tarariras</t>
  </si>
  <si>
    <t>/taɾaɾiɾas/</t>
  </si>
  <si>
    <t>taras</t>
  </si>
  <si>
    <t>/taɾas/</t>
  </si>
  <si>
    <t>tarasa</t>
  </si>
  <si>
    <t>/taɾasa/</t>
  </si>
  <si>
    <t>tarasas</t>
  </si>
  <si>
    <t>/taɾasas/</t>
  </si>
  <si>
    <t>taray</t>
  </si>
  <si>
    <t>/taɾaj/</t>
  </si>
  <si>
    <t>taraza</t>
  </si>
  <si>
    <t>tarazan</t>
  </si>
  <si>
    <t>/taɾasan/</t>
  </si>
  <si>
    <t>tarasan</t>
  </si>
  <si>
    <t>tarazana</t>
  </si>
  <si>
    <t>/taɾasana/</t>
  </si>
  <si>
    <t>tarasana</t>
  </si>
  <si>
    <t>tarazanal</t>
  </si>
  <si>
    <t>/taɾasanal/</t>
  </si>
  <si>
    <t>tarasanal</t>
  </si>
  <si>
    <t>tarazanas</t>
  </si>
  <si>
    <t>/taɾasanas/</t>
  </si>
  <si>
    <t>tarasanas</t>
  </si>
  <si>
    <t>tarazar</t>
  </si>
  <si>
    <t>/taɾasaɾ/</t>
  </si>
  <si>
    <t>tarasar</t>
  </si>
  <si>
    <t>tarazara</t>
  </si>
  <si>
    <t>/taɾasaɾa/</t>
  </si>
  <si>
    <t>tarasara</t>
  </si>
  <si>
    <t>tarazaran</t>
  </si>
  <si>
    <t>/taɾasaɾan/</t>
  </si>
  <si>
    <t>tarasaran</t>
  </si>
  <si>
    <t>tarazaras</t>
  </si>
  <si>
    <t>/taɾasaɾas/</t>
  </si>
  <si>
    <t>tarasaras</t>
  </si>
  <si>
    <t>tarazas</t>
  </si>
  <si>
    <t>tarima</t>
  </si>
  <si>
    <t>/taɾima/</t>
  </si>
  <si>
    <t>bandstand</t>
  </si>
  <si>
    <t>outdoor_stage</t>
  </si>
  <si>
    <t>tarimas</t>
  </si>
  <si>
    <t>/taɾimas/</t>
  </si>
  <si>
    <t>taruga</t>
  </si>
  <si>
    <t>/taɾuɣa/</t>
  </si>
  <si>
    <t>taruka</t>
  </si>
  <si>
    <t>tarugas</t>
  </si>
  <si>
    <t>/taɾuɣas/</t>
  </si>
  <si>
    <t>tarukas</t>
  </si>
  <si>
    <t>tarusa</t>
  </si>
  <si>
    <t>/taɾusa/</t>
  </si>
  <si>
    <t>tarusas</t>
  </si>
  <si>
    <t>/taɾusas/</t>
  </si>
  <si>
    <t>evaluation</t>
  </si>
  <si>
    <t>valuation</t>
  </si>
  <si>
    <t>rating</t>
  </si>
  <si>
    <t>appraisal</t>
  </si>
  <si>
    <t>estimate</t>
  </si>
  <si>
    <t>estimation</t>
  </si>
  <si>
    <t>taxation</t>
  </si>
  <si>
    <t>revenue_enhancement</t>
  </si>
  <si>
    <t>tasan</t>
  </si>
  <si>
    <t>/tasan/</t>
  </si>
  <si>
    <t>tasar</t>
  </si>
  <si>
    <t>/tasaɾ/</t>
  </si>
  <si>
    <t>evaluate</t>
  </si>
  <si>
    <t>valuate</t>
  </si>
  <si>
    <t>assess</t>
  </si>
  <si>
    <t>appraise</t>
  </si>
  <si>
    <t>value</t>
  </si>
  <si>
    <t>reappraise</t>
  </si>
  <si>
    <t>tasara</t>
  </si>
  <si>
    <t>/tasaɾa/</t>
  </si>
  <si>
    <t>tasaran</t>
  </si>
  <si>
    <t>/tasaɾan/</t>
  </si>
  <si>
    <t>tasaras</t>
  </si>
  <si>
    <t>/tasaɾas/</t>
  </si>
  <si>
    <t>tasi</t>
  </si>
  <si>
    <t>/tasi/</t>
  </si>
  <si>
    <t>taza</t>
  </si>
  <si>
    <t>mug</t>
  </si>
  <si>
    <t>toilet</t>
  </si>
  <si>
    <t>commode</t>
  </si>
  <si>
    <t>crapper</t>
  </si>
  <si>
    <t>potty</t>
  </si>
  <si>
    <t>stool</t>
  </si>
  <si>
    <t>throne</t>
  </si>
  <si>
    <t>mugful</t>
  </si>
  <si>
    <t>tazan</t>
  </si>
  <si>
    <t>tazaña</t>
  </si>
  <si>
    <t>/tasaɲa/</t>
  </si>
  <si>
    <t>tasaña</t>
  </si>
  <si>
    <t>tazañas</t>
  </si>
  <si>
    <t>/tasaɲas/</t>
  </si>
  <si>
    <t>tasañas</t>
  </si>
  <si>
    <t>tazar</t>
  </si>
  <si>
    <t>tazara</t>
  </si>
  <si>
    <t>tazaran</t>
  </si>
  <si>
    <t>tazaras</t>
  </si>
  <si>
    <t>tazas</t>
  </si>
  <si>
    <t>tija</t>
  </si>
  <si>
    <t>/tixa/</t>
  </si>
  <si>
    <t>tijas</t>
  </si>
  <si>
    <t>/tixas/</t>
  </si>
  <si>
    <t>tila</t>
  </si>
  <si>
    <t>/tila/</t>
  </si>
  <si>
    <t>tilas</t>
  </si>
  <si>
    <t>/tilas/</t>
  </si>
  <si>
    <t>tilla</t>
  </si>
  <si>
    <t>/tiʎa/</t>
  </si>
  <si>
    <t>tillan</t>
  </si>
  <si>
    <t>/tiʎan/</t>
  </si>
  <si>
    <t>tillar</t>
  </si>
  <si>
    <t>/tiʎaɾ/</t>
  </si>
  <si>
    <t>tillara</t>
  </si>
  <si>
    <t>/tiʎaɾa/</t>
  </si>
  <si>
    <t>tillaran</t>
  </si>
  <si>
    <t>/tiʎaɾan/</t>
  </si>
  <si>
    <t>tillaras</t>
  </si>
  <si>
    <t>/tiʎaɾas/</t>
  </si>
  <si>
    <t>tillas</t>
  </si>
  <si>
    <t>/tiʎas/</t>
  </si>
  <si>
    <t>tima</t>
  </si>
  <si>
    <t>/tima/</t>
  </si>
  <si>
    <t>timan</t>
  </si>
  <si>
    <t>/timan/</t>
  </si>
  <si>
    <t>timar</t>
  </si>
  <si>
    <t>/timaɾ/</t>
  </si>
  <si>
    <t>gull</t>
  </si>
  <si>
    <t>dupe</t>
  </si>
  <si>
    <t>slang</t>
  </si>
  <si>
    <t>befool</t>
  </si>
  <si>
    <t>put_on</t>
  </si>
  <si>
    <t>put_one_over</t>
  </si>
  <si>
    <t>put_one_across</t>
  </si>
  <si>
    <t>victimize</t>
  </si>
  <si>
    <t>swindle</t>
  </si>
  <si>
    <t>rook</t>
  </si>
  <si>
    <t>goldbrick</t>
  </si>
  <si>
    <t>bunco</t>
  </si>
  <si>
    <t>defraud</t>
  </si>
  <si>
    <t>scam</t>
  </si>
  <si>
    <t>mulct</t>
  </si>
  <si>
    <t>gyp</t>
  </si>
  <si>
    <t>gip</t>
  </si>
  <si>
    <t>hornswoggle</t>
  </si>
  <si>
    <t>short-change</t>
  </si>
  <si>
    <t>con</t>
  </si>
  <si>
    <t>timara</t>
  </si>
  <si>
    <t>/timaɾa/</t>
  </si>
  <si>
    <t>timaran</t>
  </si>
  <si>
    <t>/timaɾan/</t>
  </si>
  <si>
    <t>timaras</t>
  </si>
  <si>
    <t>/timaɾas/</t>
  </si>
  <si>
    <t>timas</t>
  </si>
  <si>
    <t>/timas/</t>
  </si>
  <si>
    <t>tina</t>
  </si>
  <si>
    <t>/tina/</t>
  </si>
  <si>
    <t>tinaja</t>
  </si>
  <si>
    <t>/tinaxa/</t>
  </si>
  <si>
    <t>tinaka</t>
  </si>
  <si>
    <t>tinajas</t>
  </si>
  <si>
    <t>/tinaxas/</t>
  </si>
  <si>
    <t>tinakas</t>
  </si>
  <si>
    <t>tinas</t>
  </si>
  <si>
    <t>/tinas/</t>
  </si>
  <si>
    <t>tiña</t>
  </si>
  <si>
    <t>/tiɲa/</t>
  </si>
  <si>
    <t>tiñan</t>
  </si>
  <si>
    <t>/tiɲan/</t>
  </si>
  <si>
    <t>tipa</t>
  </si>
  <si>
    <t>/tipa/</t>
  </si>
  <si>
    <t>tipas</t>
  </si>
  <si>
    <t>/tipas/</t>
  </si>
  <si>
    <t>tiquis</t>
  </si>
  <si>
    <t>/tikis/</t>
  </si>
  <si>
    <t>tikis</t>
  </si>
  <si>
    <t>tira</t>
  </si>
  <si>
    <t>/tiɾa/</t>
  </si>
  <si>
    <t>tiramira</t>
  </si>
  <si>
    <t>/tiɾamiɾa/</t>
  </si>
  <si>
    <t>tiramiras</t>
  </si>
  <si>
    <t>/tiɾamiɾas/</t>
  </si>
  <si>
    <t>tiran</t>
  </si>
  <si>
    <t>/tiɾan/</t>
  </si>
  <si>
    <t>tirana</t>
  </si>
  <si>
    <t>/tiɾana/</t>
  </si>
  <si>
    <t>tiranas</t>
  </si>
  <si>
    <t>/tiɾanas/</t>
  </si>
  <si>
    <t>tiraniza</t>
  </si>
  <si>
    <t>/tiɾanisa/</t>
  </si>
  <si>
    <t>tiranisa</t>
  </si>
  <si>
    <t>tiranizan</t>
  </si>
  <si>
    <t>/tiɾanisan/</t>
  </si>
  <si>
    <t>tiranisan</t>
  </si>
  <si>
    <t>tiranizar</t>
  </si>
  <si>
    <t>/tiɾanisaɾ/</t>
  </si>
  <si>
    <t>tiranisar</t>
  </si>
  <si>
    <t>dragoon</t>
  </si>
  <si>
    <t>tiranizara</t>
  </si>
  <si>
    <t>/tiɾanisaɾa/</t>
  </si>
  <si>
    <t>tiranisara</t>
  </si>
  <si>
    <t>tiranizaran</t>
  </si>
  <si>
    <t>/tiɾanisaɾan/</t>
  </si>
  <si>
    <t>tiranisaran</t>
  </si>
  <si>
    <t>tiranizaras</t>
  </si>
  <si>
    <t>/tiɾanisaɾas/</t>
  </si>
  <si>
    <t>tiranisaras</t>
  </si>
  <si>
    <t>tiranizas</t>
  </si>
  <si>
    <t>/tiɾanisas/</t>
  </si>
  <si>
    <t>tiranisas</t>
  </si>
  <si>
    <t>tirar</t>
  </si>
  <si>
    <t>/tiɾaɾ/</t>
  </si>
  <si>
    <t>overstretch</t>
  </si>
  <si>
    <t>pull_back</t>
  </si>
  <si>
    <t>slap_on</t>
  </si>
  <si>
    <t>clap_on</t>
  </si>
  <si>
    <t>slam_on</t>
  </si>
  <si>
    <t>force</t>
  </si>
  <si>
    <t>bin</t>
  </si>
  <si>
    <t>heave</t>
  </si>
  <si>
    <t>fling</t>
  </si>
  <si>
    <t>cast_off</t>
  </si>
  <si>
    <t>shake_off</t>
  </si>
  <si>
    <t>throw_off</t>
  </si>
  <si>
    <t>throw_away</t>
  </si>
  <si>
    <t>chuck</t>
  </si>
  <si>
    <t>pick_at</t>
  </si>
  <si>
    <t>pluck_at</t>
  </si>
  <si>
    <t>pull_at</t>
  </si>
  <si>
    <t>dump</t>
  </si>
  <si>
    <t>escape_from</t>
  </si>
  <si>
    <t>discard</t>
  </si>
  <si>
    <t>toss_out</t>
  </si>
  <si>
    <t>toss_away</t>
  </si>
  <si>
    <t>chuck_out</t>
  </si>
  <si>
    <t>cast_aside</t>
  </si>
  <si>
    <t>dispose</t>
  </si>
  <si>
    <t>throw_out</t>
  </si>
  <si>
    <t>cast_out</t>
  </si>
  <si>
    <t>cast_away</t>
  </si>
  <si>
    <t>put_away</t>
  </si>
  <si>
    <t>deep-six</t>
  </si>
  <si>
    <t>give_it_the_deep_six</t>
  </si>
  <si>
    <t>waste</t>
  </si>
  <si>
    <t>tirara</t>
  </si>
  <si>
    <t>/tiɾaɾa/</t>
  </si>
  <si>
    <t>tiraran</t>
  </si>
  <si>
    <t>/tiɾaɾan/</t>
  </si>
  <si>
    <t>tiraras</t>
  </si>
  <si>
    <t>/tiɾaɾas/</t>
  </si>
  <si>
    <t>tiras</t>
  </si>
  <si>
    <t>/tiɾas/</t>
  </si>
  <si>
    <t>tirilla</t>
  </si>
  <si>
    <t>/tiɾiʎa/</t>
  </si>
  <si>
    <t>tirillas</t>
  </si>
  <si>
    <t>/tiɾiʎas/</t>
  </si>
  <si>
    <t>tirita</t>
  </si>
  <si>
    <t>/tiɾita/</t>
  </si>
  <si>
    <t>tiritan</t>
  </si>
  <si>
    <t>/tiɾitan/</t>
  </si>
  <si>
    <t>tiritaña</t>
  </si>
  <si>
    <t>/tiɾitaɲa/</t>
  </si>
  <si>
    <t>tiritañas</t>
  </si>
  <si>
    <t>/tiɾitaɲas/</t>
  </si>
  <si>
    <t>tiritar</t>
  </si>
  <si>
    <t>/tiɾitaɾ/</t>
  </si>
  <si>
    <t>shimmy</t>
  </si>
  <si>
    <t>wobble</t>
  </si>
  <si>
    <t>tiritara</t>
  </si>
  <si>
    <t>/tiɾitaɾa/</t>
  </si>
  <si>
    <t>tiritaran</t>
  </si>
  <si>
    <t>/tiɾitaɾan/</t>
  </si>
  <si>
    <t>tiritaras</t>
  </si>
  <si>
    <t>/tiɾitaɾas/</t>
  </si>
  <si>
    <t>tiritas</t>
  </si>
  <si>
    <t>/tiɾitas/</t>
  </si>
  <si>
    <t>tirulata</t>
  </si>
  <si>
    <t>/tiɾulata/</t>
  </si>
  <si>
    <t>tirulatas</t>
  </si>
  <si>
    <t>/tiɾulatas/</t>
  </si>
  <si>
    <t>tisana</t>
  </si>
  <si>
    <t>/tisana/</t>
  </si>
  <si>
    <t>tisanas</t>
  </si>
  <si>
    <t>/tisanas/</t>
  </si>
  <si>
    <t>tisis</t>
  </si>
  <si>
    <t>/tisis/</t>
  </si>
  <si>
    <t>tisular</t>
  </si>
  <si>
    <t>/tisulaɾ/</t>
  </si>
  <si>
    <t>tita</t>
  </si>
  <si>
    <t>/tita/</t>
  </si>
  <si>
    <t>titar</t>
  </si>
  <si>
    <t>/titaɾ/</t>
  </si>
  <si>
    <t>titara</t>
  </si>
  <si>
    <t>/titaɾa/</t>
  </si>
  <si>
    <t>titaran</t>
  </si>
  <si>
    <t>/titaɾan/</t>
  </si>
  <si>
    <t>titaras</t>
  </si>
  <si>
    <t>/titaɾas/</t>
  </si>
  <si>
    <t>titas</t>
  </si>
  <si>
    <t>/titas/</t>
  </si>
  <si>
    <t>titila</t>
  </si>
  <si>
    <t>/titila/</t>
  </si>
  <si>
    <t>titilan</t>
  </si>
  <si>
    <t>/titilan/</t>
  </si>
  <si>
    <t>titilar</t>
  </si>
  <si>
    <t>/titilaɾ/</t>
  </si>
  <si>
    <t>flash</t>
  </si>
  <si>
    <t>blink</t>
  </si>
  <si>
    <t>wink</t>
  </si>
  <si>
    <t>twinkle</t>
  </si>
  <si>
    <t>winkle</t>
  </si>
  <si>
    <t>flicker</t>
  </si>
  <si>
    <t>titilara</t>
  </si>
  <si>
    <t>/titilaɾa/</t>
  </si>
  <si>
    <t>titilaran</t>
  </si>
  <si>
    <t>/titilaɾan/</t>
  </si>
  <si>
    <t>titilaras</t>
  </si>
  <si>
    <t>/titilaɾas/</t>
  </si>
  <si>
    <t>titilas</t>
  </si>
  <si>
    <t>/titilas/</t>
  </si>
  <si>
    <t>titirita</t>
  </si>
  <si>
    <t>/titiɾita/</t>
  </si>
  <si>
    <t>titiritan</t>
  </si>
  <si>
    <t>/titiɾitan/</t>
  </si>
  <si>
    <t>titiritar</t>
  </si>
  <si>
    <t>/titiɾitaɾ/</t>
  </si>
  <si>
    <t>titiritara</t>
  </si>
  <si>
    <t>/titiɾitaɾa/</t>
  </si>
  <si>
    <t>titiritaran</t>
  </si>
  <si>
    <t>/titiɾitaɾan/</t>
  </si>
  <si>
    <t>titiritaras</t>
  </si>
  <si>
    <t>/titiɾitaɾas/</t>
  </si>
  <si>
    <t>titiritas</t>
  </si>
  <si>
    <t>/titiɾitas/</t>
  </si>
  <si>
    <t>titula</t>
  </si>
  <si>
    <t>/titula/</t>
  </si>
  <si>
    <t>titulan</t>
  </si>
  <si>
    <t>/titulan/</t>
  </si>
  <si>
    <t>titular</t>
  </si>
  <si>
    <t>/titulaɾ/</t>
  </si>
  <si>
    <t>entitle</t>
  </si>
  <si>
    <t>headline</t>
  </si>
  <si>
    <t>titulary</t>
  </si>
  <si>
    <t>newspaper_headline</t>
  </si>
  <si>
    <t>question</t>
  </si>
  <si>
    <t>recipient</t>
  </si>
  <si>
    <t>receiver</t>
  </si>
  <si>
    <t>full_professor</t>
  </si>
  <si>
    <t>incumbent</t>
  </si>
  <si>
    <t>officeholder</t>
  </si>
  <si>
    <t>titulara</t>
  </si>
  <si>
    <t>/titulaɾa/</t>
  </si>
  <si>
    <t>titularan</t>
  </si>
  <si>
    <t>/titulaɾan/</t>
  </si>
  <si>
    <t>titularas</t>
  </si>
  <si>
    <t>/titulaɾas/</t>
  </si>
  <si>
    <t>titulas</t>
  </si>
  <si>
    <t>/titulas/</t>
  </si>
  <si>
    <t>tiza</t>
  </si>
  <si>
    <t>chalk</t>
  </si>
  <si>
    <t>tizana</t>
  </si>
  <si>
    <t>tizanas</t>
  </si>
  <si>
    <t>tizas</t>
  </si>
  <si>
    <t>tuca</t>
  </si>
  <si>
    <t>/tuka/</t>
  </si>
  <si>
    <t>tuka</t>
  </si>
  <si>
    <t>tucas</t>
  </si>
  <si>
    <t>/tukas/</t>
  </si>
  <si>
    <t>tukas</t>
  </si>
  <si>
    <t>tucumana</t>
  </si>
  <si>
    <t>/tukumana/</t>
  </si>
  <si>
    <t>tukumana</t>
  </si>
  <si>
    <t>tucumanas</t>
  </si>
  <si>
    <t>/tukumanas/</t>
  </si>
  <si>
    <t>tukumanas</t>
  </si>
  <si>
    <t>tulipa</t>
  </si>
  <si>
    <t>/tulipa/</t>
  </si>
  <si>
    <t>tulipas</t>
  </si>
  <si>
    <t>/tulipas/</t>
  </si>
  <si>
    <t>tulla</t>
  </si>
  <si>
    <t>/tuʎa/</t>
  </si>
  <si>
    <t>tullan</t>
  </si>
  <si>
    <t>/tuʎan/</t>
  </si>
  <si>
    <t>tullas</t>
  </si>
  <si>
    <t>/tuʎas/</t>
  </si>
  <si>
    <t>tullir</t>
  </si>
  <si>
    <t>/tuʎiɾ/</t>
  </si>
  <si>
    <t>tuna</t>
  </si>
  <si>
    <t>/tuna/</t>
  </si>
  <si>
    <t>Anguilla_sucklandii</t>
  </si>
  <si>
    <t>tunan</t>
  </si>
  <si>
    <t>/tunan/</t>
  </si>
  <si>
    <t>tunar</t>
  </si>
  <si>
    <t>/tunaɾ/</t>
  </si>
  <si>
    <t>tunara</t>
  </si>
  <si>
    <t>/tunaɾa/</t>
  </si>
  <si>
    <t>tunaran</t>
  </si>
  <si>
    <t>/tunaɾan/</t>
  </si>
  <si>
    <t>tunaras</t>
  </si>
  <si>
    <t>/tunaɾas/</t>
  </si>
  <si>
    <t>tunas</t>
  </si>
  <si>
    <t>/tunas/</t>
  </si>
  <si>
    <t>/tupa/</t>
  </si>
  <si>
    <t>tupan</t>
  </si>
  <si>
    <t>/tupan/</t>
  </si>
  <si>
    <t>tupas</t>
  </si>
  <si>
    <t>/tupas/</t>
  </si>
  <si>
    <t>tupir</t>
  </si>
  <si>
    <t>/tupiɾ/</t>
  </si>
  <si>
    <t>turulata</t>
  </si>
  <si>
    <t>/tuɾulata/</t>
  </si>
  <si>
    <t>turulatas</t>
  </si>
  <si>
    <t>/tuɾulatas/</t>
  </si>
  <si>
    <t>tuturuta</t>
  </si>
  <si>
    <t>/tutuɾuta/</t>
  </si>
  <si>
    <t>tuturutas</t>
  </si>
  <si>
    <t>/tutuɾutas/</t>
  </si>
  <si>
    <t>ulula</t>
  </si>
  <si>
    <t>/ulula/</t>
  </si>
  <si>
    <t>ululan</t>
  </si>
  <si>
    <t>/ululan/</t>
  </si>
  <si>
    <t>ulular</t>
  </si>
  <si>
    <t>/ululaɾ/</t>
  </si>
  <si>
    <t>ululara</t>
  </si>
  <si>
    <t>/ululaɾa/</t>
  </si>
  <si>
    <t>ulularan</t>
  </si>
  <si>
    <t>/ululaɾan/</t>
  </si>
  <si>
    <t>ulularas</t>
  </si>
  <si>
    <t>/ululaɾas/</t>
  </si>
  <si>
    <t>ululas</t>
  </si>
  <si>
    <t>/ululas/</t>
  </si>
  <si>
    <t>/un/</t>
  </si>
  <si>
    <t>unan</t>
  </si>
  <si>
    <t>/unan/</t>
  </si>
  <si>
    <t>unir</t>
  </si>
  <si>
    <t>/uniɾ/</t>
  </si>
  <si>
    <t>compound</t>
  </si>
  <si>
    <t>combine</t>
  </si>
  <si>
    <t>weld</t>
  </si>
  <si>
    <t>unite</t>
  </si>
  <si>
    <t>unify</t>
  </si>
  <si>
    <t>merge</t>
  </si>
  <si>
    <t>interlock</t>
  </si>
  <si>
    <t>join</t>
  </si>
  <si>
    <t>conjoin</t>
  </si>
  <si>
    <t>bring_together</t>
  </si>
  <si>
    <t>attach</t>
  </si>
  <si>
    <t>muster</t>
  </si>
  <si>
    <t>rally</t>
  </si>
  <si>
    <t>muster_up</t>
  </si>
  <si>
    <t>uña</t>
  </si>
  <si>
    <t>/uɲa/</t>
  </si>
  <si>
    <t>hoof</t>
  </si>
  <si>
    <t>fluke</t>
  </si>
  <si>
    <t>uñas</t>
  </si>
  <si>
    <t>/uɲas/</t>
  </si>
  <si>
    <t>uruga</t>
  </si>
  <si>
    <t>/uɾuɣa/</t>
  </si>
  <si>
    <t>uruka</t>
  </si>
  <si>
    <t>urugas</t>
  </si>
  <si>
    <t>/uɾuɣas/</t>
  </si>
  <si>
    <t>urukas</t>
  </si>
  <si>
    <t>usa</t>
  </si>
  <si>
    <t>/usa/</t>
  </si>
  <si>
    <t>usan</t>
  </si>
  <si>
    <t>/usan/</t>
  </si>
  <si>
    <t>usar</t>
  </si>
  <si>
    <t>/usaɾ/</t>
  </si>
  <si>
    <t>expend</t>
  </si>
  <si>
    <t>utilize</t>
  </si>
  <si>
    <t>utilise</t>
  </si>
  <si>
    <t>apply</t>
  </si>
  <si>
    <t>employ</t>
  </si>
  <si>
    <t>habituate</t>
  </si>
  <si>
    <t>practice</t>
  </si>
  <si>
    <t>usara</t>
  </si>
  <si>
    <t>/usaɾa/</t>
  </si>
  <si>
    <t>usaran</t>
  </si>
  <si>
    <t>/usaɾan/</t>
  </si>
  <si>
    <t>usaras</t>
  </si>
  <si>
    <t>/usaɾas/</t>
  </si>
  <si>
    <t>usas</t>
  </si>
  <si>
    <t>/usas/</t>
  </si>
  <si>
    <t>usucapa</t>
  </si>
  <si>
    <t>/usukapa/</t>
  </si>
  <si>
    <t>usukapa</t>
  </si>
  <si>
    <t>usucapan</t>
  </si>
  <si>
    <t>/usukapan/</t>
  </si>
  <si>
    <t>usukapan</t>
  </si>
  <si>
    <t>usucapas</t>
  </si>
  <si>
    <t>/usukapas/</t>
  </si>
  <si>
    <t>usukapas</t>
  </si>
  <si>
    <t>usucapir</t>
  </si>
  <si>
    <t>/usukapiɾ/</t>
  </si>
  <si>
    <t>usukapir</t>
  </si>
  <si>
    <t>usura</t>
  </si>
  <si>
    <t>/usuɾa/</t>
  </si>
  <si>
    <t>usury</t>
  </si>
  <si>
    <t>vigorish</t>
  </si>
  <si>
    <t>usuran</t>
  </si>
  <si>
    <t>/usuɾan/</t>
  </si>
  <si>
    <t>usurar</t>
  </si>
  <si>
    <t>/usuɾaɾ/</t>
  </si>
  <si>
    <t>usurara</t>
  </si>
  <si>
    <t>/usuɾaɾa/</t>
  </si>
  <si>
    <t>usuraran</t>
  </si>
  <si>
    <t>/usuɾaɾan/</t>
  </si>
  <si>
    <t>usuraras</t>
  </si>
  <si>
    <t>/usuɾaɾas/</t>
  </si>
  <si>
    <t>usuras</t>
  </si>
  <si>
    <t>/usuɾas/</t>
  </si>
  <si>
    <t>usuta</t>
  </si>
  <si>
    <t>/usuta/</t>
  </si>
  <si>
    <t>usutas</t>
  </si>
  <si>
    <t>/usutas/</t>
  </si>
  <si>
    <t>Uta</t>
  </si>
  <si>
    <t>genus_Uta</t>
  </si>
  <si>
    <t>common_raccoon</t>
  </si>
  <si>
    <t>common_racoon</t>
  </si>
  <si>
    <t>ringtail</t>
  </si>
  <si>
    <t>Procyon_lotor</t>
  </si>
  <si>
    <t>utiliza</t>
  </si>
  <si>
    <t>/utilisa/</t>
  </si>
  <si>
    <t>utilisa</t>
  </si>
  <si>
    <t>utilizan</t>
  </si>
  <si>
    <t>/utilisan/</t>
  </si>
  <si>
    <t>utilisan</t>
  </si>
  <si>
    <t>utilizar</t>
  </si>
  <si>
    <t>/utilisaɾ/</t>
  </si>
  <si>
    <t>utilisar</t>
  </si>
  <si>
    <t>utilizara</t>
  </si>
  <si>
    <t>/utilisaɾa/</t>
  </si>
  <si>
    <t>utilisara</t>
  </si>
  <si>
    <t>utilizaran</t>
  </si>
  <si>
    <t>/utilisaɾan/</t>
  </si>
  <si>
    <t>utilisaran</t>
  </si>
  <si>
    <t>utilizaras</t>
  </si>
  <si>
    <t>/utilisaɾas/</t>
  </si>
  <si>
    <t>utilisaras</t>
  </si>
  <si>
    <t>utilizas</t>
  </si>
  <si>
    <t>/utilisas/</t>
  </si>
  <si>
    <t>utilisas</t>
  </si>
  <si>
    <t>zaga</t>
  </si>
  <si>
    <t>zagal</t>
  </si>
  <si>
    <t>/saɣal/</t>
  </si>
  <si>
    <t>sakal</t>
  </si>
  <si>
    <t>young_person</t>
  </si>
  <si>
    <t>youth</t>
  </si>
  <si>
    <t>younker</t>
  </si>
  <si>
    <t>spring_chicken</t>
  </si>
  <si>
    <t>zagala</t>
  </si>
  <si>
    <t>/saɣala/</t>
  </si>
  <si>
    <t>sakala</t>
  </si>
  <si>
    <t>zagalas</t>
  </si>
  <si>
    <t>/saɣalas/</t>
  </si>
  <si>
    <t>sakalas</t>
  </si>
  <si>
    <t>zagas</t>
  </si>
  <si>
    <t>zalama</t>
  </si>
  <si>
    <t>/salama/</t>
  </si>
  <si>
    <t>salama</t>
  </si>
  <si>
    <t>zalamas</t>
  </si>
  <si>
    <t>/salamas/</t>
  </si>
  <si>
    <t>salamas</t>
  </si>
  <si>
    <t>zapa</t>
  </si>
  <si>
    <t>entrenching_tool</t>
  </si>
  <si>
    <t>trenching_spade</t>
  </si>
  <si>
    <t>zapan</t>
  </si>
  <si>
    <t>/sapan/</t>
  </si>
  <si>
    <t>sapan</t>
  </si>
  <si>
    <t>zapar</t>
  </si>
  <si>
    <t>/sapaɾ/</t>
  </si>
  <si>
    <t>sapar</t>
  </si>
  <si>
    <t>zapara</t>
  </si>
  <si>
    <t>/sapaɾa/</t>
  </si>
  <si>
    <t>sapara</t>
  </si>
  <si>
    <t>zaparan</t>
  </si>
  <si>
    <t>/sapaɾan/</t>
  </si>
  <si>
    <t>saparan</t>
  </si>
  <si>
    <t>zaparas</t>
  </si>
  <si>
    <t>/sapaɾas/</t>
  </si>
  <si>
    <t>saparas</t>
  </si>
  <si>
    <t>zapas</t>
  </si>
  <si>
    <t>zapatilla</t>
  </si>
  <si>
    <t>/sapatiʎa/</t>
  </si>
  <si>
    <t>sapatilla</t>
  </si>
  <si>
    <t>zapatillas</t>
  </si>
  <si>
    <t>/sapatiʎas/</t>
  </si>
  <si>
    <t>sapatillas</t>
  </si>
  <si>
    <t>zapuza</t>
  </si>
  <si>
    <t>/sapusa/</t>
  </si>
  <si>
    <t>sapusa</t>
  </si>
  <si>
    <t>zapuzan</t>
  </si>
  <si>
    <t>/sapusan/</t>
  </si>
  <si>
    <t>sapusan</t>
  </si>
  <si>
    <t>zapuzar</t>
  </si>
  <si>
    <t>/sapusaɾ/</t>
  </si>
  <si>
    <t>sapusar</t>
  </si>
  <si>
    <t>zapuzara</t>
  </si>
  <si>
    <t>/sapusaɾa/</t>
  </si>
  <si>
    <t>sapusara</t>
  </si>
  <si>
    <t>zapuzaran</t>
  </si>
  <si>
    <t>/sapusaɾan/</t>
  </si>
  <si>
    <t>sapusaran</t>
  </si>
  <si>
    <t>zapuzaras</t>
  </si>
  <si>
    <t>/sapusaɾas/</t>
  </si>
  <si>
    <t>sapusaras</t>
  </si>
  <si>
    <t>zapuzas</t>
  </si>
  <si>
    <t>/sapusas/</t>
  </si>
  <si>
    <t>sapusas</t>
  </si>
  <si>
    <t>zar</t>
  </si>
  <si>
    <t>/saɾ/</t>
  </si>
  <si>
    <t>sar</t>
  </si>
  <si>
    <t>zara</t>
  </si>
  <si>
    <t>zaras</t>
  </si>
  <si>
    <t>/saɾas/</t>
  </si>
  <si>
    <t>saras</t>
  </si>
  <si>
    <t>zarazas</t>
  </si>
  <si>
    <t>zarina</t>
  </si>
  <si>
    <t>/saɾina/</t>
  </si>
  <si>
    <t>sarina</t>
  </si>
  <si>
    <t>czarina</t>
  </si>
  <si>
    <t>tsarina</t>
  </si>
  <si>
    <t>tzarina</t>
  </si>
  <si>
    <t>czaritza</t>
  </si>
  <si>
    <t>tsaritsa</t>
  </si>
  <si>
    <t>zarinas</t>
  </si>
  <si>
    <t>/saɾinas/</t>
  </si>
  <si>
    <t>sarinas</t>
  </si>
  <si>
    <t>zas</t>
  </si>
  <si>
    <t>zata</t>
  </si>
  <si>
    <t>zatara</t>
  </si>
  <si>
    <t>/sataɾa/</t>
  </si>
  <si>
    <t>satara</t>
  </si>
  <si>
    <t>zataras</t>
  </si>
  <si>
    <t>/sataɾas/</t>
  </si>
  <si>
    <t>sataras</t>
  </si>
  <si>
    <t>zatas</t>
  </si>
  <si>
    <t>/satas/</t>
  </si>
  <si>
    <t>satas</t>
  </si>
  <si>
    <t>zurita</t>
  </si>
  <si>
    <t>/suɾita/</t>
  </si>
  <si>
    <t>surita</t>
  </si>
  <si>
    <t>zuritas</t>
  </si>
  <si>
    <t>/suɾitas/</t>
  </si>
  <si>
    <t>suritas</t>
  </si>
  <si>
    <t>zuriza</t>
  </si>
  <si>
    <t>/suɾisa/</t>
  </si>
  <si>
    <t>surisa</t>
  </si>
  <si>
    <t>zurizas</t>
  </si>
  <si>
    <t>/suɾisas/</t>
  </si>
  <si>
    <t>surisas</t>
  </si>
  <si>
    <t>zutana</t>
  </si>
  <si>
    <t>/sutana/</t>
  </si>
  <si>
    <t>sutana</t>
  </si>
  <si>
    <t>zutanas</t>
  </si>
  <si>
    <t>/sutanas/</t>
  </si>
  <si>
    <t>sutanas</t>
  </si>
  <si>
    <t>es_ES.csv</t>
  </si>
  <si>
    <t>/akapiθa/</t>
  </si>
  <si>
    <t>akapitha</t>
  </si>
  <si>
    <t>/akapiθan/</t>
  </si>
  <si>
    <t>akapithan</t>
  </si>
  <si>
    <t>/akapiθaɾ/</t>
  </si>
  <si>
    <t>akapithar</t>
  </si>
  <si>
    <t>/akapiθaɾa/</t>
  </si>
  <si>
    <t>akapithara</t>
  </si>
  <si>
    <t>/akapiθaɾan/</t>
  </si>
  <si>
    <t>akapitharan</t>
  </si>
  <si>
    <t>/akapiθaɾas/</t>
  </si>
  <si>
    <t>akapitharas</t>
  </si>
  <si>
    <t>/akapiθas/</t>
  </si>
  <si>
    <t>akapithas</t>
  </si>
  <si>
    <t>/aθikala/</t>
  </si>
  <si>
    <t>athikala</t>
  </si>
  <si>
    <t>/aθikalan/</t>
  </si>
  <si>
    <t>athikalan</t>
  </si>
  <si>
    <t>/aθikalaɾ/</t>
  </si>
  <si>
    <t>athikalar</t>
  </si>
  <si>
    <t>/aθikalaɾa/</t>
  </si>
  <si>
    <t>athikalara</t>
  </si>
  <si>
    <t>/aθikalaɾan/</t>
  </si>
  <si>
    <t>athikalaran</t>
  </si>
  <si>
    <t>/aθikalaɾas/</t>
  </si>
  <si>
    <t>athikalaras</t>
  </si>
  <si>
    <t>/aθikalas/</t>
  </si>
  <si>
    <t>athikalas</t>
  </si>
  <si>
    <t>/aθikula/</t>
  </si>
  <si>
    <t>athikula</t>
  </si>
  <si>
    <t>/aθikulan/</t>
  </si>
  <si>
    <t>athikulan</t>
  </si>
  <si>
    <t>/aθikulaɾ/</t>
  </si>
  <si>
    <t>athikular</t>
  </si>
  <si>
    <t>/aθikulaɾa/</t>
  </si>
  <si>
    <t>athikulara</t>
  </si>
  <si>
    <t>/aθikulaɾan/</t>
  </si>
  <si>
    <t>athikularan</t>
  </si>
  <si>
    <t>/aθikulaɾas/</t>
  </si>
  <si>
    <t>athikularas</t>
  </si>
  <si>
    <t>/aθikulas/</t>
  </si>
  <si>
    <t>athikulas</t>
  </si>
  <si>
    <t>/aθimutal/</t>
  </si>
  <si>
    <t>athimutal</t>
  </si>
  <si>
    <t>/aɣaθapa/</t>
  </si>
  <si>
    <t>akathapa</t>
  </si>
  <si>
    <t>/aɣaθapan/</t>
  </si>
  <si>
    <t>akathapan</t>
  </si>
  <si>
    <t>/aɣaθapaɾ/</t>
  </si>
  <si>
    <t>akathapar</t>
  </si>
  <si>
    <t>/aɣaθapaɾa/</t>
  </si>
  <si>
    <t>akathapara</t>
  </si>
  <si>
    <t>/aɣaθapaɾan/</t>
  </si>
  <si>
    <t>akathaparan</t>
  </si>
  <si>
    <t>/aɣaθapaɾas/</t>
  </si>
  <si>
    <t>akathaparas</t>
  </si>
  <si>
    <t>/aɣaθapas/</t>
  </si>
  <si>
    <t>akathapas</t>
  </si>
  <si>
    <t>/axiliθa/</t>
  </si>
  <si>
    <t>akilitha</t>
  </si>
  <si>
    <t>/axiliθan/</t>
  </si>
  <si>
    <t>akilithan</t>
  </si>
  <si>
    <t>/axiliθaɾ/</t>
  </si>
  <si>
    <t>akilithar</t>
  </si>
  <si>
    <t>/axiliθaɾa/</t>
  </si>
  <si>
    <t>akilithara</t>
  </si>
  <si>
    <t>/axiliθaɾan/</t>
  </si>
  <si>
    <t>akilitharan</t>
  </si>
  <si>
    <t>/axiliθaɾas/</t>
  </si>
  <si>
    <t>akilitharas</t>
  </si>
  <si>
    <t>/axiliθas/</t>
  </si>
  <si>
    <t>akilithas</t>
  </si>
  <si>
    <t>/aɣuθa/</t>
  </si>
  <si>
    <t>akutha</t>
  </si>
  <si>
    <t>/aɣuθan/</t>
  </si>
  <si>
    <t>akuthan</t>
  </si>
  <si>
    <t>/aɣuθaɾ/</t>
  </si>
  <si>
    <t>akuthar</t>
  </si>
  <si>
    <t>/aɣuθaɾa/</t>
  </si>
  <si>
    <t>akuthara</t>
  </si>
  <si>
    <t>/aɣuθaɾan/</t>
  </si>
  <si>
    <t>akutharan</t>
  </si>
  <si>
    <t>/aɣuθaɾas/</t>
  </si>
  <si>
    <t>akutharas</t>
  </si>
  <si>
    <t>/aɣuθas/</t>
  </si>
  <si>
    <t>akuthas</t>
  </si>
  <si>
    <t>/axiθa/</t>
  </si>
  <si>
    <t>akitha</t>
  </si>
  <si>
    <t>/alaθana/</t>
  </si>
  <si>
    <t>alathana</t>
  </si>
  <si>
    <t>/alaθanas/</t>
  </si>
  <si>
    <t>alathanas</t>
  </si>
  <si>
    <t>/aliθaɾ/</t>
  </si>
  <si>
    <t>alithar</t>
  </si>
  <si>
    <t>/aluθina/</t>
  </si>
  <si>
    <t>aluthina</t>
  </si>
  <si>
    <t>/aluθinan/</t>
  </si>
  <si>
    <t>aluthinan</t>
  </si>
  <si>
    <t>/aluθinaɾ/</t>
  </si>
  <si>
    <t>aluthinar</t>
  </si>
  <si>
    <t>/aluθinaɾa/</t>
  </si>
  <si>
    <t>aluthinara</t>
  </si>
  <si>
    <t>/aluθinaɾan/</t>
  </si>
  <si>
    <t>aluthinaran</t>
  </si>
  <si>
    <t>/aluθinaɾas/</t>
  </si>
  <si>
    <t>aluthinaras</t>
  </si>
  <si>
    <t>/aluθinas/</t>
  </si>
  <si>
    <t>aluthinas</t>
  </si>
  <si>
    <t>/amaɾiθa/</t>
  </si>
  <si>
    <t>amaritha</t>
  </si>
  <si>
    <t>/amaɾiθan/</t>
  </si>
  <si>
    <t>amarithan</t>
  </si>
  <si>
    <t>/amaɾiθaɾ/</t>
  </si>
  <si>
    <t>amarithar</t>
  </si>
  <si>
    <t>/amaɾiθaɾa/</t>
  </si>
  <si>
    <t>amarithara</t>
  </si>
  <si>
    <t>/amaɾiθaɾan/</t>
  </si>
  <si>
    <t>amaritharan</t>
  </si>
  <si>
    <t>/amaɾiθaɾas/</t>
  </si>
  <si>
    <t>amaritharas</t>
  </si>
  <si>
    <t>/amaɾiθas/</t>
  </si>
  <si>
    <t>amarithas</t>
  </si>
  <si>
    <t>/analiθa/</t>
  </si>
  <si>
    <t>analitha</t>
  </si>
  <si>
    <t>/analiθan/</t>
  </si>
  <si>
    <t>analithan</t>
  </si>
  <si>
    <t>/analiθaɾ/</t>
  </si>
  <si>
    <t>analithar</t>
  </si>
  <si>
    <t>/analiθaɾa/</t>
  </si>
  <si>
    <t>analithara</t>
  </si>
  <si>
    <t>/analiθaɾan/</t>
  </si>
  <si>
    <t>analitharan</t>
  </si>
  <si>
    <t>/analiθaɾas/</t>
  </si>
  <si>
    <t>analitharas</t>
  </si>
  <si>
    <t>/analiθas/</t>
  </si>
  <si>
    <t>analithas</t>
  </si>
  <si>
    <t>/animaliθa/</t>
  </si>
  <si>
    <t>animalitha</t>
  </si>
  <si>
    <t>/animaliθan/</t>
  </si>
  <si>
    <t>animalithan</t>
  </si>
  <si>
    <t>/animaliθaɾ/</t>
  </si>
  <si>
    <t>animalithar</t>
  </si>
  <si>
    <t>/animaliθaɾa/</t>
  </si>
  <si>
    <t>animalithara</t>
  </si>
  <si>
    <t>/animaliθaɾan/</t>
  </si>
  <si>
    <t>animalitharan</t>
  </si>
  <si>
    <t>/animaliθaɾas/</t>
  </si>
  <si>
    <t>animalitharas</t>
  </si>
  <si>
    <t>/animaliθas/</t>
  </si>
  <si>
    <t>animalithas</t>
  </si>
  <si>
    <t>/aɲaɣaθa/</t>
  </si>
  <si>
    <t>añakatha</t>
  </si>
  <si>
    <t>/aɲaɣaθas/</t>
  </si>
  <si>
    <t>añakathas</t>
  </si>
  <si>
    <t>/asaθ/</t>
  </si>
  <si>
    <t>asath</t>
  </si>
  <si>
    <t>/ataθiɾ/</t>
  </si>
  <si>
    <t>atathir</t>
  </si>
  <si>
    <t>/ataluθa/</t>
  </si>
  <si>
    <t>atalutha</t>
  </si>
  <si>
    <t>/ataluθan/</t>
  </si>
  <si>
    <t>ataluthan</t>
  </si>
  <si>
    <t>/ataluθaɾ/</t>
  </si>
  <si>
    <t>ataluthar</t>
  </si>
  <si>
    <t>/ataluθaɾa/</t>
  </si>
  <si>
    <t>ataluthara</t>
  </si>
  <si>
    <t>/ataluθaɾan/</t>
  </si>
  <si>
    <t>atalutharan</t>
  </si>
  <si>
    <t>/ataluθaɾas/</t>
  </si>
  <si>
    <t>atalutharas</t>
  </si>
  <si>
    <t>/ataluθas/</t>
  </si>
  <si>
    <t>ataluthas</t>
  </si>
  <si>
    <t>/atakiθa/</t>
  </si>
  <si>
    <t>atakitha</t>
  </si>
  <si>
    <t>/atakiθan/</t>
  </si>
  <si>
    <t>atakithan</t>
  </si>
  <si>
    <t>/atakiθaɾ/</t>
  </si>
  <si>
    <t>atakithar</t>
  </si>
  <si>
    <t>/atakiθaɾa/</t>
  </si>
  <si>
    <t>atakithara</t>
  </si>
  <si>
    <t>/atakiθaɾan/</t>
  </si>
  <si>
    <t>atakitharan</t>
  </si>
  <si>
    <t>/atakiθaɾas/</t>
  </si>
  <si>
    <t>atakitharas</t>
  </si>
  <si>
    <t>/atakiθas/</t>
  </si>
  <si>
    <t>atakithas</t>
  </si>
  <si>
    <t>/ataɾaθa/</t>
  </si>
  <si>
    <t>ataratha</t>
  </si>
  <si>
    <t>/ataɾaθan/</t>
  </si>
  <si>
    <t>atarathan</t>
  </si>
  <si>
    <t>/ataɾaθaɾ/</t>
  </si>
  <si>
    <t>atarathar</t>
  </si>
  <si>
    <t>/ataɾaθaɾa/</t>
  </si>
  <si>
    <t>atarathara</t>
  </si>
  <si>
    <t>/ataɾaθaɾan/</t>
  </si>
  <si>
    <t>ataratharan</t>
  </si>
  <si>
    <t>/ataɾaθaɾas/</t>
  </si>
  <si>
    <t>ataratharas</t>
  </si>
  <si>
    <t>/ataɾaθas/</t>
  </si>
  <si>
    <t>atarathas</t>
  </si>
  <si>
    <t>/atiθa/</t>
  </si>
  <si>
    <t>atitha</t>
  </si>
  <si>
    <t>/atiθan/</t>
  </si>
  <si>
    <t>atithan</t>
  </si>
  <si>
    <t>/atiθaɾ/</t>
  </si>
  <si>
    <t>atithar</t>
  </si>
  <si>
    <t>/atiθaɾa/</t>
  </si>
  <si>
    <t>atithara</t>
  </si>
  <si>
    <t>/atiθaɾan/</t>
  </si>
  <si>
    <t>atitharan</t>
  </si>
  <si>
    <t>/atiθaɾas/</t>
  </si>
  <si>
    <t>atitharas</t>
  </si>
  <si>
    <t>/atiθas/</t>
  </si>
  <si>
    <t>atithas</t>
  </si>
  <si>
    <t>/aθakana/</t>
  </si>
  <si>
    <t>athakana</t>
  </si>
  <si>
    <t>/aθakanas/</t>
  </si>
  <si>
    <t>athakanas</t>
  </si>
  <si>
    <t>/aθaɾ/</t>
  </si>
  <si>
    <t>athar</t>
  </si>
  <si>
    <t>/aθaɾa/</t>
  </si>
  <si>
    <t>athara</t>
  </si>
  <si>
    <t>/aθaɾan/</t>
  </si>
  <si>
    <t>atharan</t>
  </si>
  <si>
    <t>/aθaɾaɾ/</t>
  </si>
  <si>
    <t>atharar</t>
  </si>
  <si>
    <t>/aθaɾaɾa/</t>
  </si>
  <si>
    <t>atharara</t>
  </si>
  <si>
    <t>/aθaɾaɾan/</t>
  </si>
  <si>
    <t>athararan</t>
  </si>
  <si>
    <t>/aθaɾaɾas/</t>
  </si>
  <si>
    <t>athararas</t>
  </si>
  <si>
    <t>/aθaɾas/</t>
  </si>
  <si>
    <t>atharas</t>
  </si>
  <si>
    <t>/aθukaɾa/</t>
  </si>
  <si>
    <t>athukara</t>
  </si>
  <si>
    <t>/aθukaɾan/</t>
  </si>
  <si>
    <t>athukaran</t>
  </si>
  <si>
    <t>/aθukaɾaɾ/</t>
  </si>
  <si>
    <t>athukarar</t>
  </si>
  <si>
    <t>/aθukaɾaɾa/</t>
  </si>
  <si>
    <t>athukarara</t>
  </si>
  <si>
    <t>/aθukaɾaɾan/</t>
  </si>
  <si>
    <t>athukararan</t>
  </si>
  <si>
    <t>/aθukaɾaɾas/</t>
  </si>
  <si>
    <t>athukararas</t>
  </si>
  <si>
    <t>/aθukaɾas/</t>
  </si>
  <si>
    <t>athukaras</t>
  </si>
  <si>
    <t>/aθul/</t>
  </si>
  <si>
    <t>athul</t>
  </si>
  <si>
    <t>/aθula/</t>
  </si>
  <si>
    <t>athula</t>
  </si>
  <si>
    <t>/aθulan/</t>
  </si>
  <si>
    <t>athulan</t>
  </si>
  <si>
    <t>/aθulaɾ/</t>
  </si>
  <si>
    <t>athular</t>
  </si>
  <si>
    <t>/aθulaɾa/</t>
  </si>
  <si>
    <t>athulara</t>
  </si>
  <si>
    <t>/aθulaɾan/</t>
  </si>
  <si>
    <t>athularan</t>
  </si>
  <si>
    <t>/aθulaɾas/</t>
  </si>
  <si>
    <t>athularas</t>
  </si>
  <si>
    <t>/aθulas/</t>
  </si>
  <si>
    <t>athulas</t>
  </si>
  <si>
    <t>/aθulina/</t>
  </si>
  <si>
    <t>athulina</t>
  </si>
  <si>
    <t>/aθulinas/</t>
  </si>
  <si>
    <t>athulinas</t>
  </si>
  <si>
    <t>/aθuma/</t>
  </si>
  <si>
    <t>athuma</t>
  </si>
  <si>
    <t>/aθuman/</t>
  </si>
  <si>
    <t>athuman</t>
  </si>
  <si>
    <t>/aθumaɾ/</t>
  </si>
  <si>
    <t>athumar</t>
  </si>
  <si>
    <t>/aθumaɾa/</t>
  </si>
  <si>
    <t>athumara</t>
  </si>
  <si>
    <t>/aθumaɾan/</t>
  </si>
  <si>
    <t>athumaran</t>
  </si>
  <si>
    <t>/aθumaɾas/</t>
  </si>
  <si>
    <t>athumaras</t>
  </si>
  <si>
    <t>/aθumas/</t>
  </si>
  <si>
    <t>athumas</t>
  </si>
  <si>
    <t>/aθuɾ/</t>
  </si>
  <si>
    <t>athur</t>
  </si>
  <si>
    <t>/aθuɾita/</t>
  </si>
  <si>
    <t>athurita</t>
  </si>
  <si>
    <t>/aθuɾitas/</t>
  </si>
  <si>
    <t>athuritas</t>
  </si>
  <si>
    <t>/aθuθa/</t>
  </si>
  <si>
    <t>athutha</t>
  </si>
  <si>
    <t>/aθuθan/</t>
  </si>
  <si>
    <t>athuthan</t>
  </si>
  <si>
    <t>/aθuθaɾ/</t>
  </si>
  <si>
    <t>athuthar</t>
  </si>
  <si>
    <t>/aθuθaɾa/</t>
  </si>
  <si>
    <t>athuthara</t>
  </si>
  <si>
    <t>/aθuθaɾan/</t>
  </si>
  <si>
    <t>athutharan</t>
  </si>
  <si>
    <t>/aθuθaɾas/</t>
  </si>
  <si>
    <t>athutharas</t>
  </si>
  <si>
    <t>/aθuθas/</t>
  </si>
  <si>
    <t>athuthas</t>
  </si>
  <si>
    <t>/kaθikil/</t>
  </si>
  <si>
    <t>kathikil</t>
  </si>
  <si>
    <t>/kaliθa/</t>
  </si>
  <si>
    <t>kalitha</t>
  </si>
  <si>
    <t>/kaliθas/</t>
  </si>
  <si>
    <t>kalithas</t>
  </si>
  <si>
    <t>/kaʎiθa/</t>
  </si>
  <si>
    <t>kallitha</t>
  </si>
  <si>
    <t>/kaʎiθas/</t>
  </si>
  <si>
    <t>kallithas</t>
  </si>
  <si>
    <t>/kamaθa/</t>
  </si>
  <si>
    <t>kamatha</t>
  </si>
  <si>
    <t>/kamaθas/</t>
  </si>
  <si>
    <t>kamathas</t>
  </si>
  <si>
    <t>/kamuθa/</t>
  </si>
  <si>
    <t>kamutha</t>
  </si>
  <si>
    <t>/kamuθas/</t>
  </si>
  <si>
    <t>kamuthas</t>
  </si>
  <si>
    <t>/kanaliθa/</t>
  </si>
  <si>
    <t>kanalitha</t>
  </si>
  <si>
    <t>/kanaliθan/</t>
  </si>
  <si>
    <t>kanalithan</t>
  </si>
  <si>
    <t>/kanaliθaɾ/</t>
  </si>
  <si>
    <t>kanalithar</t>
  </si>
  <si>
    <t>/kanaliθaɾa/</t>
  </si>
  <si>
    <t>kanalithara</t>
  </si>
  <si>
    <t>/kanaliθaɾan/</t>
  </si>
  <si>
    <t>kanalitharan</t>
  </si>
  <si>
    <t>/kanaliθaɾas/</t>
  </si>
  <si>
    <t>kanalitharas</t>
  </si>
  <si>
    <t>/kanaliθas/</t>
  </si>
  <si>
    <t>kanalithas</t>
  </si>
  <si>
    <t>/kaɲiθa/</t>
  </si>
  <si>
    <t>kañitha</t>
  </si>
  <si>
    <t>/kaɲiθal/</t>
  </si>
  <si>
    <t>kañithal</t>
  </si>
  <si>
    <t>/kaɲiθaɾ/</t>
  </si>
  <si>
    <t>kañithar</t>
  </si>
  <si>
    <t>/kaɲiθas/</t>
  </si>
  <si>
    <t>kañithas</t>
  </si>
  <si>
    <t>/kapaθita/</t>
  </si>
  <si>
    <t>kapathita</t>
  </si>
  <si>
    <t>/kapaθitan/</t>
  </si>
  <si>
    <t>kapathitan</t>
  </si>
  <si>
    <t>/kapaθitaɾ/</t>
  </si>
  <si>
    <t>kapathitar</t>
  </si>
  <si>
    <t>/kapaθitaɾa/</t>
  </si>
  <si>
    <t>kapathitara</t>
  </si>
  <si>
    <t>/kapaθitaɾan/</t>
  </si>
  <si>
    <t>kapathitaran</t>
  </si>
  <si>
    <t>/kapaθitaɾas/</t>
  </si>
  <si>
    <t>kapathitaras</t>
  </si>
  <si>
    <t>/kapaθitas/</t>
  </si>
  <si>
    <t>kapathitas</t>
  </si>
  <si>
    <t>/kapataθ/</t>
  </si>
  <si>
    <t>kapatath</t>
  </si>
  <si>
    <t>/kapataθa/</t>
  </si>
  <si>
    <t>kapatatha</t>
  </si>
  <si>
    <t>/kapataθas/</t>
  </si>
  <si>
    <t>kapatathas</t>
  </si>
  <si>
    <t>/kapaθ/</t>
  </si>
  <si>
    <t>kapath</t>
  </si>
  <si>
    <t>/kapitaliθa/</t>
  </si>
  <si>
    <t>kapitalitha</t>
  </si>
  <si>
    <t>/kapitaliθan/</t>
  </si>
  <si>
    <t>kapitalithan</t>
  </si>
  <si>
    <t>/kapitaliθaɾ/</t>
  </si>
  <si>
    <t>kapitalithar</t>
  </si>
  <si>
    <t>/kapitaliθaɾa/</t>
  </si>
  <si>
    <t>kapitalithara</t>
  </si>
  <si>
    <t>/kapitaliθaɾan/</t>
  </si>
  <si>
    <t>kapitalitharan</t>
  </si>
  <si>
    <t>/kapitaliθaɾas/</t>
  </si>
  <si>
    <t>kapitalitharas</t>
  </si>
  <si>
    <t>/kapitaliθas/</t>
  </si>
  <si>
    <t>kapitalithas</t>
  </si>
  <si>
    <t>/kaɾamuθa/</t>
  </si>
  <si>
    <t>karamutha</t>
  </si>
  <si>
    <t>/kaɾikatuɾiθa/</t>
  </si>
  <si>
    <t>karikaturitha</t>
  </si>
  <si>
    <t>/kaɾikatuɾiθan/</t>
  </si>
  <si>
    <t>karikaturithan</t>
  </si>
  <si>
    <t>/kaɾikatuɾiθaɾ/</t>
  </si>
  <si>
    <t>karikaturithar</t>
  </si>
  <si>
    <t>/kaɾikatuɾiθaɾa/</t>
  </si>
  <si>
    <t>karikaturithara</t>
  </si>
  <si>
    <t>/kaɾikatuɾiθaɾan/</t>
  </si>
  <si>
    <t>karikaturitharan</t>
  </si>
  <si>
    <t>/kaɾikatuɾiθaɾas/</t>
  </si>
  <si>
    <t>karikaturitharas</t>
  </si>
  <si>
    <t>/kaɾikatuɾiθas/</t>
  </si>
  <si>
    <t>karikaturithas</t>
  </si>
  <si>
    <t>/kaɾiθ/</t>
  </si>
  <si>
    <t>karith</t>
  </si>
  <si>
    <t>/kaθ/</t>
  </si>
  <si>
    <t>kath</t>
  </si>
  <si>
    <t>/kaθa/</t>
  </si>
  <si>
    <t>katha</t>
  </si>
  <si>
    <t>/kaθan/</t>
  </si>
  <si>
    <t>kathan</t>
  </si>
  <si>
    <t>/kaθaɾ/</t>
  </si>
  <si>
    <t>kathar</t>
  </si>
  <si>
    <t>/kaθaɾa/</t>
  </si>
  <si>
    <t>kathara</t>
  </si>
  <si>
    <t>/kaθaɾan/</t>
  </si>
  <si>
    <t>katharan</t>
  </si>
  <si>
    <t>/kaθaɾas/</t>
  </si>
  <si>
    <t>katharas</t>
  </si>
  <si>
    <t>/kaθas/</t>
  </si>
  <si>
    <t>kathas</t>
  </si>
  <si>
    <t>/θikuta/</t>
  </si>
  <si>
    <t>thikuta</t>
  </si>
  <si>
    <t>/θikutas/</t>
  </si>
  <si>
    <t>thikutas</t>
  </si>
  <si>
    <t>/θikutina/</t>
  </si>
  <si>
    <t>thikutina</t>
  </si>
  <si>
    <t>/θikutinas/</t>
  </si>
  <si>
    <t>thikutinas</t>
  </si>
  <si>
    <t>/θiɣala/</t>
  </si>
  <si>
    <t>thikala</t>
  </si>
  <si>
    <t>/θiɣalas/</t>
  </si>
  <si>
    <t>thikalas</t>
  </si>
  <si>
    <t>/θima/</t>
  </si>
  <si>
    <t>thima</t>
  </si>
  <si>
    <t>/θimas/</t>
  </si>
  <si>
    <t>thimas</t>
  </si>
  <si>
    <t>/θiɲa/</t>
  </si>
  <si>
    <t>thiña</t>
  </si>
  <si>
    <t>/θiɲan/</t>
  </si>
  <si>
    <t>thiñan</t>
  </si>
  <si>
    <t>/θiɲas/</t>
  </si>
  <si>
    <t>thiñas</t>
  </si>
  <si>
    <t>/θikiɾikata/</t>
  </si>
  <si>
    <t>thikirikata</t>
  </si>
  <si>
    <t>/θikiɾikatas/</t>
  </si>
  <si>
    <t>thikirikatas</t>
  </si>
  <si>
    <t>/θiɾuxana/</t>
  </si>
  <si>
    <t>thirukana</t>
  </si>
  <si>
    <t>/θiɾuxanas/</t>
  </si>
  <si>
    <t>thirukanas</t>
  </si>
  <si>
    <t>/θisuɾa/</t>
  </si>
  <si>
    <t>thisura</t>
  </si>
  <si>
    <t>/θisuɾas/</t>
  </si>
  <si>
    <t>thisuras</t>
  </si>
  <si>
    <t>/θita/</t>
  </si>
  <si>
    <t>thita</t>
  </si>
  <si>
    <t>/θitan/</t>
  </si>
  <si>
    <t>thitan</t>
  </si>
  <si>
    <t>/θitana/</t>
  </si>
  <si>
    <t>thitana</t>
  </si>
  <si>
    <t>/θitanas/</t>
  </si>
  <si>
    <t>thitanas</t>
  </si>
  <si>
    <t>/θitaɾ/</t>
  </si>
  <si>
    <t>thitar</t>
  </si>
  <si>
    <t>/θitaɾa/</t>
  </si>
  <si>
    <t>thitara</t>
  </si>
  <si>
    <t>/θitaɾan/</t>
  </si>
  <si>
    <t>thitaran</t>
  </si>
  <si>
    <t>/θitaɾas/</t>
  </si>
  <si>
    <t>thitaras</t>
  </si>
  <si>
    <t>/θitaɾiʎa/</t>
  </si>
  <si>
    <t>thitarilla</t>
  </si>
  <si>
    <t>/θitaɾiʎas/</t>
  </si>
  <si>
    <t>thitarillas</t>
  </si>
  <si>
    <t>/θitas/</t>
  </si>
  <si>
    <t>thitas</t>
  </si>
  <si>
    <t>/θiθaʎa/</t>
  </si>
  <si>
    <t>thithalla</t>
  </si>
  <si>
    <t>/θiθaʎan/</t>
  </si>
  <si>
    <t>thithallan</t>
  </si>
  <si>
    <t>/θiθaʎaɾ/</t>
  </si>
  <si>
    <t>thithallar</t>
  </si>
  <si>
    <t>/θiθaʎaɾa/</t>
  </si>
  <si>
    <t>thithallara</t>
  </si>
  <si>
    <t>/θiθaʎaɾan/</t>
  </si>
  <si>
    <t>thithallaran</t>
  </si>
  <si>
    <t>/θiθaʎaɾas/</t>
  </si>
  <si>
    <t>thithallaras</t>
  </si>
  <si>
    <t>/θiθaʎas/</t>
  </si>
  <si>
    <t>thithallas</t>
  </si>
  <si>
    <t>/θiθaɲa/</t>
  </si>
  <si>
    <t>thithaña</t>
  </si>
  <si>
    <t>/θiθaɲan/</t>
  </si>
  <si>
    <t>thithañan</t>
  </si>
  <si>
    <t>/θiθaɲaɾ/</t>
  </si>
  <si>
    <t>thithañar</t>
  </si>
  <si>
    <t>/θiθaɲaɾa/</t>
  </si>
  <si>
    <t>thithañara</t>
  </si>
  <si>
    <t>/θiθaɲaɾan/</t>
  </si>
  <si>
    <t>thithañaran</t>
  </si>
  <si>
    <t>/θiθaɲaɾas/</t>
  </si>
  <si>
    <t>thithañaras</t>
  </si>
  <si>
    <t>/θiθaɲas/</t>
  </si>
  <si>
    <t>thithañas</t>
  </si>
  <si>
    <t>/aθina/</t>
  </si>
  <si>
    <t>athina</t>
  </si>
  <si>
    <t>/aθinan/</t>
  </si>
  <si>
    <t>athinan</t>
  </si>
  <si>
    <t>/aθinaɾ/</t>
  </si>
  <si>
    <t>athinar</t>
  </si>
  <si>
    <t>/aθinaɾa/</t>
  </si>
  <si>
    <t>athinara</t>
  </si>
  <si>
    <t>/aθinaɾan/</t>
  </si>
  <si>
    <t>athinaran</t>
  </si>
  <si>
    <t>/aθinaɾas/</t>
  </si>
  <si>
    <t>athinaras</t>
  </si>
  <si>
    <t>/aθinas/</t>
  </si>
  <si>
    <t>athinas</t>
  </si>
  <si>
    <t>/aθ/</t>
  </si>
  <si>
    <t>ath</t>
  </si>
  <si>
    <t>/aθa/</t>
  </si>
  <si>
    <t>atha</t>
  </si>
  <si>
    <t>/aθana/</t>
  </si>
  <si>
    <t>athana</t>
  </si>
  <si>
    <t>/aθanas/</t>
  </si>
  <si>
    <t>athanas</t>
  </si>
  <si>
    <t>/aθaɲa/</t>
  </si>
  <si>
    <t>athaña</t>
  </si>
  <si>
    <t>/aθaɲas/</t>
  </si>
  <si>
    <t>athañas</t>
  </si>
  <si>
    <t>/aθas/</t>
  </si>
  <si>
    <t>athas</t>
  </si>
  <si>
    <t>/ilaθa/</t>
  </si>
  <si>
    <t>ilatha</t>
  </si>
  <si>
    <t>/ilaθas/</t>
  </si>
  <si>
    <t>ilathas</t>
  </si>
  <si>
    <t>/umaniθa/</t>
  </si>
  <si>
    <t>umanitha</t>
  </si>
  <si>
    <t>/umaniθan/</t>
  </si>
  <si>
    <t>umanithan</t>
  </si>
  <si>
    <t>/umaniθaɾ/</t>
  </si>
  <si>
    <t>umanithar</t>
  </si>
  <si>
    <t>/umaniθaɾa/</t>
  </si>
  <si>
    <t>umanithara</t>
  </si>
  <si>
    <t>/umaniθaɾan/</t>
  </si>
  <si>
    <t>umanitharan</t>
  </si>
  <si>
    <t>/umaniθaɾas/</t>
  </si>
  <si>
    <t>umanitharas</t>
  </si>
  <si>
    <t>/umaniθas/</t>
  </si>
  <si>
    <t>umanithas</t>
  </si>
  <si>
    <t>/umaθa/</t>
  </si>
  <si>
    <t>umatha</t>
  </si>
  <si>
    <t>/umaθas/</t>
  </si>
  <si>
    <t>umathas</t>
  </si>
  <si>
    <t>/iliθitana/</t>
  </si>
  <si>
    <t>ilithitana</t>
  </si>
  <si>
    <t>/iliθitanas/</t>
  </si>
  <si>
    <t>ilithitanas</t>
  </si>
  <si>
    <t>/inutiliθa/</t>
  </si>
  <si>
    <t>inutilitha</t>
  </si>
  <si>
    <t>/inutiliθan/</t>
  </si>
  <si>
    <t>inutilithan</t>
  </si>
  <si>
    <t>/inutiliθaɾ/</t>
  </si>
  <si>
    <t>inutilithar</t>
  </si>
  <si>
    <t>/inutiliθaɾa/</t>
  </si>
  <si>
    <t>inutilithara</t>
  </si>
  <si>
    <t>/inutiliθaɾan/</t>
  </si>
  <si>
    <t>inutilitharan</t>
  </si>
  <si>
    <t>/inutiliθaɾas/</t>
  </si>
  <si>
    <t>inutilitharas</t>
  </si>
  <si>
    <t>/inutiliθas/</t>
  </si>
  <si>
    <t>inutilithas</t>
  </si>
  <si>
    <t>/iθa/</t>
  </si>
  <si>
    <t>itha</t>
  </si>
  <si>
    <t>/iθan/</t>
  </si>
  <si>
    <t>ithan</t>
  </si>
  <si>
    <t>/iθaɾ/</t>
  </si>
  <si>
    <t>ithar</t>
  </si>
  <si>
    <t>/iθaɾa/</t>
  </si>
  <si>
    <t>ithara</t>
  </si>
  <si>
    <t>/iθaɾan/</t>
  </si>
  <si>
    <t>itharan</t>
  </si>
  <si>
    <t>/iθaɾas/</t>
  </si>
  <si>
    <t>itharas</t>
  </si>
  <si>
    <t>/iθas/</t>
  </si>
  <si>
    <t>ithas</t>
  </si>
  <si>
    <t>/xaθaɾina/</t>
  </si>
  <si>
    <t>katharina</t>
  </si>
  <si>
    <t>/xaθaɾinas/</t>
  </si>
  <si>
    <t>katharinas</t>
  </si>
  <si>
    <t>/lapiθa/</t>
  </si>
  <si>
    <t>lapitha</t>
  </si>
  <si>
    <t>/lapiθan/</t>
  </si>
  <si>
    <t>lapithan</t>
  </si>
  <si>
    <t>/lapiθaɾ/</t>
  </si>
  <si>
    <t>lapithar</t>
  </si>
  <si>
    <t>/lapiθaɾa/</t>
  </si>
  <si>
    <t>lapithara</t>
  </si>
  <si>
    <t>/lapiθaɾan/</t>
  </si>
  <si>
    <t>lapitharan</t>
  </si>
  <si>
    <t>/lapiθaɾas/</t>
  </si>
  <si>
    <t>lapitharas</t>
  </si>
  <si>
    <t>/lapiθas/</t>
  </si>
  <si>
    <t>lapithas</t>
  </si>
  <si>
    <t>/laɾiθina/</t>
  </si>
  <si>
    <t>larithina</t>
  </si>
  <si>
    <t>/laɾiθinas/</t>
  </si>
  <si>
    <t>larithinas</t>
  </si>
  <si>
    <t>/lataθ/</t>
  </si>
  <si>
    <t>latath</t>
  </si>
  <si>
    <t>/latiniθa/</t>
  </si>
  <si>
    <t>latinitha</t>
  </si>
  <si>
    <t>/latiniθan/</t>
  </si>
  <si>
    <t>latinithan</t>
  </si>
  <si>
    <t>/latiniθaɾ/</t>
  </si>
  <si>
    <t>latinithar</t>
  </si>
  <si>
    <t>/latiniθaɾa/</t>
  </si>
  <si>
    <t>latinithara</t>
  </si>
  <si>
    <t>/latiniθaɾan/</t>
  </si>
  <si>
    <t>latinitharan</t>
  </si>
  <si>
    <t>/latiniθaɾas/</t>
  </si>
  <si>
    <t>latinitharas</t>
  </si>
  <si>
    <t>/latiniθas/</t>
  </si>
  <si>
    <t>latinithas</t>
  </si>
  <si>
    <t>/laθa/</t>
  </si>
  <si>
    <t>latha</t>
  </si>
  <si>
    <t>/laθan/</t>
  </si>
  <si>
    <t>lathan</t>
  </si>
  <si>
    <t>/laθaɾ/</t>
  </si>
  <si>
    <t>lathar</t>
  </si>
  <si>
    <t>/laθaɾa/</t>
  </si>
  <si>
    <t>lathara</t>
  </si>
  <si>
    <t>/laθaɾan/</t>
  </si>
  <si>
    <t>latharan</t>
  </si>
  <si>
    <t>/laθaɾas/</t>
  </si>
  <si>
    <t>latharas</t>
  </si>
  <si>
    <t>/laθaɾina/</t>
  </si>
  <si>
    <t>latharina</t>
  </si>
  <si>
    <t>/laθaɾinas/</t>
  </si>
  <si>
    <t>latharinas</t>
  </si>
  <si>
    <t>/laθas/</t>
  </si>
  <si>
    <t>lathas</t>
  </si>
  <si>
    <t>/laθulita/</t>
  </si>
  <si>
    <t>lathulita</t>
  </si>
  <si>
    <t>/laθulitas/</t>
  </si>
  <si>
    <t>lathulitas</t>
  </si>
  <si>
    <t>/liθita/</t>
  </si>
  <si>
    <t>lithita</t>
  </si>
  <si>
    <t>/liθitan/</t>
  </si>
  <si>
    <t>lithitan</t>
  </si>
  <si>
    <t>/liθitaɾ/</t>
  </si>
  <si>
    <t>lithitar</t>
  </si>
  <si>
    <t>/liθitaɾa/</t>
  </si>
  <si>
    <t>lithitara</t>
  </si>
  <si>
    <t>/liθitaɾan/</t>
  </si>
  <si>
    <t>lithitaran</t>
  </si>
  <si>
    <t>/liθitaɾas/</t>
  </si>
  <si>
    <t>lithitaras</t>
  </si>
  <si>
    <t>/liθitas/</t>
  </si>
  <si>
    <t>lithitas</t>
  </si>
  <si>
    <t>/liɣamaθa/</t>
  </si>
  <si>
    <t>likamatha</t>
  </si>
  <si>
    <t>/liɣamaθas/</t>
  </si>
  <si>
    <t>likamathas</t>
  </si>
  <si>
    <t>/limaθa/</t>
  </si>
  <si>
    <t>limatha</t>
  </si>
  <si>
    <t>/limaθas/</t>
  </si>
  <si>
    <t>limathas</t>
  </si>
  <si>
    <t>/linaθa/</t>
  </si>
  <si>
    <t>linatha</t>
  </si>
  <si>
    <t>/linaθas/</t>
  </si>
  <si>
    <t>linathas</t>
  </si>
  <si>
    <t>/liθa/</t>
  </si>
  <si>
    <t>litha</t>
  </si>
  <si>
    <t>/liθas/</t>
  </si>
  <si>
    <t>lithas</t>
  </si>
  <si>
    <t>/luθilina/</t>
  </si>
  <si>
    <t>luthilina</t>
  </si>
  <si>
    <t>/luθilinas/</t>
  </si>
  <si>
    <t>luthilinas</t>
  </si>
  <si>
    <t>/luθiɾ/</t>
  </si>
  <si>
    <t>luthir</t>
  </si>
  <si>
    <t>/luθ/</t>
  </si>
  <si>
    <t>luth</t>
  </si>
  <si>
    <t>/maθis/</t>
  </si>
  <si>
    <t>mathis</t>
  </si>
  <si>
    <t>/maθiθa/</t>
  </si>
  <si>
    <t>mathitha</t>
  </si>
  <si>
    <t>/maθiθan/</t>
  </si>
  <si>
    <t>mathithan</t>
  </si>
  <si>
    <t>/maθiθaɾ/</t>
  </si>
  <si>
    <t>mathithar</t>
  </si>
  <si>
    <t>/maθiθaɾa/</t>
  </si>
  <si>
    <t>mathithara</t>
  </si>
  <si>
    <t>/maθiθaɾan/</t>
  </si>
  <si>
    <t>mathitharan</t>
  </si>
  <si>
    <t>/maθiθaɾas/</t>
  </si>
  <si>
    <t>mathitharas</t>
  </si>
  <si>
    <t>/maθiθas/</t>
  </si>
  <si>
    <t>mathithas</t>
  </si>
  <si>
    <t>/malaθitana/</t>
  </si>
  <si>
    <t>malathitana</t>
  </si>
  <si>
    <t>/malaθitanas/</t>
  </si>
  <si>
    <t>malathitanas</t>
  </si>
  <si>
    <t>/manaθa/</t>
  </si>
  <si>
    <t>manatha</t>
  </si>
  <si>
    <t>/manaθas/</t>
  </si>
  <si>
    <t>manathas</t>
  </si>
  <si>
    <t>/maɾiθa/</t>
  </si>
  <si>
    <t>maritha</t>
  </si>
  <si>
    <t>/maɾiθan/</t>
  </si>
  <si>
    <t>marithan</t>
  </si>
  <si>
    <t>/maɾiθaɾ/</t>
  </si>
  <si>
    <t>marithar</t>
  </si>
  <si>
    <t>/maɾiθaɾa/</t>
  </si>
  <si>
    <t>marithara</t>
  </si>
  <si>
    <t>/maɾiθaɾan/</t>
  </si>
  <si>
    <t>maritharan</t>
  </si>
  <si>
    <t>/maɾiθaɾas/</t>
  </si>
  <si>
    <t>maritharas</t>
  </si>
  <si>
    <t>/maɾiθas/</t>
  </si>
  <si>
    <t>marithas</t>
  </si>
  <si>
    <t>/matiθ/</t>
  </si>
  <si>
    <t>matith</t>
  </si>
  <si>
    <t>/matiθa/</t>
  </si>
  <si>
    <t>matitha</t>
  </si>
  <si>
    <t>/matiθan/</t>
  </si>
  <si>
    <t>matithan</t>
  </si>
  <si>
    <t>/matiθaɾ/</t>
  </si>
  <si>
    <t>matithar</t>
  </si>
  <si>
    <t>/matiθaɾa/</t>
  </si>
  <si>
    <t>matithara</t>
  </si>
  <si>
    <t>/matiθaɾan/</t>
  </si>
  <si>
    <t>matitharan</t>
  </si>
  <si>
    <t>/matiθaɾas/</t>
  </si>
  <si>
    <t>matitharas</t>
  </si>
  <si>
    <t>/matiθas/</t>
  </si>
  <si>
    <t>matithas</t>
  </si>
  <si>
    <t>/maθa/</t>
  </si>
  <si>
    <t>matha</t>
  </si>
  <si>
    <t>/maθan/</t>
  </si>
  <si>
    <t>mathan</t>
  </si>
  <si>
    <t>/maθaɾ/</t>
  </si>
  <si>
    <t>mathar</t>
  </si>
  <si>
    <t>/maθaɾa/</t>
  </si>
  <si>
    <t>mathara</t>
  </si>
  <si>
    <t>/maθaɾan/</t>
  </si>
  <si>
    <t>matharan</t>
  </si>
  <si>
    <t>/maθaɾas/</t>
  </si>
  <si>
    <t>matharas</t>
  </si>
  <si>
    <t>/maθas/</t>
  </si>
  <si>
    <t>mathas</t>
  </si>
  <si>
    <t>/mikaθita/</t>
  </si>
  <si>
    <t>mikathita</t>
  </si>
  <si>
    <t>/mikaθitas/</t>
  </si>
  <si>
    <t>mikathitas</t>
  </si>
  <si>
    <t>/militaɾiθa/</t>
  </si>
  <si>
    <t>militaritha</t>
  </si>
  <si>
    <t>/militaɾiθan/</t>
  </si>
  <si>
    <t>militarithan</t>
  </si>
  <si>
    <t>/militaɾiθaɾ/</t>
  </si>
  <si>
    <t>militarithar</t>
  </si>
  <si>
    <t>/militaɾiθaɾa/</t>
  </si>
  <si>
    <t>militarithara</t>
  </si>
  <si>
    <t>/militaɾiθaɾan/</t>
  </si>
  <si>
    <t>militaritharan</t>
  </si>
  <si>
    <t>/militaɾiθaɾas/</t>
  </si>
  <si>
    <t>militaritharas</t>
  </si>
  <si>
    <t>/militaɾiθas/</t>
  </si>
  <si>
    <t>militarithas</t>
  </si>
  <si>
    <t>/minimiθa/</t>
  </si>
  <si>
    <t>minimitha</t>
  </si>
  <si>
    <t>/minimiθan/</t>
  </si>
  <si>
    <t>minimithan</t>
  </si>
  <si>
    <t>/minimiθaɾ/</t>
  </si>
  <si>
    <t>minimithar</t>
  </si>
  <si>
    <t>/minimiθaɾa/</t>
  </si>
  <si>
    <t>minimithara</t>
  </si>
  <si>
    <t>/minimiθaɾan/</t>
  </si>
  <si>
    <t>minimitharan</t>
  </si>
  <si>
    <t>/minimiθaɾas/</t>
  </si>
  <si>
    <t>minimitharas</t>
  </si>
  <si>
    <t>/minimiθas/</t>
  </si>
  <si>
    <t>minimithas</t>
  </si>
  <si>
    <t>/miθ/</t>
  </si>
  <si>
    <t>mith</t>
  </si>
  <si>
    <t>/miθa/</t>
  </si>
  <si>
    <t>mitha</t>
  </si>
  <si>
    <t>/miθas/</t>
  </si>
  <si>
    <t>mithas</t>
  </si>
  <si>
    <t>/mulatiθa/</t>
  </si>
  <si>
    <t>mulatitha</t>
  </si>
  <si>
    <t>/mulatiθan/</t>
  </si>
  <si>
    <t>mulatithan</t>
  </si>
  <si>
    <t>/mulatiθaɾ/</t>
  </si>
  <si>
    <t>mulatithar</t>
  </si>
  <si>
    <t>/mulatiθaɾa/</t>
  </si>
  <si>
    <t>mulatithara</t>
  </si>
  <si>
    <t>/mulatiθaɾan/</t>
  </si>
  <si>
    <t>mulatitharan</t>
  </si>
  <si>
    <t>/mulatiθaɾas/</t>
  </si>
  <si>
    <t>mulatitharas</t>
  </si>
  <si>
    <t>/mulatiθas/</t>
  </si>
  <si>
    <t>mulatithas</t>
  </si>
  <si>
    <t>/muniθipal/</t>
  </si>
  <si>
    <t>munithipal</t>
  </si>
  <si>
    <t>/muniθipaliθa/</t>
  </si>
  <si>
    <t>munithipalitha</t>
  </si>
  <si>
    <t>/muniθipaliθan/</t>
  </si>
  <si>
    <t>munithipalithan</t>
  </si>
  <si>
    <t>/muniθipaliθaɾ/</t>
  </si>
  <si>
    <t>munithipalithar</t>
  </si>
  <si>
    <t>/muniθipaliθaɾa/</t>
  </si>
  <si>
    <t>munithipalithara</t>
  </si>
  <si>
    <t>/muniθipaliθaɾan/</t>
  </si>
  <si>
    <t>munithipalitharan</t>
  </si>
  <si>
    <t>/muniθipaliθaɾas/</t>
  </si>
  <si>
    <t>munithipalitharas</t>
  </si>
  <si>
    <t>/muniθipaliθas/</t>
  </si>
  <si>
    <t>munithipalithas</t>
  </si>
  <si>
    <t>/muθ/</t>
  </si>
  <si>
    <t>muth</t>
  </si>
  <si>
    <t>/naɾiθ/</t>
  </si>
  <si>
    <t>narith</t>
  </si>
  <si>
    <t>/nasaliθa/</t>
  </si>
  <si>
    <t>nasalitha</t>
  </si>
  <si>
    <t>/nasaliθan/</t>
  </si>
  <si>
    <t>nasalithan</t>
  </si>
  <si>
    <t>/nasaliθaɾ/</t>
  </si>
  <si>
    <t>nasalithar</t>
  </si>
  <si>
    <t>/nasaliθaɾa/</t>
  </si>
  <si>
    <t>nasalithara</t>
  </si>
  <si>
    <t>/nasaliθaɾan/</t>
  </si>
  <si>
    <t>nasalitharan</t>
  </si>
  <si>
    <t>/nasaliθaɾas/</t>
  </si>
  <si>
    <t>nasalitharas</t>
  </si>
  <si>
    <t>/nasaliθas/</t>
  </si>
  <si>
    <t>nasalithas</t>
  </si>
  <si>
    <t>/natuɾaliθa/</t>
  </si>
  <si>
    <t>naturalitha</t>
  </si>
  <si>
    <t>/natuɾaliθan/</t>
  </si>
  <si>
    <t>naturalithan</t>
  </si>
  <si>
    <t>/natuɾaliθaɾ/</t>
  </si>
  <si>
    <t>naturalithar</t>
  </si>
  <si>
    <t>/natuɾaliθaɾa/</t>
  </si>
  <si>
    <t>naturalithara</t>
  </si>
  <si>
    <t>/natuɾaliθaɾan/</t>
  </si>
  <si>
    <t>naturalitharan</t>
  </si>
  <si>
    <t>/natuɾaliθaɾas/</t>
  </si>
  <si>
    <t>naturalitharas</t>
  </si>
  <si>
    <t>/natuɾaliθas/</t>
  </si>
  <si>
    <t>naturalithas</t>
  </si>
  <si>
    <t>/naθaɾita/</t>
  </si>
  <si>
    <t>natharita</t>
  </si>
  <si>
    <t>/naθaɾitas/</t>
  </si>
  <si>
    <t>natharitas</t>
  </si>
  <si>
    <t>/paɣaniθa/</t>
  </si>
  <si>
    <t>pakanitha</t>
  </si>
  <si>
    <t>/paɣaniθan/</t>
  </si>
  <si>
    <t>pakanithan</t>
  </si>
  <si>
    <t>/paɣaniθaɾ/</t>
  </si>
  <si>
    <t>pakanithar</t>
  </si>
  <si>
    <t>/paɣaniθaɾa/</t>
  </si>
  <si>
    <t>pakanithara</t>
  </si>
  <si>
    <t>/paɣaniθaɾan/</t>
  </si>
  <si>
    <t>pakanitharan</t>
  </si>
  <si>
    <t>/paɣaniθaɾas/</t>
  </si>
  <si>
    <t>pakanitharas</t>
  </si>
  <si>
    <t>/paɣaniθas/</t>
  </si>
  <si>
    <t>pakanithas</t>
  </si>
  <si>
    <t>/paxaθa/</t>
  </si>
  <si>
    <t>pakatha</t>
  </si>
  <si>
    <t>/paxaθas/</t>
  </si>
  <si>
    <t>pakathas</t>
  </si>
  <si>
    <t>/palataliθa/</t>
  </si>
  <si>
    <t>palatalitha</t>
  </si>
  <si>
    <t>/palataliθan/</t>
  </si>
  <si>
    <t>palatalithan</t>
  </si>
  <si>
    <t>/palataliθaɾ/</t>
  </si>
  <si>
    <t>palatalithar</t>
  </si>
  <si>
    <t>/palataliθaɾa/</t>
  </si>
  <si>
    <t>palatalithara</t>
  </si>
  <si>
    <t>/palataliθaɾan/</t>
  </si>
  <si>
    <t>palatalitharan</t>
  </si>
  <si>
    <t>/palataliθaɾas/</t>
  </si>
  <si>
    <t>palatalitharas</t>
  </si>
  <si>
    <t>/palataliθas/</t>
  </si>
  <si>
    <t>palatalithas</t>
  </si>
  <si>
    <t>/paliθa/</t>
  </si>
  <si>
    <t>palitha</t>
  </si>
  <si>
    <t>/paliθas/</t>
  </si>
  <si>
    <t>palithas</t>
  </si>
  <si>
    <t>/paɾaliθa/</t>
  </si>
  <si>
    <t>paralitha</t>
  </si>
  <si>
    <t>/paɾaliθan/</t>
  </si>
  <si>
    <t>paralithan</t>
  </si>
  <si>
    <t>/paɾaliθaɾ/</t>
  </si>
  <si>
    <t>paralithar</t>
  </si>
  <si>
    <t>/paɾaliθaɾa/</t>
  </si>
  <si>
    <t>paralithara</t>
  </si>
  <si>
    <t>/paɾaliθaɾan/</t>
  </si>
  <si>
    <t>paralitharan</t>
  </si>
  <si>
    <t>/paɾaliθaɾas/</t>
  </si>
  <si>
    <t>paralitharas</t>
  </si>
  <si>
    <t>/paɾaliθas/</t>
  </si>
  <si>
    <t>paralithas</t>
  </si>
  <si>
    <t>/paθ/</t>
  </si>
  <si>
    <t>/paθa/</t>
  </si>
  <si>
    <t>patha</t>
  </si>
  <si>
    <t>/paθan/</t>
  </si>
  <si>
    <t>pathan</t>
  </si>
  <si>
    <t>/paθas/</t>
  </si>
  <si>
    <t>pathas</t>
  </si>
  <si>
    <t>/pikaɾaθa/</t>
  </si>
  <si>
    <t>pikaratha</t>
  </si>
  <si>
    <t>/pikaɾaθas/</t>
  </si>
  <si>
    <t>pikarathas</t>
  </si>
  <si>
    <t>/pikaɾiθa/</t>
  </si>
  <si>
    <t>pikaritha</t>
  </si>
  <si>
    <t>/pikaɾiθan/</t>
  </si>
  <si>
    <t>pikarithan</t>
  </si>
  <si>
    <t>/pikaɾiθaɾ/</t>
  </si>
  <si>
    <t>pikarithar</t>
  </si>
  <si>
    <t>/pikaɾiθaɾa/</t>
  </si>
  <si>
    <t>pikarithara</t>
  </si>
  <si>
    <t>/pikaɾiθaɾan/</t>
  </si>
  <si>
    <t>pikaritharan</t>
  </si>
  <si>
    <t>/pikaɾiθaɾas/</t>
  </si>
  <si>
    <t>pikaritharas</t>
  </si>
  <si>
    <t>/pikaɾiθas/</t>
  </si>
  <si>
    <t>pikarithas</t>
  </si>
  <si>
    <t>/pinaθa/</t>
  </si>
  <si>
    <t>pinatha</t>
  </si>
  <si>
    <t>/pinaθas/</t>
  </si>
  <si>
    <t>pinathas</t>
  </si>
  <si>
    <t>/saθiɲa/</t>
  </si>
  <si>
    <t>sathiña</t>
  </si>
  <si>
    <t>/saθiɲas/</t>
  </si>
  <si>
    <t>sathiñas</t>
  </si>
  <si>
    <t>/saɣaθ/</t>
  </si>
  <si>
    <t>sakath</t>
  </si>
  <si>
    <t>/salaθ/</t>
  </si>
  <si>
    <t>salath</t>
  </si>
  <si>
    <t>/saliθina/</t>
  </si>
  <si>
    <t>salithina</t>
  </si>
  <si>
    <t>/saliθinas/</t>
  </si>
  <si>
    <t>salithinas</t>
  </si>
  <si>
    <t>/satiɾiθa/</t>
  </si>
  <si>
    <t>satiritha</t>
  </si>
  <si>
    <t>/satiɾiθan/</t>
  </si>
  <si>
    <t>satirithan</t>
  </si>
  <si>
    <t>/satiɾiθaɾ/</t>
  </si>
  <si>
    <t>satirithar</t>
  </si>
  <si>
    <t>/satiɾiθaɾa/</t>
  </si>
  <si>
    <t>satirithara</t>
  </si>
  <si>
    <t>/satiɾiθaɾan/</t>
  </si>
  <si>
    <t>satiritharan</t>
  </si>
  <si>
    <t>/satiɾiθaɾas/</t>
  </si>
  <si>
    <t>satiritharas</t>
  </si>
  <si>
    <t>/satiɾiθas/</t>
  </si>
  <si>
    <t>satirithas</t>
  </si>
  <si>
    <t>/saθ/</t>
  </si>
  <si>
    <t>sath</t>
  </si>
  <si>
    <t>/sutiliθa/</t>
  </si>
  <si>
    <t>sutilitha</t>
  </si>
  <si>
    <t>/sutiliθan/</t>
  </si>
  <si>
    <t>sutilithan</t>
  </si>
  <si>
    <t>/sutiliθaɾ/</t>
  </si>
  <si>
    <t>sutilithar</t>
  </si>
  <si>
    <t>/sutiliθaɾa/</t>
  </si>
  <si>
    <t>sutilithara</t>
  </si>
  <si>
    <t>/sutiliθaɾan/</t>
  </si>
  <si>
    <t>sutilitharan</t>
  </si>
  <si>
    <t>/sutiliθaɾas/</t>
  </si>
  <si>
    <t>sutilitharas</t>
  </si>
  <si>
    <t>/sutiliθas/</t>
  </si>
  <si>
    <t>sutilithas</t>
  </si>
  <si>
    <t>/taθita/</t>
  </si>
  <si>
    <t>tathita</t>
  </si>
  <si>
    <t>/taθitas/</t>
  </si>
  <si>
    <t>tathitas</t>
  </si>
  <si>
    <t>/tamaɾiθ/</t>
  </si>
  <si>
    <t>tamarith</t>
  </si>
  <si>
    <t>/tamiθ/</t>
  </si>
  <si>
    <t>tamith</t>
  </si>
  <si>
    <t>/tamiθa/</t>
  </si>
  <si>
    <t>tamitha</t>
  </si>
  <si>
    <t>/tamiθan/</t>
  </si>
  <si>
    <t>tamithan</t>
  </si>
  <si>
    <t>/tamiθaɾ/</t>
  </si>
  <si>
    <t>tamithar</t>
  </si>
  <si>
    <t>/tamiθaɾa/</t>
  </si>
  <si>
    <t>tamithara</t>
  </si>
  <si>
    <t>/tamiθaɾan/</t>
  </si>
  <si>
    <t>tamitharan</t>
  </si>
  <si>
    <t>/tamiθaɾas/</t>
  </si>
  <si>
    <t>tamitharas</t>
  </si>
  <si>
    <t>/tamiθas/</t>
  </si>
  <si>
    <t>tamithas</t>
  </si>
  <si>
    <t>/tapiθ/</t>
  </si>
  <si>
    <t>tapith</t>
  </si>
  <si>
    <t>/tapiθa/</t>
  </si>
  <si>
    <t>tapitha</t>
  </si>
  <si>
    <t>/tapiθan/</t>
  </si>
  <si>
    <t>tapithan</t>
  </si>
  <si>
    <t>/tapiθaɾ/</t>
  </si>
  <si>
    <t>tapithar</t>
  </si>
  <si>
    <t>/tapiθaɾa/</t>
  </si>
  <si>
    <t>tapithara</t>
  </si>
  <si>
    <t>/tapiθaɾan/</t>
  </si>
  <si>
    <t>tapitharan</t>
  </si>
  <si>
    <t>/tapiθaɾas/</t>
  </si>
  <si>
    <t>tapitharas</t>
  </si>
  <si>
    <t>/tapiθas/</t>
  </si>
  <si>
    <t>tapithas</t>
  </si>
  <si>
    <t>/taɾaθa/</t>
  </si>
  <si>
    <t>taratha</t>
  </si>
  <si>
    <t>/taɾaθan/</t>
  </si>
  <si>
    <t>tarathan</t>
  </si>
  <si>
    <t>/taɾaθana/</t>
  </si>
  <si>
    <t>tarathana</t>
  </si>
  <si>
    <t>/taɾaθanal/</t>
  </si>
  <si>
    <t>tarathanal</t>
  </si>
  <si>
    <t>/taɾaθanas/</t>
  </si>
  <si>
    <t>tarathanas</t>
  </si>
  <si>
    <t>/taɾaθaɾ/</t>
  </si>
  <si>
    <t>tarathar</t>
  </si>
  <si>
    <t>/taɾaθaɾa/</t>
  </si>
  <si>
    <t>tarathara</t>
  </si>
  <si>
    <t>/taɾaθaɾan/</t>
  </si>
  <si>
    <t>taratharan</t>
  </si>
  <si>
    <t>/taɾaθaɾas/</t>
  </si>
  <si>
    <t>taratharas</t>
  </si>
  <si>
    <t>/taɾaθas/</t>
  </si>
  <si>
    <t>tarathas</t>
  </si>
  <si>
    <t>/taθa/</t>
  </si>
  <si>
    <t>tatha</t>
  </si>
  <si>
    <t>/taθan/</t>
  </si>
  <si>
    <t>tathan</t>
  </si>
  <si>
    <t>/taθaɲa/</t>
  </si>
  <si>
    <t>tathaña</t>
  </si>
  <si>
    <t>/taθaɲas/</t>
  </si>
  <si>
    <t>tathañas</t>
  </si>
  <si>
    <t>/taθaɾ/</t>
  </si>
  <si>
    <t>tathar</t>
  </si>
  <si>
    <t>/taθaɾa/</t>
  </si>
  <si>
    <t>tathara</t>
  </si>
  <si>
    <t>/taθaɾan/</t>
  </si>
  <si>
    <t>tatharan</t>
  </si>
  <si>
    <t>/taθaɾas/</t>
  </si>
  <si>
    <t>tatharas</t>
  </si>
  <si>
    <t>/taθas/</t>
  </si>
  <si>
    <t>tathas</t>
  </si>
  <si>
    <t>/tiɾaniθa/</t>
  </si>
  <si>
    <t>tiranitha</t>
  </si>
  <si>
    <t>/tiɾaniθan/</t>
  </si>
  <si>
    <t>tiranithan</t>
  </si>
  <si>
    <t>/tiɾaniθaɾ/</t>
  </si>
  <si>
    <t>tiranithar</t>
  </si>
  <si>
    <t>/tiɾaniθaɾa/</t>
  </si>
  <si>
    <t>tiranithara</t>
  </si>
  <si>
    <t>/tiɾaniθaɾan/</t>
  </si>
  <si>
    <t>tiranitharan</t>
  </si>
  <si>
    <t>/tiɾaniθaɾas/</t>
  </si>
  <si>
    <t>tiranitharas</t>
  </si>
  <si>
    <t>/tiɾaniθas/</t>
  </si>
  <si>
    <t>tiranithas</t>
  </si>
  <si>
    <t>/tiθa/</t>
  </si>
  <si>
    <t>titha</t>
  </si>
  <si>
    <t>/tiθana/</t>
  </si>
  <si>
    <t>tithana</t>
  </si>
  <si>
    <t>/tiθanas/</t>
  </si>
  <si>
    <t>tithanas</t>
  </si>
  <si>
    <t>/tiθas/</t>
  </si>
  <si>
    <t>tithas</t>
  </si>
  <si>
    <t>/utiliθa/</t>
  </si>
  <si>
    <t>utilitha</t>
  </si>
  <si>
    <t>/utiliθan/</t>
  </si>
  <si>
    <t>utilithan</t>
  </si>
  <si>
    <t>/utiliθaɾ/</t>
  </si>
  <si>
    <t>utilithar</t>
  </si>
  <si>
    <t>/utiliθaɾa/</t>
  </si>
  <si>
    <t>utilithara</t>
  </si>
  <si>
    <t>/utiliθaɾan/</t>
  </si>
  <si>
    <t>utilitharan</t>
  </si>
  <si>
    <t>/utiliθaɾas/</t>
  </si>
  <si>
    <t>utilitharas</t>
  </si>
  <si>
    <t>/utiliθas/</t>
  </si>
  <si>
    <t>utilithas</t>
  </si>
  <si>
    <t>/θaɣa/</t>
  </si>
  <si>
    <t>thaka</t>
  </si>
  <si>
    <t>/θaɣal/</t>
  </si>
  <si>
    <t>thakal</t>
  </si>
  <si>
    <t>/θaɣala/</t>
  </si>
  <si>
    <t>thakala</t>
  </si>
  <si>
    <t>/θaɣalas/</t>
  </si>
  <si>
    <t>thakalas</t>
  </si>
  <si>
    <t>/θaɣas/</t>
  </si>
  <si>
    <t>thakas</t>
  </si>
  <si>
    <t>/θalama/</t>
  </si>
  <si>
    <t>thalama</t>
  </si>
  <si>
    <t>/θalamas/</t>
  </si>
  <si>
    <t>thalamas</t>
  </si>
  <si>
    <t>/θapa/</t>
  </si>
  <si>
    <t>thapa</t>
  </si>
  <si>
    <t>/θapan/</t>
  </si>
  <si>
    <t>thapan</t>
  </si>
  <si>
    <t>/θapaɾ/</t>
  </si>
  <si>
    <t>thapar</t>
  </si>
  <si>
    <t>/θapaɾa/</t>
  </si>
  <si>
    <t>thapara</t>
  </si>
  <si>
    <t>/θapaɾan/</t>
  </si>
  <si>
    <t>thaparan</t>
  </si>
  <si>
    <t>/θapaɾas/</t>
  </si>
  <si>
    <t>thaparas</t>
  </si>
  <si>
    <t>/θapas/</t>
  </si>
  <si>
    <t>thapas</t>
  </si>
  <si>
    <t>/θapatiʎa/</t>
  </si>
  <si>
    <t>thapatilla</t>
  </si>
  <si>
    <t>/θapatiʎas/</t>
  </si>
  <si>
    <t>thapatillas</t>
  </si>
  <si>
    <t>/θapuθa/</t>
  </si>
  <si>
    <t>thaputha</t>
  </si>
  <si>
    <t>/θapuθan/</t>
  </si>
  <si>
    <t>thaputhan</t>
  </si>
  <si>
    <t>/θapuθaɾ/</t>
  </si>
  <si>
    <t>thaputhar</t>
  </si>
  <si>
    <t>/θapuθaɾa/</t>
  </si>
  <si>
    <t>thaputhara</t>
  </si>
  <si>
    <t>/θapuθaɾan/</t>
  </si>
  <si>
    <t>thaputharan</t>
  </si>
  <si>
    <t>/θapuθaɾas/</t>
  </si>
  <si>
    <t>thaputharas</t>
  </si>
  <si>
    <t>/θapuθas/</t>
  </si>
  <si>
    <t>thaputhas</t>
  </si>
  <si>
    <t>/θaɾ/</t>
  </si>
  <si>
    <t>thar</t>
  </si>
  <si>
    <t>/θaɾa/</t>
  </si>
  <si>
    <t>thara</t>
  </si>
  <si>
    <t>/θaɾas/</t>
  </si>
  <si>
    <t>tharas</t>
  </si>
  <si>
    <t>/θaɾaθas/</t>
  </si>
  <si>
    <t>tharathas</t>
  </si>
  <si>
    <t>/θaɾina/</t>
  </si>
  <si>
    <t>tharina</t>
  </si>
  <si>
    <t>/θaɾinas/</t>
  </si>
  <si>
    <t>tharinas</t>
  </si>
  <si>
    <t>/θas/</t>
  </si>
  <si>
    <t>thas</t>
  </si>
  <si>
    <t>/θata/</t>
  </si>
  <si>
    <t>thata</t>
  </si>
  <si>
    <t>/θataɾa/</t>
  </si>
  <si>
    <t>thatara</t>
  </si>
  <si>
    <t>/θataɾas/</t>
  </si>
  <si>
    <t>thataras</t>
  </si>
  <si>
    <t>/θatas/</t>
  </si>
  <si>
    <t>thatas</t>
  </si>
  <si>
    <t>/θuɾita/</t>
  </si>
  <si>
    <t>thurita</t>
  </si>
  <si>
    <t>/θuɾitas/</t>
  </si>
  <si>
    <t>thuritas</t>
  </si>
  <si>
    <t>/θuɾiθa/</t>
  </si>
  <si>
    <t>thuritha</t>
  </si>
  <si>
    <t>/θuɾiθas/</t>
  </si>
  <si>
    <t>thurithas</t>
  </si>
  <si>
    <t>/θutana/</t>
  </si>
  <si>
    <t>thutana</t>
  </si>
  <si>
    <t>/θutanas/</t>
  </si>
  <si>
    <t>thutanas</t>
  </si>
  <si>
    <t>sv.csv</t>
  </si>
  <si>
    <t>swe</t>
  </si>
  <si>
    <t>à la</t>
  </si>
  <si>
    <t>mono-</t>
  </si>
  <si>
    <t>/mʊnʊ/</t>
  </si>
  <si>
    <t>munu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</si>
</sst>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2"/>
      <c r="CO1" s="2"/>
    </row>
    <row r="2">
      <c r="A2" s="3">
        <v>1.0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93</v>
      </c>
      <c r="G2" s="3" t="str">
        <f>IFERROR(__xludf.DUMMYFUNCTION("GOOGLETRANSLATE(D2,""fi"",""es"")"),"decir ah")</f>
        <v>decir ah</v>
      </c>
      <c r="H2" s="3" t="s">
        <v>95</v>
      </c>
      <c r="I2" s="3" t="s">
        <v>96</v>
      </c>
    </row>
    <row r="3">
      <c r="A3" s="3">
        <v>2.0</v>
      </c>
      <c r="B3" s="3" t="s">
        <v>91</v>
      </c>
      <c r="C3" s="3" t="s">
        <v>92</v>
      </c>
      <c r="D3" s="3" t="s">
        <v>97</v>
      </c>
      <c r="E3" s="3" t="s">
        <v>98</v>
      </c>
      <c r="F3" s="3" t="s">
        <v>97</v>
      </c>
      <c r="G3" s="3" t="str">
        <f>IFERROR(__xludf.DUMMYFUNCTION("GOOGLETRANSLATE(D3,""fi"",""es"")"),"hola")</f>
        <v>hola</v>
      </c>
      <c r="H3" s="3" t="s">
        <v>99</v>
      </c>
      <c r="I3" s="3" t="s">
        <v>100</v>
      </c>
      <c r="J3" s="3" t="s">
        <v>101</v>
      </c>
      <c r="K3" s="3" t="s">
        <v>102</v>
      </c>
    </row>
    <row r="4">
      <c r="A4" s="3">
        <v>3.0</v>
      </c>
      <c r="B4" s="3" t="s">
        <v>91</v>
      </c>
      <c r="C4" s="3" t="s">
        <v>92</v>
      </c>
      <c r="D4" s="3" t="s">
        <v>103</v>
      </c>
      <c r="E4" s="3" t="s">
        <v>104</v>
      </c>
      <c r="F4" s="3" t="s">
        <v>103</v>
      </c>
      <c r="G4" s="3" t="str">
        <f>IFERROR(__xludf.DUMMYFUNCTION("GOOGLETRANSLATE(D4,""fi"",""es"")"),"cadera")</f>
        <v>cadera</v>
      </c>
    </row>
    <row r="5">
      <c r="A5" s="3">
        <v>4.0</v>
      </c>
      <c r="B5" s="3" t="s">
        <v>91</v>
      </c>
      <c r="C5" s="3" t="s">
        <v>92</v>
      </c>
      <c r="D5" s="3" t="s">
        <v>105</v>
      </c>
      <c r="E5" s="3" t="s">
        <v>106</v>
      </c>
      <c r="F5" s="3" t="s">
        <v>105</v>
      </c>
      <c r="G5" s="3" t="str">
        <f>IFERROR(__xludf.DUMMYFUNCTION("GOOGLETRANSLATE(D5,""fi"",""es"")"),"cáscara")</f>
        <v>cáscara</v>
      </c>
      <c r="H5" s="3" t="s">
        <v>107</v>
      </c>
      <c r="I5" s="3" t="s">
        <v>108</v>
      </c>
      <c r="J5" s="3" t="s">
        <v>109</v>
      </c>
      <c r="K5" s="3" t="s">
        <v>110</v>
      </c>
    </row>
    <row r="6">
      <c r="A6" s="3">
        <v>5.0</v>
      </c>
      <c r="B6" s="3" t="s">
        <v>91</v>
      </c>
      <c r="C6" s="3" t="s">
        <v>92</v>
      </c>
      <c r="D6" s="3" t="s">
        <v>111</v>
      </c>
      <c r="E6" s="3" t="s">
        <v>112</v>
      </c>
      <c r="F6" s="3" t="s">
        <v>93</v>
      </c>
      <c r="G6" s="3" t="str">
        <f>IFERROR(__xludf.DUMMYFUNCTION("GOOGLETRANSLATE(D6,""fi"",""es"")"),"¿eh?")</f>
        <v>¿eh?</v>
      </c>
    </row>
    <row r="7">
      <c r="A7" s="3">
        <v>6.0</v>
      </c>
      <c r="B7" s="3" t="s">
        <v>91</v>
      </c>
      <c r="C7" s="3" t="s">
        <v>92</v>
      </c>
      <c r="D7" s="3" t="s">
        <v>113</v>
      </c>
      <c r="E7" s="3" t="s">
        <v>114</v>
      </c>
      <c r="F7" s="3" t="s">
        <v>115</v>
      </c>
      <c r="G7" s="3" t="str">
        <f>IFERROR(__xludf.DUMMYFUNCTION("GOOGLETRANSLATE(D7,""fi"",""es"")"),"él")</f>
        <v>él</v>
      </c>
    </row>
    <row r="8">
      <c r="A8" s="3">
        <v>7.0</v>
      </c>
      <c r="B8" s="3" t="s">
        <v>91</v>
      </c>
      <c r="C8" s="3" t="s">
        <v>92</v>
      </c>
      <c r="D8" s="3" t="s">
        <v>116</v>
      </c>
      <c r="E8" s="3" t="s">
        <v>117</v>
      </c>
      <c r="F8" s="3" t="s">
        <v>116</v>
      </c>
      <c r="G8" s="3" t="str">
        <f>IFERROR(__xludf.DUMMYFUNCTION("GOOGLETRANSLATE(D8,""fi"",""es"")"),"en")</f>
        <v>en</v>
      </c>
      <c r="H8" s="3" t="s">
        <v>118</v>
      </c>
      <c r="I8" s="3" t="s">
        <v>119</v>
      </c>
      <c r="J8" s="3" t="s">
        <v>120</v>
      </c>
      <c r="K8" s="3" t="s">
        <v>121</v>
      </c>
      <c r="L8" s="3" t="s">
        <v>122</v>
      </c>
      <c r="M8" s="3" t="s">
        <v>123</v>
      </c>
    </row>
    <row r="9">
      <c r="A9" s="3">
        <v>8.0</v>
      </c>
      <c r="B9" s="3" t="s">
        <v>91</v>
      </c>
      <c r="C9" s="3" t="s">
        <v>92</v>
      </c>
      <c r="D9" s="3" t="s">
        <v>124</v>
      </c>
      <c r="E9" s="3" t="s">
        <v>125</v>
      </c>
      <c r="F9" s="3" t="s">
        <v>126</v>
      </c>
      <c r="G9" s="3" t="str">
        <f>IFERROR(__xludf.DUMMYFUNCTION("GOOGLETRANSLATE(D9,""fi"",""es"")"),"y")</f>
        <v>y</v>
      </c>
    </row>
    <row r="10">
      <c r="A10" s="3">
        <v>9.0</v>
      </c>
      <c r="B10" s="3" t="s">
        <v>91</v>
      </c>
      <c r="C10" s="3" t="s">
        <v>92</v>
      </c>
      <c r="D10" s="3" t="s">
        <v>127</v>
      </c>
      <c r="E10" s="3" t="s">
        <v>128</v>
      </c>
      <c r="F10" s="3" t="s">
        <v>127</v>
      </c>
      <c r="G10" s="3" t="str">
        <f>IFERROR(__xludf.DUMMYFUNCTION("GOOGLETRANSLATE(D10,""fi"",""es"")"),"bien")</f>
        <v>bien</v>
      </c>
    </row>
    <row r="11">
      <c r="A11" s="3">
        <v>10.0</v>
      </c>
      <c r="B11" s="3" t="s">
        <v>91</v>
      </c>
      <c r="C11" s="3" t="s">
        <v>92</v>
      </c>
      <c r="D11" s="3" t="s">
        <v>129</v>
      </c>
      <c r="E11" s="3" t="s">
        <v>130</v>
      </c>
      <c r="F11" s="3" t="s">
        <v>129</v>
      </c>
      <c r="G11" s="3" t="str">
        <f>IFERROR(__xludf.DUMMYFUNCTION("GOOGLETRANSLATE(D11,""fi"",""es"")"),"gatito")</f>
        <v>gatito</v>
      </c>
    </row>
    <row r="12">
      <c r="A12" s="3">
        <v>11.0</v>
      </c>
      <c r="B12" s="3" t="s">
        <v>91</v>
      </c>
      <c r="C12" s="3" t="s">
        <v>92</v>
      </c>
      <c r="D12" s="3" t="s">
        <v>131</v>
      </c>
      <c r="E12" s="3" t="s">
        <v>132</v>
      </c>
      <c r="F12" s="3" t="s">
        <v>131</v>
      </c>
      <c r="G12" s="3" t="str">
        <f>IFERROR(__xludf.DUMMYFUNCTION("GOOGLETRANSLATE(D12,""fi"",""es"")"),"cuando")</f>
        <v>cuando</v>
      </c>
    </row>
    <row r="13">
      <c r="A13" s="3">
        <v>12.0</v>
      </c>
      <c r="B13" s="3" t="s">
        <v>91</v>
      </c>
      <c r="C13" s="3" t="s">
        <v>92</v>
      </c>
      <c r="D13" s="3" t="s">
        <v>133</v>
      </c>
      <c r="E13" s="3" t="s">
        <v>134</v>
      </c>
      <c r="F13" s="3" t="s">
        <v>135</v>
      </c>
      <c r="G13" s="3" t="str">
        <f>IFERROR(__xludf.DUMMYFUNCTION("GOOGLETRANSLATE(D13,""fi"",""es"")"),"lux")</f>
        <v>lux</v>
      </c>
    </row>
    <row r="14">
      <c r="A14" s="3">
        <v>13.0</v>
      </c>
      <c r="B14" s="3" t="s">
        <v>91</v>
      </c>
      <c r="C14" s="3" t="s">
        <v>92</v>
      </c>
      <c r="D14" s="3" t="s">
        <v>136</v>
      </c>
      <c r="E14" s="3" t="s">
        <v>137</v>
      </c>
      <c r="F14" s="3" t="s">
        <v>136</v>
      </c>
      <c r="G14" s="3" t="str">
        <f>IFERROR(__xludf.DUMMYFUNCTION("GOOGLETRANSLATE(D14,""fi"",""es"")"),"mamá")</f>
        <v>mamá</v>
      </c>
      <c r="H14" s="3" t="s">
        <v>138</v>
      </c>
      <c r="I14" s="3" t="s">
        <v>139</v>
      </c>
      <c r="J14" s="3" t="s">
        <v>140</v>
      </c>
      <c r="K14" s="3" t="s">
        <v>141</v>
      </c>
      <c r="L14" s="3" t="s">
        <v>142</v>
      </c>
      <c r="M14" s="3" t="s">
        <v>143</v>
      </c>
      <c r="N14" s="3" t="s">
        <v>144</v>
      </c>
      <c r="O14" s="3" t="s">
        <v>139</v>
      </c>
      <c r="P14" s="3" t="s">
        <v>145</v>
      </c>
      <c r="Q14" s="3" t="s">
        <v>146</v>
      </c>
      <c r="R14" s="3" t="s">
        <v>147</v>
      </c>
      <c r="S14" s="3" t="s">
        <v>148</v>
      </c>
    </row>
    <row r="15">
      <c r="A15" s="3">
        <v>14.0</v>
      </c>
      <c r="B15" s="3" t="s">
        <v>91</v>
      </c>
      <c r="C15" s="3" t="s">
        <v>92</v>
      </c>
      <c r="D15" s="3" t="s">
        <v>149</v>
      </c>
      <c r="E15" s="3" t="s">
        <v>150</v>
      </c>
      <c r="F15" s="3" t="s">
        <v>149</v>
      </c>
      <c r="G15" s="3" t="str">
        <f>IFERROR(__xludf.DUMMYFUNCTION("GOOGLETRANSLATE(D15,""fi"",""es"")"),"mi")</f>
        <v>mi</v>
      </c>
      <c r="H15" s="3" t="s">
        <v>149</v>
      </c>
      <c r="I15" s="3" t="s">
        <v>151</v>
      </c>
      <c r="J15" s="3" t="s">
        <v>152</v>
      </c>
      <c r="K15" s="3" t="s">
        <v>153</v>
      </c>
      <c r="L15" s="3" t="s">
        <v>154</v>
      </c>
      <c r="M15" s="3" t="s">
        <v>152</v>
      </c>
      <c r="N15" s="3" t="s">
        <v>155</v>
      </c>
      <c r="O15" s="3" t="s">
        <v>156</v>
      </c>
      <c r="P15" s="3" t="s">
        <v>157</v>
      </c>
      <c r="Q15" s="3" t="s">
        <v>158</v>
      </c>
      <c r="R15" s="3" t="s">
        <v>152</v>
      </c>
      <c r="S15" s="3" t="s">
        <v>159</v>
      </c>
      <c r="T15" s="3" t="s">
        <v>160</v>
      </c>
      <c r="U15" s="3" t="s">
        <v>161</v>
      </c>
      <c r="V15" s="3" t="s">
        <v>162</v>
      </c>
      <c r="W15" s="3" t="s">
        <v>163</v>
      </c>
      <c r="X15" s="3" t="s">
        <v>164</v>
      </c>
      <c r="Y15" s="3" t="s">
        <v>149</v>
      </c>
      <c r="Z15" s="3" t="s">
        <v>165</v>
      </c>
      <c r="AA15" s="3" t="s">
        <v>160</v>
      </c>
      <c r="AB15" s="3" t="s">
        <v>149</v>
      </c>
      <c r="AC15" s="3" t="s">
        <v>166</v>
      </c>
      <c r="AD15" s="3" t="s">
        <v>167</v>
      </c>
      <c r="AE15" s="3" t="s">
        <v>168</v>
      </c>
      <c r="AF15" s="3" t="s">
        <v>169</v>
      </c>
    </row>
    <row r="16">
      <c r="A16" s="3">
        <v>15.0</v>
      </c>
      <c r="B16" s="3" t="s">
        <v>91</v>
      </c>
      <c r="C16" s="3" t="s">
        <v>92</v>
      </c>
      <c r="D16" s="3" t="s">
        <v>170</v>
      </c>
      <c r="E16" s="3" t="s">
        <v>171</v>
      </c>
      <c r="F16" s="3" t="s">
        <v>136</v>
      </c>
      <c r="G16" s="3" t="str">
        <f>IFERROR(__xludf.DUMMYFUNCTION("GOOGLETRANSLATE(D16,""fi"",""es"")"),"yo")</f>
        <v>yo</v>
      </c>
    </row>
    <row r="17">
      <c r="A17" s="3">
        <v>16.0</v>
      </c>
      <c r="B17" s="3" t="s">
        <v>91</v>
      </c>
      <c r="C17" s="3" t="s">
        <v>92</v>
      </c>
      <c r="D17" s="3" t="s">
        <v>172</v>
      </c>
      <c r="E17" s="3" t="s">
        <v>173</v>
      </c>
      <c r="F17" s="3" t="s">
        <v>172</v>
      </c>
      <c r="G17" s="3" t="str">
        <f>IFERROR(__xludf.DUMMYFUNCTION("GOOGLETRANSLATE(D17,""fi"",""es"")"),"PAS")</f>
        <v>PAS</v>
      </c>
      <c r="H17" s="3" t="s">
        <v>172</v>
      </c>
    </row>
    <row r="18">
      <c r="A18" s="3">
        <v>17.0</v>
      </c>
      <c r="B18" s="3" t="s">
        <v>91</v>
      </c>
      <c r="C18" s="3" t="s">
        <v>92</v>
      </c>
      <c r="D18" s="3" t="s">
        <v>174</v>
      </c>
      <c r="E18" s="3" t="s">
        <v>175</v>
      </c>
      <c r="F18" s="3" t="s">
        <v>174</v>
      </c>
      <c r="G18" s="3" t="str">
        <f>IFERROR(__xludf.DUMMYFUNCTION("GOOGLETRANSLATE(D18,""fi"",""es"")"),"pus")</f>
        <v>pus</v>
      </c>
      <c r="H18" s="3" t="s">
        <v>176</v>
      </c>
      <c r="I18" s="3" t="s">
        <v>177</v>
      </c>
    </row>
    <row r="19">
      <c r="A19" s="3">
        <v>18.0</v>
      </c>
      <c r="B19" s="3" t="s">
        <v>91</v>
      </c>
      <c r="C19" s="3" t="s">
        <v>92</v>
      </c>
      <c r="D19" s="3" t="s">
        <v>178</v>
      </c>
      <c r="E19" s="3" t="s">
        <v>179</v>
      </c>
      <c r="F19" s="3" t="s">
        <v>178</v>
      </c>
      <c r="G19" s="3" t="str">
        <f>IFERROR(__xludf.DUMMYFUNCTION("GOOGLETRANSLATE(D19,""fi"",""es"")"),"tú")</f>
        <v>tú</v>
      </c>
      <c r="H19" s="3" t="s">
        <v>180</v>
      </c>
      <c r="I19" s="3" t="s">
        <v>181</v>
      </c>
      <c r="J19" s="3" t="s">
        <v>182</v>
      </c>
    </row>
    <row r="20">
      <c r="A20" s="3">
        <v>19.0</v>
      </c>
      <c r="B20" s="3" t="s">
        <v>91</v>
      </c>
      <c r="C20" s="3" t="s">
        <v>92</v>
      </c>
      <c r="D20" s="3" t="s">
        <v>183</v>
      </c>
      <c r="E20" s="3" t="s">
        <v>184</v>
      </c>
      <c r="F20" s="3" t="s">
        <v>183</v>
      </c>
      <c r="G20" s="3" t="str">
        <f>IFERROR(__xludf.DUMMYFUNCTION("GOOGLETRANSLATE(D20,""fi"",""es"")"),"sol")</f>
        <v>sol</v>
      </c>
    </row>
    <row r="21">
      <c r="A21" s="3">
        <v>20.0</v>
      </c>
      <c r="B21" s="3" t="s">
        <v>91</v>
      </c>
      <c r="C21" s="3" t="s">
        <v>92</v>
      </c>
      <c r="D21" s="3" t="s">
        <v>185</v>
      </c>
      <c r="E21" s="3" t="s">
        <v>186</v>
      </c>
      <c r="F21" s="3" t="s">
        <v>185</v>
      </c>
      <c r="G21" s="3" t="str">
        <f>IFERROR(__xludf.DUMMYFUNCTION("GOOGLETRANSLATE(D21,""fi"",""es"")"),"wal")</f>
        <v>wal</v>
      </c>
    </row>
    <row r="22">
      <c r="A22" s="3">
        <v>21.0</v>
      </c>
      <c r="B22" s="3" t="s">
        <v>91</v>
      </c>
      <c r="C22" s="3" t="s">
        <v>92</v>
      </c>
      <c r="D22" s="3" t="s">
        <v>187</v>
      </c>
      <c r="E22" s="3" t="s">
        <v>188</v>
      </c>
      <c r="F22" s="3" t="s">
        <v>178</v>
      </c>
      <c r="G22" s="3" t="str">
        <f>IFERROR(__xludf.DUMMYFUNCTION("GOOGLETRANSLATE(D22,""fi"",""es"")"),"tú")</f>
        <v>tú</v>
      </c>
    </row>
    <row r="23">
      <c r="A23" s="3">
        <v>1.0</v>
      </c>
      <c r="B23" s="3" t="s">
        <v>189</v>
      </c>
      <c r="C23" s="3" t="s">
        <v>190</v>
      </c>
      <c r="D23" s="3" t="s">
        <v>191</v>
      </c>
      <c r="E23" s="3" t="s">
        <v>192</v>
      </c>
      <c r="F23" s="3" t="s">
        <v>191</v>
      </c>
      <c r="G23" s="3" t="str">
        <f>IFERROR(__xludf.DUMMYFUNCTION("GOOGLETRANSLATE(D23,""fr"",""es"")"),"posee")</f>
        <v>posee</v>
      </c>
      <c r="H23" s="3" t="s">
        <v>193</v>
      </c>
      <c r="I23" s="3" t="s">
        <v>194</v>
      </c>
      <c r="J23" s="3" t="s">
        <v>195</v>
      </c>
      <c r="K23" s="3" t="s">
        <v>196</v>
      </c>
      <c r="L23" s="3" t="s">
        <v>197</v>
      </c>
      <c r="M23" s="3" t="s">
        <v>198</v>
      </c>
    </row>
    <row r="24">
      <c r="A24" s="3">
        <v>2.0</v>
      </c>
      <c r="B24" s="3" t="s">
        <v>189</v>
      </c>
      <c r="C24" s="3" t="s">
        <v>190</v>
      </c>
      <c r="D24" s="3" t="s">
        <v>198</v>
      </c>
      <c r="E24" s="3" t="s">
        <v>192</v>
      </c>
      <c r="F24" s="3" t="s">
        <v>191</v>
      </c>
      <c r="G24" s="3" t="str">
        <f>IFERROR(__xludf.DUMMYFUNCTION("GOOGLETRANSLATE(D24,""fr"",""es"")"),"POSEE")</f>
        <v>POSEE</v>
      </c>
      <c r="H24" s="3" t="s">
        <v>193</v>
      </c>
      <c r="I24" s="3" t="s">
        <v>194</v>
      </c>
      <c r="J24" s="3" t="s">
        <v>195</v>
      </c>
      <c r="K24" s="3" t="s">
        <v>196</v>
      </c>
      <c r="L24" s="3" t="s">
        <v>197</v>
      </c>
      <c r="M24" s="3" t="s">
        <v>198</v>
      </c>
    </row>
    <row r="25">
      <c r="A25" s="3">
        <v>3.0</v>
      </c>
      <c r="B25" s="3" t="s">
        <v>189</v>
      </c>
      <c r="C25" s="3" t="s">
        <v>190</v>
      </c>
      <c r="D25" s="3" t="s">
        <v>199</v>
      </c>
      <c r="E25" s="3" t="s">
        <v>192</v>
      </c>
      <c r="F25" s="3" t="s">
        <v>191</v>
      </c>
      <c r="G25" s="3" t="str">
        <f>IFERROR(__xludf.DUMMYFUNCTION("GOOGLETRANSLATE(D25,""fr"",""es"")"),"a")</f>
        <v>a</v>
      </c>
      <c r="H25" s="3" t="s">
        <v>200</v>
      </c>
      <c r="I25" s="3" t="s">
        <v>201</v>
      </c>
      <c r="J25" s="3" t="s">
        <v>202</v>
      </c>
      <c r="K25" s="3" t="s">
        <v>203</v>
      </c>
      <c r="L25" s="3" t="s">
        <v>204</v>
      </c>
      <c r="M25" s="3" t="s">
        <v>121</v>
      </c>
      <c r="N25" s="3" t="s">
        <v>122</v>
      </c>
      <c r="O25" s="3" t="s">
        <v>123</v>
      </c>
    </row>
    <row r="26">
      <c r="A26" s="3">
        <v>4.0</v>
      </c>
      <c r="B26" s="3" t="s">
        <v>189</v>
      </c>
      <c r="C26" s="3" t="s">
        <v>190</v>
      </c>
      <c r="D26" s="3" t="s">
        <v>205</v>
      </c>
      <c r="E26" s="3" t="s">
        <v>206</v>
      </c>
      <c r="F26" s="3" t="s">
        <v>207</v>
      </c>
      <c r="G26" s="3" t="str">
        <f>IFERROR(__xludf.DUMMYFUNCTION("GOOGLETRANSLATE(D26,""fr"",""es"")"),"De repente")</f>
        <v>De repente</v>
      </c>
      <c r="H26" s="3" t="s">
        <v>208</v>
      </c>
      <c r="I26" s="3" t="s">
        <v>209</v>
      </c>
      <c r="J26" s="3" t="s">
        <v>210</v>
      </c>
      <c r="K26" s="3" t="s">
        <v>211</v>
      </c>
      <c r="L26" s="3" t="s">
        <v>212</v>
      </c>
      <c r="M26" s="3" t="s">
        <v>213</v>
      </c>
      <c r="N26" s="3" t="s">
        <v>214</v>
      </c>
      <c r="O26" s="3" t="s">
        <v>215</v>
      </c>
    </row>
    <row r="27">
      <c r="A27" s="3">
        <v>5.0</v>
      </c>
      <c r="B27" s="3" t="s">
        <v>189</v>
      </c>
      <c r="C27" s="3" t="s">
        <v>190</v>
      </c>
      <c r="D27" s="3" t="s">
        <v>216</v>
      </c>
      <c r="E27" s="3" t="s">
        <v>206</v>
      </c>
      <c r="F27" s="3" t="s">
        <v>207</v>
      </c>
      <c r="G27" s="3" t="str">
        <f>IFERROR(__xludf.DUMMYFUNCTION("GOOGLETRANSLATE(D27,""fr"",""es"")"),"a golpes")</f>
        <v>a golpes</v>
      </c>
      <c r="H27" s="3" t="s">
        <v>212</v>
      </c>
    </row>
    <row r="28">
      <c r="A28" s="3">
        <v>6.0</v>
      </c>
      <c r="B28" s="3" t="s">
        <v>189</v>
      </c>
      <c r="C28" s="3" t="s">
        <v>190</v>
      </c>
      <c r="D28" s="3" t="s">
        <v>217</v>
      </c>
      <c r="E28" s="3" t="s">
        <v>218</v>
      </c>
      <c r="F28" s="3" t="s">
        <v>219</v>
      </c>
      <c r="G28" s="3" t="str">
        <f>IFERROR(__xludf.DUMMYFUNCTION("GOOGLETRANSLATE(D28,""fr"",""es"")"),"recogedor")</f>
        <v>recogedor</v>
      </c>
    </row>
    <row r="29">
      <c r="A29" s="3">
        <v>7.0</v>
      </c>
      <c r="B29" s="3" t="s">
        <v>189</v>
      </c>
      <c r="C29" s="3" t="s">
        <v>190</v>
      </c>
      <c r="D29" s="3" t="s">
        <v>220</v>
      </c>
      <c r="E29" s="3" t="s">
        <v>221</v>
      </c>
      <c r="F29" s="3" t="s">
        <v>222</v>
      </c>
      <c r="G29" s="3" t="str">
        <f>IFERROR(__xludf.DUMMYFUNCTION("GOOGLETRANSLATE(D29,""fr"",""es"")"),"donación")</f>
        <v>donación</v>
      </c>
    </row>
    <row r="30">
      <c r="A30" s="3">
        <v>8.0</v>
      </c>
      <c r="B30" s="3" t="s">
        <v>189</v>
      </c>
      <c r="C30" s="3" t="s">
        <v>190</v>
      </c>
      <c r="D30" s="3" t="s">
        <v>223</v>
      </c>
      <c r="E30" s="3" t="s">
        <v>221</v>
      </c>
      <c r="F30" s="3" t="s">
        <v>222</v>
      </c>
      <c r="G30" s="3" t="str">
        <f>IFERROR(__xludf.DUMMYFUNCTION("GOOGLETRANSLATE(D30,""fr"",""es"")"),"estaban dando a luz")</f>
        <v>estaban dando a luz</v>
      </c>
    </row>
    <row r="31">
      <c r="A31" s="3">
        <v>9.0</v>
      </c>
      <c r="B31" s="3" t="s">
        <v>189</v>
      </c>
      <c r="C31" s="3" t="s">
        <v>190</v>
      </c>
      <c r="D31" s="3" t="s">
        <v>224</v>
      </c>
      <c r="E31" s="3" t="s">
        <v>221</v>
      </c>
      <c r="F31" s="3" t="s">
        <v>222</v>
      </c>
      <c r="G31" s="3" t="str">
        <f>IFERROR(__xludf.DUMMYFUNCTION("GOOGLETRANSLATE(D31,""fr"",""es"")"),"gonnut")</f>
        <v>gonnut</v>
      </c>
    </row>
    <row r="32">
      <c r="A32" s="3">
        <v>10.0</v>
      </c>
      <c r="B32" s="3" t="s">
        <v>189</v>
      </c>
      <c r="C32" s="3" t="s">
        <v>190</v>
      </c>
      <c r="D32" s="3" t="s">
        <v>225</v>
      </c>
      <c r="E32" s="3" t="s">
        <v>221</v>
      </c>
      <c r="F32" s="3" t="s">
        <v>222</v>
      </c>
      <c r="G32" s="3" t="str">
        <f>IFERROR(__xludf.DUMMYFUNCTION("GOOGLETRANSLATE(D32,""fr"",""es"")"),"dio a luz")</f>
        <v>dio a luz</v>
      </c>
    </row>
    <row r="33">
      <c r="A33" s="3">
        <v>11.0</v>
      </c>
      <c r="B33" s="3" t="s">
        <v>189</v>
      </c>
      <c r="C33" s="3" t="s">
        <v>190</v>
      </c>
      <c r="D33" s="3" t="s">
        <v>226</v>
      </c>
      <c r="E33" s="3" t="s">
        <v>227</v>
      </c>
      <c r="F33" s="3" t="s">
        <v>228</v>
      </c>
      <c r="G33" s="3" t="str">
        <f>IFERROR(__xludf.DUMMYFUNCTION("GOOGLETRANSLATE(D33,""fr"",""es"")"),"nacimiento")</f>
        <v>nacimiento</v>
      </c>
    </row>
    <row r="34">
      <c r="A34" s="3">
        <v>12.0</v>
      </c>
      <c r="B34" s="3" t="s">
        <v>189</v>
      </c>
      <c r="C34" s="3" t="s">
        <v>190</v>
      </c>
      <c r="D34" s="3" t="s">
        <v>229</v>
      </c>
      <c r="E34" s="3" t="s">
        <v>230</v>
      </c>
      <c r="F34" s="3" t="s">
        <v>231</v>
      </c>
      <c r="G34" s="3" t="str">
        <f>IFERROR(__xludf.DUMMYFUNCTION("GOOGLETRANSLATE(D34,""fr"",""es"")"),"Dar a luz")</f>
        <v>Dar a luz</v>
      </c>
    </row>
    <row r="35">
      <c r="A35" s="3">
        <v>13.0</v>
      </c>
      <c r="B35" s="3" t="s">
        <v>189</v>
      </c>
      <c r="C35" s="3" t="s">
        <v>190</v>
      </c>
      <c r="D35" s="3" t="s">
        <v>232</v>
      </c>
      <c r="E35" s="3" t="s">
        <v>230</v>
      </c>
      <c r="F35" s="3" t="s">
        <v>231</v>
      </c>
      <c r="G35" s="3" t="str">
        <f>IFERROR(__xludf.DUMMYFUNCTION("GOOGLETRANSLATE(D35,""fr"",""es"")"),"dar a luz")</f>
        <v>dar a luz</v>
      </c>
    </row>
    <row r="36">
      <c r="A36" s="3">
        <v>14.0</v>
      </c>
      <c r="B36" s="3" t="s">
        <v>189</v>
      </c>
      <c r="C36" s="3" t="s">
        <v>190</v>
      </c>
      <c r="D36" s="3" t="s">
        <v>233</v>
      </c>
      <c r="E36" s="3" t="s">
        <v>230</v>
      </c>
      <c r="F36" s="3" t="s">
        <v>231</v>
      </c>
      <c r="G36" s="3" t="str">
        <f>IFERROR(__xludf.DUMMYFUNCTION("GOOGLETRANSLATE(D36,""fr"",""es"")"),"Dar a luz")</f>
        <v>Dar a luz</v>
      </c>
    </row>
    <row r="37">
      <c r="A37" s="3">
        <v>15.0</v>
      </c>
      <c r="B37" s="3" t="s">
        <v>189</v>
      </c>
      <c r="C37" s="3" t="s">
        <v>190</v>
      </c>
      <c r="D37" s="3" t="s">
        <v>234</v>
      </c>
      <c r="E37" s="3" t="s">
        <v>235</v>
      </c>
      <c r="F37" s="3" t="s">
        <v>236</v>
      </c>
      <c r="G37" s="3" t="str">
        <f>IFERROR(__xludf.DUMMYFUNCTION("GOOGLETRANSLATE(D37,""fr"",""es"")"),"dar a luz")</f>
        <v>dar a luz</v>
      </c>
    </row>
    <row r="38">
      <c r="A38" s="3">
        <v>16.0</v>
      </c>
      <c r="B38" s="3" t="s">
        <v>189</v>
      </c>
      <c r="C38" s="3" t="s">
        <v>190</v>
      </c>
      <c r="D38" s="3" t="s">
        <v>237</v>
      </c>
      <c r="E38" s="3" t="s">
        <v>235</v>
      </c>
      <c r="F38" s="3" t="s">
        <v>236</v>
      </c>
      <c r="G38" s="3" t="str">
        <f>IFERROR(__xludf.DUMMYFUNCTION("GOOGLETRANSLATE(D38,""fr"",""es"")"),"dar a luz")</f>
        <v>dar a luz</v>
      </c>
    </row>
    <row r="39">
      <c r="A39" s="3">
        <v>17.0</v>
      </c>
      <c r="B39" s="3" t="s">
        <v>189</v>
      </c>
      <c r="C39" s="3" t="s">
        <v>190</v>
      </c>
      <c r="D39" s="3" t="s">
        <v>238</v>
      </c>
      <c r="E39" s="3" t="s">
        <v>235</v>
      </c>
      <c r="F39" s="3" t="s">
        <v>236</v>
      </c>
      <c r="G39" s="3" t="str">
        <f>IFERROR(__xludf.DUMMYFUNCTION("GOOGLETRANSLATE(D39,""fr"",""es"")"),"cumpleaños")</f>
        <v>cumpleaños</v>
      </c>
    </row>
    <row r="40">
      <c r="A40" s="3">
        <v>18.0</v>
      </c>
      <c r="B40" s="3" t="s">
        <v>189</v>
      </c>
      <c r="C40" s="3" t="s">
        <v>190</v>
      </c>
      <c r="D40" s="3" t="s">
        <v>239</v>
      </c>
      <c r="E40" s="3" t="s">
        <v>240</v>
      </c>
      <c r="F40" s="3" t="s">
        <v>241</v>
      </c>
      <c r="G40" s="3" t="str">
        <f>IFERROR(__xludf.DUMMYFUNCTION("GOOGLETRANSLATE(D40,""fr"",""es"")"),"ronronal")</f>
        <v>ronronal</v>
      </c>
    </row>
    <row r="41">
      <c r="A41" s="3">
        <v>19.0</v>
      </c>
      <c r="B41" s="3" t="s">
        <v>189</v>
      </c>
      <c r="C41" s="3" t="s">
        <v>190</v>
      </c>
      <c r="D41" s="3" t="s">
        <v>242</v>
      </c>
      <c r="E41" s="3" t="s">
        <v>240</v>
      </c>
      <c r="F41" s="3" t="s">
        <v>241</v>
      </c>
      <c r="G41" s="3" t="str">
        <f>IFERROR(__xludf.DUMMYFUNCTION("GOOGLETRANSLATE(D41,""fr"",""es"")"),"achelais")</f>
        <v>achelais</v>
      </c>
    </row>
    <row r="42">
      <c r="A42" s="3">
        <v>20.0</v>
      </c>
      <c r="B42" s="3" t="s">
        <v>189</v>
      </c>
      <c r="C42" s="3" t="s">
        <v>190</v>
      </c>
      <c r="D42" s="3" t="s">
        <v>243</v>
      </c>
      <c r="E42" s="3" t="s">
        <v>240</v>
      </c>
      <c r="F42" s="3" t="s">
        <v>241</v>
      </c>
      <c r="G42" s="3" t="str">
        <f>IFERROR(__xludf.DUMMYFUNCTION("GOOGLETRANSLATE(D42,""fr"",""es"")"),"Achait")</f>
        <v>Achait</v>
      </c>
    </row>
    <row r="43">
      <c r="A43" s="3">
        <v>21.0</v>
      </c>
      <c r="B43" s="3" t="s">
        <v>189</v>
      </c>
      <c r="C43" s="3" t="s">
        <v>190</v>
      </c>
      <c r="D43" s="3" t="s">
        <v>244</v>
      </c>
      <c r="E43" s="3" t="s">
        <v>245</v>
      </c>
      <c r="F43" s="3" t="s">
        <v>246</v>
      </c>
      <c r="G43" s="3" t="str">
        <f>IFERROR(__xludf.DUMMYFUNCTION("GOOGLETRANSLATE(D43,""fr"",""es"")"),"broma")</f>
        <v>broma</v>
      </c>
    </row>
    <row r="44">
      <c r="A44" s="3">
        <v>22.0</v>
      </c>
      <c r="B44" s="3" t="s">
        <v>189</v>
      </c>
      <c r="C44" s="3" t="s">
        <v>190</v>
      </c>
      <c r="D44" s="3" t="s">
        <v>247</v>
      </c>
      <c r="E44" s="3" t="s">
        <v>248</v>
      </c>
      <c r="F44" s="3" t="s">
        <v>249</v>
      </c>
      <c r="G44" s="3" t="str">
        <f>IFERROR(__xludf.DUMMYFUNCTION("GOOGLETRANSLATE(D44,""fr"",""es"")"),"torrencial")</f>
        <v>torrencial</v>
      </c>
    </row>
    <row r="45">
      <c r="A45" s="3">
        <v>23.0</v>
      </c>
      <c r="B45" s="3" t="s">
        <v>189</v>
      </c>
      <c r="C45" s="3" t="s">
        <v>190</v>
      </c>
      <c r="D45" s="3" t="s">
        <v>250</v>
      </c>
      <c r="E45" s="3" t="s">
        <v>248</v>
      </c>
      <c r="F45" s="3" t="s">
        <v>249</v>
      </c>
      <c r="G45" s="3" t="str">
        <f>IFERROR(__xludf.DUMMYFUNCTION("GOOGLETRANSLATE(D45,""fr"",""es"")"),"derrocamiento")</f>
        <v>derrocamiento</v>
      </c>
    </row>
    <row r="46">
      <c r="A46" s="3">
        <v>24.0</v>
      </c>
      <c r="B46" s="3" t="s">
        <v>189</v>
      </c>
      <c r="C46" s="3" t="s">
        <v>190</v>
      </c>
      <c r="D46" s="3" t="s">
        <v>251</v>
      </c>
      <c r="E46" s="3" t="s">
        <v>248</v>
      </c>
      <c r="F46" s="3" t="s">
        <v>249</v>
      </c>
      <c r="G46" s="3" t="str">
        <f>IFERROR(__xludf.DUMMYFUNCTION("GOOGLETRANSLATE(D46,""fr"",""es"")"),"ragers")</f>
        <v>ragers</v>
      </c>
    </row>
    <row r="47">
      <c r="A47" s="3">
        <v>25.0</v>
      </c>
      <c r="B47" s="3" t="s">
        <v>189</v>
      </c>
      <c r="C47" s="3" t="s">
        <v>190</v>
      </c>
      <c r="D47" s="3" t="s">
        <v>252</v>
      </c>
      <c r="E47" s="3" t="s">
        <v>253</v>
      </c>
      <c r="F47" s="3" t="s">
        <v>254</v>
      </c>
      <c r="G47" s="3" t="str">
        <f>IFERROR(__xludf.DUMMYFUNCTION("GOOGLETRANSLATE(D47,""fr"",""es"")"),"broma")</f>
        <v>broma</v>
      </c>
    </row>
    <row r="48">
      <c r="A48" s="3">
        <v>26.0</v>
      </c>
      <c r="B48" s="3" t="s">
        <v>189</v>
      </c>
      <c r="C48" s="3" t="s">
        <v>190</v>
      </c>
      <c r="D48" s="3" t="s">
        <v>255</v>
      </c>
      <c r="E48" s="3" t="s">
        <v>253</v>
      </c>
      <c r="F48" s="3" t="s">
        <v>254</v>
      </c>
      <c r="G48" s="3" t="str">
        <f>IFERROR(__xludf.DUMMYFUNCTION("GOOGLETRANSLATE(D48,""fr"",""es"")"),"par")</f>
        <v>par</v>
      </c>
    </row>
    <row r="49">
      <c r="A49" s="3">
        <v>27.0</v>
      </c>
      <c r="B49" s="3" t="s">
        <v>189</v>
      </c>
      <c r="C49" s="3" t="s">
        <v>190</v>
      </c>
      <c r="D49" s="3" t="s">
        <v>256</v>
      </c>
      <c r="E49" s="3" t="s">
        <v>253</v>
      </c>
      <c r="F49" s="3" t="s">
        <v>254</v>
      </c>
      <c r="G49" s="3" t="str">
        <f>IFERROR(__xludf.DUMMYFUNCTION("GOOGLETRANSLATE(D49,""fr"",""es"")"),"zapatillas")</f>
        <v>zapatillas</v>
      </c>
    </row>
    <row r="50">
      <c r="A50" s="3">
        <v>28.0</v>
      </c>
      <c r="B50" s="3" t="s">
        <v>189</v>
      </c>
      <c r="C50" s="3" t="s">
        <v>190</v>
      </c>
      <c r="D50" s="3" t="s">
        <v>257</v>
      </c>
      <c r="E50" s="3" t="s">
        <v>258</v>
      </c>
      <c r="F50" s="3" t="s">
        <v>259</v>
      </c>
      <c r="G50" s="3" t="str">
        <f>IFERROR(__xludf.DUMMYFUNCTION("GOOGLETRANSLATE(D50,""fr"",""es"")"),"Achille")</f>
        <v>Achille</v>
      </c>
      <c r="H50" s="3" t="s">
        <v>260</v>
      </c>
      <c r="I50" s="3" t="s">
        <v>261</v>
      </c>
      <c r="J50" s="3" t="s">
        <v>262</v>
      </c>
      <c r="K50" s="3" t="s">
        <v>263</v>
      </c>
      <c r="L50" s="3" t="s">
        <v>264</v>
      </c>
      <c r="M50" s="3" t="s">
        <v>265</v>
      </c>
      <c r="N50" s="3" t="s">
        <v>266</v>
      </c>
    </row>
    <row r="51">
      <c r="A51" s="3">
        <v>29.0</v>
      </c>
      <c r="B51" s="3" t="s">
        <v>189</v>
      </c>
      <c r="C51" s="3" t="s">
        <v>190</v>
      </c>
      <c r="D51" s="3" t="s">
        <v>267</v>
      </c>
      <c r="E51" s="3" t="s">
        <v>268</v>
      </c>
      <c r="F51" s="3" t="s">
        <v>269</v>
      </c>
      <c r="G51" s="3" t="str">
        <f>IFERROR(__xludf.DUMMYFUNCTION("GOOGLETRANSLATE(D51,""fr"",""es"")"),"adquirido")</f>
        <v>adquirido</v>
      </c>
    </row>
    <row r="52">
      <c r="A52" s="3">
        <v>30.0</v>
      </c>
      <c r="B52" s="3" t="s">
        <v>189</v>
      </c>
      <c r="C52" s="3" t="s">
        <v>190</v>
      </c>
      <c r="D52" s="3" t="s">
        <v>270</v>
      </c>
      <c r="E52" s="3" t="s">
        <v>268</v>
      </c>
      <c r="F52" s="3" t="s">
        <v>269</v>
      </c>
      <c r="G52" s="3" t="str">
        <f>IFERROR(__xludf.DUMMYFUNCTION("GOOGLETRANSLATE(D52,""fr"",""es"")"),"adquisición")</f>
        <v>adquisición</v>
      </c>
    </row>
    <row r="53">
      <c r="A53" s="3">
        <v>31.0</v>
      </c>
      <c r="B53" s="3" t="s">
        <v>189</v>
      </c>
      <c r="C53" s="3" t="s">
        <v>190</v>
      </c>
      <c r="D53" s="3" t="s">
        <v>271</v>
      </c>
      <c r="E53" s="3" t="s">
        <v>272</v>
      </c>
      <c r="F53" s="3" t="s">
        <v>273</v>
      </c>
      <c r="G53" s="3" t="str">
        <f>IFERROR(__xludf.DUMMYFUNCTION("GOOGLETRANSLATE(D53,""fr"",""es"")"),"adquirido")</f>
        <v>adquirido</v>
      </c>
      <c r="H53" s="3" t="s">
        <v>274</v>
      </c>
      <c r="I53" s="3" t="s">
        <v>275</v>
      </c>
    </row>
    <row r="54">
      <c r="A54" s="3">
        <v>32.0</v>
      </c>
      <c r="B54" s="3" t="s">
        <v>189</v>
      </c>
      <c r="C54" s="3" t="s">
        <v>190</v>
      </c>
      <c r="D54" s="3" t="s">
        <v>276</v>
      </c>
      <c r="E54" s="3" t="s">
        <v>272</v>
      </c>
      <c r="F54" s="3" t="s">
        <v>273</v>
      </c>
      <c r="G54" s="3" t="str">
        <f>IFERROR(__xludf.DUMMYFUNCTION("GOOGLETRANSLATE(D54,""fr"",""es"")"),"absolver")</f>
        <v>absolver</v>
      </c>
    </row>
    <row r="55">
      <c r="A55" s="3">
        <v>33.0</v>
      </c>
      <c r="B55" s="3" t="s">
        <v>189</v>
      </c>
      <c r="C55" s="3" t="s">
        <v>190</v>
      </c>
      <c r="D55" s="3" t="s">
        <v>277</v>
      </c>
      <c r="E55" s="3" t="s">
        <v>272</v>
      </c>
      <c r="F55" s="3" t="s">
        <v>273</v>
      </c>
      <c r="G55" s="3" t="str">
        <f>IFERROR(__xludf.DUMMYFUNCTION("GOOGLETRANSLATE(D55,""fr"",""es"")"),"absurdo")</f>
        <v>absurdo</v>
      </c>
    </row>
    <row r="56">
      <c r="A56" s="3">
        <v>34.0</v>
      </c>
      <c r="B56" s="3" t="s">
        <v>189</v>
      </c>
      <c r="C56" s="3" t="s">
        <v>190</v>
      </c>
      <c r="D56" s="3" t="s">
        <v>278</v>
      </c>
      <c r="E56" s="3" t="s">
        <v>279</v>
      </c>
      <c r="F56" s="3" t="s">
        <v>280</v>
      </c>
      <c r="G56" s="3" t="str">
        <f>IFERROR(__xludf.DUMMYFUNCTION("GOOGLETRANSLATE(D56,""fr"",""es"")"),"absoluto")</f>
        <v>absoluto</v>
      </c>
    </row>
    <row r="57">
      <c r="A57" s="3">
        <v>35.0</v>
      </c>
      <c r="B57" s="3" t="s">
        <v>189</v>
      </c>
      <c r="C57" s="3" t="s">
        <v>190</v>
      </c>
      <c r="D57" s="3" t="s">
        <v>281</v>
      </c>
      <c r="E57" s="3" t="s">
        <v>279</v>
      </c>
      <c r="F57" s="3" t="s">
        <v>280</v>
      </c>
      <c r="G57" s="3" t="str">
        <f>IFERROR(__xludf.DUMMYFUNCTION("GOOGLETRANSLATE(D57,""fr"",""es"")"),"pagado")</f>
        <v>pagado</v>
      </c>
    </row>
    <row r="58">
      <c r="A58" s="3">
        <v>36.0</v>
      </c>
      <c r="B58" s="3" t="s">
        <v>189</v>
      </c>
      <c r="C58" s="3" t="s">
        <v>190</v>
      </c>
      <c r="D58" s="3" t="s">
        <v>282</v>
      </c>
      <c r="E58" s="3" t="s">
        <v>279</v>
      </c>
      <c r="F58" s="3" t="s">
        <v>280</v>
      </c>
      <c r="G58" s="3" t="str">
        <f>IFERROR(__xludf.DUMMYFUNCTION("GOOGLETRANSLATE(D58,""fr"",""es"")"),"pagado")</f>
        <v>pagado</v>
      </c>
    </row>
    <row r="59">
      <c r="A59" s="3">
        <v>37.0</v>
      </c>
      <c r="B59" s="3" t="s">
        <v>189</v>
      </c>
      <c r="C59" s="3" t="s">
        <v>190</v>
      </c>
      <c r="D59" s="3" t="s">
        <v>283</v>
      </c>
      <c r="E59" s="3" t="s">
        <v>279</v>
      </c>
      <c r="F59" s="3" t="s">
        <v>280</v>
      </c>
      <c r="G59" s="3" t="str">
        <f>IFERROR(__xludf.DUMMYFUNCTION("GOOGLETRANSLATE(D59,""fr"",""es"")"),"pagado")</f>
        <v>pagado</v>
      </c>
    </row>
    <row r="60">
      <c r="A60" s="3">
        <v>38.0</v>
      </c>
      <c r="B60" s="3" t="s">
        <v>189</v>
      </c>
      <c r="C60" s="3" t="s">
        <v>190</v>
      </c>
      <c r="D60" s="3" t="s">
        <v>284</v>
      </c>
      <c r="E60" s="3" t="s">
        <v>285</v>
      </c>
      <c r="F60" s="3" t="s">
        <v>286</v>
      </c>
      <c r="G60" s="3" t="str">
        <f>IFERROR(__xludf.DUMMYFUNCTION("GOOGLETRANSLATE(D60,""fr"",""es"")"),"absoluto")</f>
        <v>absoluto</v>
      </c>
    </row>
    <row r="61">
      <c r="A61" s="3">
        <v>39.0</v>
      </c>
      <c r="B61" s="3" t="s">
        <v>189</v>
      </c>
      <c r="C61" s="3" t="s">
        <v>190</v>
      </c>
      <c r="D61" s="3" t="s">
        <v>287</v>
      </c>
      <c r="E61" s="3" t="s">
        <v>288</v>
      </c>
      <c r="F61" s="3" t="s">
        <v>289</v>
      </c>
      <c r="G61" s="3" t="str">
        <f>IFERROR(__xludf.DUMMYFUNCTION("GOOGLETRANSLATE(D61,""fr"",""es"")"),"abogado")</f>
        <v>abogado</v>
      </c>
    </row>
    <row r="62">
      <c r="A62" s="3">
        <v>40.0</v>
      </c>
      <c r="B62" s="3" t="s">
        <v>189</v>
      </c>
      <c r="C62" s="3" t="s">
        <v>190</v>
      </c>
      <c r="D62" s="3" t="s">
        <v>290</v>
      </c>
      <c r="E62" s="3" t="s">
        <v>288</v>
      </c>
      <c r="F62" s="3" t="s">
        <v>289</v>
      </c>
      <c r="G62" s="3" t="str">
        <f>IFERROR(__xludf.DUMMYFUNCTION("GOOGLETRANSLATE(D62,""fr"",""es"")"),"absolver")</f>
        <v>absolver</v>
      </c>
    </row>
    <row r="63">
      <c r="A63" s="3">
        <v>41.0</v>
      </c>
      <c r="B63" s="3" t="s">
        <v>189</v>
      </c>
      <c r="C63" s="3" t="s">
        <v>190</v>
      </c>
      <c r="D63" s="3" t="s">
        <v>291</v>
      </c>
      <c r="E63" s="3" t="s">
        <v>288</v>
      </c>
      <c r="F63" s="3" t="s">
        <v>289</v>
      </c>
      <c r="G63" s="3" t="str">
        <f>IFERROR(__xludf.DUMMYFUNCTION("GOOGLETRANSLATE(D63,""fr"",""es"")"),"incorporación")</f>
        <v>incorporación</v>
      </c>
    </row>
    <row r="64">
      <c r="A64" s="3">
        <v>42.0</v>
      </c>
      <c r="B64" s="3" t="s">
        <v>189</v>
      </c>
      <c r="C64" s="3" t="s">
        <v>190</v>
      </c>
      <c r="D64" s="3" t="s">
        <v>292</v>
      </c>
      <c r="E64" s="3" t="s">
        <v>293</v>
      </c>
      <c r="F64" s="3" t="s">
        <v>294</v>
      </c>
      <c r="G64" s="3" t="str">
        <f>IFERROR(__xludf.DUMMYFUNCTION("GOOGLETRANSLATE(D64,""fr"",""es"")"),"acre")</f>
        <v>acre</v>
      </c>
      <c r="H64" s="3" t="s">
        <v>292</v>
      </c>
    </row>
    <row r="65">
      <c r="A65" s="3">
        <v>43.0</v>
      </c>
      <c r="B65" s="3" t="s">
        <v>189</v>
      </c>
      <c r="C65" s="3" t="s">
        <v>190</v>
      </c>
      <c r="D65" s="3" t="s">
        <v>295</v>
      </c>
      <c r="E65" s="3" t="s">
        <v>293</v>
      </c>
      <c r="F65" s="3" t="s">
        <v>294</v>
      </c>
      <c r="G65" s="3" t="str">
        <f>IFERROR(__xludf.DUMMYFUNCTION("GOOGLETRANSLATE(D65,""fr"",""es"")"),"acre")</f>
        <v>acre</v>
      </c>
      <c r="H65" s="3" t="s">
        <v>296</v>
      </c>
      <c r="I65" s="3" t="s">
        <v>297</v>
      </c>
      <c r="J65" s="3" t="s">
        <v>298</v>
      </c>
      <c r="K65" s="3" t="s">
        <v>299</v>
      </c>
      <c r="L65" s="3" t="s">
        <v>300</v>
      </c>
      <c r="M65" s="3" t="s">
        <v>301</v>
      </c>
      <c r="N65" s="3" t="s">
        <v>302</v>
      </c>
      <c r="O65" s="3" t="s">
        <v>303</v>
      </c>
      <c r="P65" s="3" t="s">
        <v>304</v>
      </c>
      <c r="Q65" s="3" t="s">
        <v>305</v>
      </c>
      <c r="R65" s="3" t="s">
        <v>297</v>
      </c>
      <c r="S65" s="3" t="s">
        <v>306</v>
      </c>
      <c r="T65" s="3" t="s">
        <v>307</v>
      </c>
      <c r="U65" s="3" t="s">
        <v>308</v>
      </c>
      <c r="V65" s="3" t="s">
        <v>309</v>
      </c>
      <c r="W65" s="3" t="s">
        <v>310</v>
      </c>
      <c r="X65" s="3" t="s">
        <v>311</v>
      </c>
    </row>
    <row r="66">
      <c r="A66" s="3">
        <v>44.0</v>
      </c>
      <c r="B66" s="3" t="s">
        <v>189</v>
      </c>
      <c r="C66" s="3" t="s">
        <v>190</v>
      </c>
      <c r="D66" s="3" t="s">
        <v>312</v>
      </c>
      <c r="E66" s="3" t="s">
        <v>293</v>
      </c>
      <c r="F66" s="3" t="s">
        <v>294</v>
      </c>
      <c r="G66" s="3" t="str">
        <f>IFERROR(__xludf.DUMMYFUNCTION("GOOGLETRANSLATE(D66,""fr"",""es"")"),"hectáreas")</f>
        <v>hectáreas</v>
      </c>
    </row>
    <row r="67">
      <c r="A67" s="3">
        <v>45.0</v>
      </c>
      <c r="B67" s="3" t="s">
        <v>189</v>
      </c>
      <c r="C67" s="3" t="s">
        <v>190</v>
      </c>
      <c r="D67" s="3" t="s">
        <v>313</v>
      </c>
      <c r="E67" s="3" t="s">
        <v>293</v>
      </c>
      <c r="F67" s="3" t="s">
        <v>294</v>
      </c>
      <c r="G67" s="3" t="str">
        <f>IFERROR(__xludf.DUMMYFUNCTION("GOOGLETRANSLATE(D67,""fr"",""es"")"),"acañas")</f>
        <v>acañas</v>
      </c>
    </row>
    <row r="68">
      <c r="A68" s="3">
        <v>46.0</v>
      </c>
      <c r="B68" s="3" t="s">
        <v>189</v>
      </c>
      <c r="C68" s="3" t="s">
        <v>190</v>
      </c>
      <c r="D68" s="3" t="s">
        <v>314</v>
      </c>
      <c r="E68" s="3" t="s">
        <v>293</v>
      </c>
      <c r="F68" s="3" t="s">
        <v>294</v>
      </c>
      <c r="G68" s="3" t="str">
        <f>IFERROR(__xludf.DUMMYFUNCTION("GOOGLETRANSLATE(D68,""fr"",""es"")"),"escritura")</f>
        <v>escritura</v>
      </c>
      <c r="H68" s="3" t="s">
        <v>315</v>
      </c>
      <c r="I68" s="3" t="s">
        <v>316</v>
      </c>
      <c r="J68" s="3" t="s">
        <v>317</v>
      </c>
      <c r="K68" s="3" t="s">
        <v>318</v>
      </c>
      <c r="L68" s="3" t="s">
        <v>315</v>
      </c>
      <c r="M68" s="3" t="s">
        <v>319</v>
      </c>
      <c r="N68" s="3" t="s">
        <v>316</v>
      </c>
      <c r="O68" s="3" t="s">
        <v>320</v>
      </c>
      <c r="P68" s="3" t="s">
        <v>321</v>
      </c>
      <c r="Q68" s="3" t="s">
        <v>315</v>
      </c>
      <c r="R68" s="3" t="s">
        <v>322</v>
      </c>
      <c r="S68" s="3" t="s">
        <v>323</v>
      </c>
      <c r="T68" s="3" t="s">
        <v>324</v>
      </c>
      <c r="U68" s="3" t="s">
        <v>325</v>
      </c>
      <c r="V68" s="3" t="s">
        <v>315</v>
      </c>
      <c r="W68" s="3" t="s">
        <v>315</v>
      </c>
      <c r="X68" s="3" t="s">
        <v>326</v>
      </c>
      <c r="Y68" s="3" t="s">
        <v>325</v>
      </c>
    </row>
    <row r="69">
      <c r="A69" s="3">
        <v>47.0</v>
      </c>
      <c r="B69" s="3" t="s">
        <v>189</v>
      </c>
      <c r="C69" s="3" t="s">
        <v>190</v>
      </c>
      <c r="D69" s="3" t="s">
        <v>327</v>
      </c>
      <c r="E69" s="3" t="s">
        <v>293</v>
      </c>
      <c r="F69" s="3" t="s">
        <v>294</v>
      </c>
      <c r="G69" s="3" t="str">
        <f>IFERROR(__xludf.DUMMYFUNCTION("GOOGLETRANSLATE(D69,""fr"",""es"")"),"hechos")</f>
        <v>hechos</v>
      </c>
    </row>
    <row r="70">
      <c r="A70" s="3">
        <v>48.0</v>
      </c>
      <c r="B70" s="3" t="s">
        <v>189</v>
      </c>
      <c r="C70" s="3" t="s">
        <v>190</v>
      </c>
      <c r="D70" s="3" t="s">
        <v>328</v>
      </c>
      <c r="E70" s="3" t="s">
        <v>329</v>
      </c>
      <c r="F70" s="3" t="s">
        <v>330</v>
      </c>
      <c r="G70" s="3" t="str">
        <f>IFERROR(__xludf.DUMMYFUNCTION("GOOGLETRANSLATE(D70,""fr"",""es"")"),"advertencia")</f>
        <v>advertencia</v>
      </c>
    </row>
    <row r="71">
      <c r="A71" s="3">
        <v>49.0</v>
      </c>
      <c r="B71" s="3" t="s">
        <v>189</v>
      </c>
      <c r="C71" s="3" t="s">
        <v>190</v>
      </c>
      <c r="D71" s="3" t="s">
        <v>331</v>
      </c>
      <c r="E71" s="3" t="s">
        <v>332</v>
      </c>
      <c r="F71" s="3" t="s">
        <v>333</v>
      </c>
      <c r="G71" s="3" t="str">
        <f>IFERROR(__xludf.DUMMYFUNCTION("GOOGLETRANSLATE(D71,""fr"",""es"")"),"cordero")</f>
        <v>cordero</v>
      </c>
    </row>
    <row r="72">
      <c r="A72" s="3">
        <v>50.0</v>
      </c>
      <c r="B72" s="3" t="s">
        <v>189</v>
      </c>
      <c r="C72" s="3" t="s">
        <v>190</v>
      </c>
      <c r="D72" s="3" t="s">
        <v>334</v>
      </c>
      <c r="E72" s="3" t="s">
        <v>332</v>
      </c>
      <c r="F72" s="3" t="s">
        <v>333</v>
      </c>
      <c r="G72" s="3" t="str">
        <f>IFERROR(__xludf.DUMMYFUNCTION("GOOGLETRANSLATE(D72,""fr"",""es"")"),"Se rió")</f>
        <v>Se rió</v>
      </c>
    </row>
    <row r="73">
      <c r="A73" s="3">
        <v>51.0</v>
      </c>
      <c r="B73" s="3" t="s">
        <v>189</v>
      </c>
      <c r="C73" s="3" t="s">
        <v>190</v>
      </c>
      <c r="D73" s="3" t="s">
        <v>335</v>
      </c>
      <c r="E73" s="3" t="s">
        <v>332</v>
      </c>
      <c r="F73" s="3" t="s">
        <v>333</v>
      </c>
      <c r="G73" s="3" t="str">
        <f>IFERROR(__xludf.DUMMYFUNCTION("GOOGLETRANSLATE(D73,""fr"",""es"")"),"corderos")</f>
        <v>corderos</v>
      </c>
    </row>
    <row r="74">
      <c r="A74" s="3">
        <v>52.0</v>
      </c>
      <c r="B74" s="3" t="s">
        <v>189</v>
      </c>
      <c r="C74" s="3" t="s">
        <v>190</v>
      </c>
      <c r="D74" s="3" t="s">
        <v>336</v>
      </c>
      <c r="E74" s="3" t="s">
        <v>337</v>
      </c>
      <c r="F74" s="3" t="s">
        <v>338</v>
      </c>
      <c r="G74" s="3" t="str">
        <f>IFERROR(__xludf.DUMMYFUNCTION("GOOGLETRANSLATE(D74,""fr"",""es"")"),"Inés")</f>
        <v>Inés</v>
      </c>
    </row>
    <row r="75">
      <c r="A75" s="3">
        <v>53.0</v>
      </c>
      <c r="B75" s="3" t="s">
        <v>189</v>
      </c>
      <c r="C75" s="3" t="s">
        <v>190</v>
      </c>
      <c r="D75" s="3" t="s">
        <v>339</v>
      </c>
      <c r="E75" s="3" t="s">
        <v>192</v>
      </c>
      <c r="F75" s="3" t="s">
        <v>191</v>
      </c>
      <c r="G75" s="3" t="str">
        <f>IFERROR(__xludf.DUMMYFUNCTION("GOOGLETRANSLATE(D75,""fr"",""es"")"),"ahorcado")</f>
        <v>ahorcado</v>
      </c>
    </row>
    <row r="76">
      <c r="A76" s="3">
        <v>54.0</v>
      </c>
      <c r="B76" s="3" t="s">
        <v>189</v>
      </c>
      <c r="C76" s="3" t="s">
        <v>190</v>
      </c>
      <c r="D76" s="3" t="s">
        <v>340</v>
      </c>
      <c r="E76" s="3" t="s">
        <v>192</v>
      </c>
      <c r="F76" s="3" t="s">
        <v>341</v>
      </c>
      <c r="G76" s="3" t="str">
        <f>IFERROR(__xludf.DUMMYFUNCTION("GOOGLETRANSLATE(D76,""fr"",""es"")"),"águila")</f>
        <v>águila</v>
      </c>
      <c r="H76" s="3" t="s">
        <v>342</v>
      </c>
      <c r="I76" s="3" t="s">
        <v>343</v>
      </c>
      <c r="J76" s="3" t="s">
        <v>344</v>
      </c>
      <c r="K76" s="3" t="s">
        <v>345</v>
      </c>
      <c r="L76" s="3" t="s">
        <v>346</v>
      </c>
    </row>
    <row r="77">
      <c r="A77" s="3">
        <v>55.0</v>
      </c>
      <c r="B77" s="3" t="s">
        <v>189</v>
      </c>
      <c r="C77" s="3" t="s">
        <v>190</v>
      </c>
      <c r="D77" s="3" t="s">
        <v>347</v>
      </c>
      <c r="E77" s="3" t="s">
        <v>348</v>
      </c>
      <c r="F77" s="3" t="s">
        <v>349</v>
      </c>
      <c r="G77" s="3" t="str">
        <f>IFERROR(__xludf.DUMMYFUNCTION("GOOGLETRANSLATE(D77,""fr"",""es"")"),"esquivar")</f>
        <v>esquivar</v>
      </c>
    </row>
    <row r="78">
      <c r="A78" s="3">
        <v>56.0</v>
      </c>
      <c r="B78" s="3" t="s">
        <v>189</v>
      </c>
      <c r="C78" s="3" t="s">
        <v>190</v>
      </c>
      <c r="D78" s="3" t="s">
        <v>350</v>
      </c>
      <c r="E78" s="3" t="s">
        <v>348</v>
      </c>
      <c r="F78" s="3" t="s">
        <v>349</v>
      </c>
      <c r="G78" s="3" t="str">
        <f>IFERROR(__xludf.DUMMYFUNCTION("GOOGLETRANSLATE(D78,""fr"",""es"")"),"aiches")</f>
        <v>aiches</v>
      </c>
    </row>
    <row r="79">
      <c r="A79" s="3">
        <v>57.0</v>
      </c>
      <c r="B79" s="3" t="s">
        <v>189</v>
      </c>
      <c r="C79" s="3" t="s">
        <v>190</v>
      </c>
      <c r="D79" s="3" t="s">
        <v>351</v>
      </c>
      <c r="E79" s="3" t="s">
        <v>192</v>
      </c>
      <c r="F79" s="3" t="s">
        <v>191</v>
      </c>
      <c r="G79" s="3" t="str">
        <f>IFERROR(__xludf.DUMMYFUNCTION("GOOGLETRANSLATE(D79,""fr"",""es"")"),"Ay")</f>
        <v>Ay</v>
      </c>
    </row>
    <row r="80">
      <c r="A80" s="3">
        <v>58.0</v>
      </c>
      <c r="B80" s="3" t="s">
        <v>189</v>
      </c>
      <c r="C80" s="3" t="s">
        <v>190</v>
      </c>
      <c r="D80" s="3" t="s">
        <v>352</v>
      </c>
      <c r="E80" s="3" t="s">
        <v>353</v>
      </c>
      <c r="F80" s="3" t="s">
        <v>354</v>
      </c>
      <c r="G80" s="3" t="str">
        <f>IFERROR(__xludf.DUMMYFUNCTION("GOOGLETRANSLATE(D80,""fr"",""es"")"),"Ay")</f>
        <v>Ay</v>
      </c>
    </row>
    <row r="81">
      <c r="A81" s="3">
        <v>59.0</v>
      </c>
      <c r="B81" s="3" t="s">
        <v>189</v>
      </c>
      <c r="C81" s="3" t="s">
        <v>190</v>
      </c>
      <c r="D81" s="3" t="s">
        <v>355</v>
      </c>
      <c r="E81" s="3" t="s">
        <v>192</v>
      </c>
      <c r="F81" s="3" t="s">
        <v>191</v>
      </c>
      <c r="G81" s="3" t="str">
        <f>IFERROR(__xludf.DUMMYFUNCTION("GOOGLETRANSLATE(D81,""fr"",""es"")"),"tener")</f>
        <v>tener</v>
      </c>
    </row>
    <row r="82">
      <c r="A82" s="3">
        <v>60.0</v>
      </c>
      <c r="B82" s="3" t="s">
        <v>189</v>
      </c>
      <c r="C82" s="3" t="s">
        <v>190</v>
      </c>
      <c r="D82" s="3" t="s">
        <v>356</v>
      </c>
      <c r="E82" s="3" t="s">
        <v>192</v>
      </c>
      <c r="F82" s="3" t="s">
        <v>191</v>
      </c>
      <c r="G82" s="3" t="str">
        <f>IFERROR(__xludf.DUMMYFUNCTION("GOOGLETRANSLATE(D82,""fr"",""es"")"),"aturdir")</f>
        <v>aturdir</v>
      </c>
    </row>
    <row r="83">
      <c r="A83" s="3">
        <v>61.0</v>
      </c>
      <c r="B83" s="3" t="s">
        <v>189</v>
      </c>
      <c r="C83" s="3" t="s">
        <v>190</v>
      </c>
      <c r="D83" s="3" t="s">
        <v>357</v>
      </c>
      <c r="E83" s="3" t="s">
        <v>353</v>
      </c>
      <c r="F83" s="3" t="s">
        <v>354</v>
      </c>
      <c r="G83" s="3" t="str">
        <f>IFERROR(__xludf.DUMMYFUNCTION("GOOGLETRANSLATE(D83,""fr"",""es"")"),"ajo")</f>
        <v>ajo</v>
      </c>
      <c r="H83" s="3" t="s">
        <v>358</v>
      </c>
      <c r="I83" s="3" t="s">
        <v>357</v>
      </c>
      <c r="J83" s="3" t="s">
        <v>358</v>
      </c>
      <c r="K83" s="3" t="s">
        <v>359</v>
      </c>
    </row>
    <row r="84">
      <c r="A84" s="3">
        <v>62.0</v>
      </c>
      <c r="B84" s="3" t="s">
        <v>189</v>
      </c>
      <c r="C84" s="3" t="s">
        <v>190</v>
      </c>
      <c r="D84" s="3" t="s">
        <v>360</v>
      </c>
      <c r="E84" s="3" t="s">
        <v>361</v>
      </c>
      <c r="F84" s="3" t="s">
        <v>362</v>
      </c>
      <c r="G84" s="3" t="str">
        <f>IFERROR(__xludf.DUMMYFUNCTION("GOOGLETRANSLATE(D84,""fr"",""es"")"),"ala")</f>
        <v>ala</v>
      </c>
      <c r="H84" s="3" t="s">
        <v>363</v>
      </c>
      <c r="I84" s="3" t="s">
        <v>364</v>
      </c>
      <c r="J84" s="3" t="s">
        <v>365</v>
      </c>
      <c r="K84" s="3" t="s">
        <v>366</v>
      </c>
      <c r="L84" s="3" t="s">
        <v>363</v>
      </c>
      <c r="M84" s="3" t="s">
        <v>367</v>
      </c>
      <c r="N84" s="3" t="s">
        <v>363</v>
      </c>
      <c r="O84" s="3" t="s">
        <v>368</v>
      </c>
      <c r="P84" s="3" t="s">
        <v>369</v>
      </c>
      <c r="Q84" s="3" t="s">
        <v>370</v>
      </c>
      <c r="R84" s="3" t="s">
        <v>363</v>
      </c>
      <c r="S84" s="3" t="s">
        <v>363</v>
      </c>
      <c r="T84" s="3" t="s">
        <v>371</v>
      </c>
      <c r="U84" s="3" t="s">
        <v>372</v>
      </c>
      <c r="V84" s="3" t="s">
        <v>363</v>
      </c>
      <c r="W84" s="3" t="s">
        <v>373</v>
      </c>
      <c r="X84" s="3" t="s">
        <v>363</v>
      </c>
      <c r="Y84" s="3" t="s">
        <v>363</v>
      </c>
      <c r="Z84" s="3" t="s">
        <v>363</v>
      </c>
    </row>
    <row r="85">
      <c r="A85" s="3">
        <v>63.0</v>
      </c>
      <c r="B85" s="3" t="s">
        <v>189</v>
      </c>
      <c r="C85" s="3" t="s">
        <v>190</v>
      </c>
      <c r="D85" s="3" t="s">
        <v>374</v>
      </c>
      <c r="E85" s="3" t="s">
        <v>361</v>
      </c>
      <c r="F85" s="3" t="s">
        <v>362</v>
      </c>
      <c r="G85" s="3" t="str">
        <f>IFERROR(__xludf.DUMMYFUNCTION("GOOGLETRANSLATE(D85,""fr"",""es"")"),"alas")</f>
        <v>alas</v>
      </c>
    </row>
    <row r="86">
      <c r="A86" s="3">
        <v>64.0</v>
      </c>
      <c r="B86" s="3" t="s">
        <v>189</v>
      </c>
      <c r="C86" s="3" t="s">
        <v>190</v>
      </c>
      <c r="D86" s="3" t="s">
        <v>375</v>
      </c>
      <c r="E86" s="3" t="s">
        <v>376</v>
      </c>
      <c r="F86" s="3" t="s">
        <v>377</v>
      </c>
      <c r="G86" s="3" t="str">
        <f>IFERROR(__xludf.DUMMYFUNCTION("GOOGLETRANSLATE(D86,""fr"",""es"")"),"aillai")</f>
        <v>aillai</v>
      </c>
    </row>
    <row r="87">
      <c r="A87" s="3">
        <v>65.0</v>
      </c>
      <c r="B87" s="3" t="s">
        <v>189</v>
      </c>
      <c r="C87" s="3" t="s">
        <v>190</v>
      </c>
      <c r="D87" s="3" t="s">
        <v>378</v>
      </c>
      <c r="E87" s="3" t="s">
        <v>376</v>
      </c>
      <c r="F87" s="3" t="s">
        <v>377</v>
      </c>
      <c r="G87" s="3" t="str">
        <f>IFERROR(__xludf.DUMMYFUNCTION("GOOGLETRANSLATE(D87,""fr"",""es"")"),"marchito")</f>
        <v>marchito</v>
      </c>
    </row>
    <row r="88">
      <c r="A88" s="3">
        <v>66.0</v>
      </c>
      <c r="B88" s="3" t="s">
        <v>189</v>
      </c>
      <c r="C88" s="3" t="s">
        <v>190</v>
      </c>
      <c r="D88" s="3" t="s">
        <v>379</v>
      </c>
      <c r="E88" s="3" t="s">
        <v>376</v>
      </c>
      <c r="F88" s="3" t="s">
        <v>377</v>
      </c>
      <c r="G88" s="3" t="str">
        <f>IFERROR(__xludf.DUMMYFUNCTION("GOOGLETRANSLATE(D88,""fr"",""es"")"),"aillais")</f>
        <v>aillais</v>
      </c>
    </row>
    <row r="89">
      <c r="A89" s="3">
        <v>67.0</v>
      </c>
      <c r="B89" s="3" t="s">
        <v>189</v>
      </c>
      <c r="C89" s="3" t="s">
        <v>190</v>
      </c>
      <c r="D89" s="3" t="s">
        <v>380</v>
      </c>
      <c r="E89" s="3" t="s">
        <v>376</v>
      </c>
      <c r="F89" s="3" t="s">
        <v>377</v>
      </c>
      <c r="G89" s="3" t="str">
        <f>IFERROR(__xludf.DUMMYFUNCTION("GOOGLETRANSLATE(D89,""fr"",""es"")"),"marchito")</f>
        <v>marchito</v>
      </c>
    </row>
    <row r="90">
      <c r="A90" s="3">
        <v>68.0</v>
      </c>
      <c r="B90" s="3" t="s">
        <v>189</v>
      </c>
      <c r="C90" s="3" t="s">
        <v>190</v>
      </c>
      <c r="D90" s="3" t="s">
        <v>381</v>
      </c>
      <c r="E90" s="3" t="s">
        <v>382</v>
      </c>
      <c r="F90" s="3" t="s">
        <v>383</v>
      </c>
      <c r="G90" s="3" t="str">
        <f>IFERROR(__xludf.DUMMYFUNCTION("GOOGLETRANSLATE(D90,""fr"",""es"")"),"aillâme")</f>
        <v>aillâme</v>
      </c>
    </row>
    <row r="91">
      <c r="A91" s="3">
        <v>69.0</v>
      </c>
      <c r="B91" s="3" t="s">
        <v>189</v>
      </c>
      <c r="C91" s="3" t="s">
        <v>190</v>
      </c>
      <c r="D91" s="3" t="s">
        <v>384</v>
      </c>
      <c r="E91" s="3" t="s">
        <v>385</v>
      </c>
      <c r="F91" s="3" t="s">
        <v>386</v>
      </c>
      <c r="G91" s="3" t="str">
        <f>IFERROR(__xludf.DUMMYFUNCTION("GOOGLETRANSLATE(D91,""fr"",""es"")"),"aillasse")</f>
        <v>aillasse</v>
      </c>
    </row>
    <row r="92">
      <c r="A92" s="3">
        <v>70.0</v>
      </c>
      <c r="B92" s="3" t="s">
        <v>189</v>
      </c>
      <c r="C92" s="3" t="s">
        <v>190</v>
      </c>
      <c r="D92" s="3" t="s">
        <v>387</v>
      </c>
      <c r="E92" s="3" t="s">
        <v>385</v>
      </c>
      <c r="F92" s="3" t="s">
        <v>386</v>
      </c>
      <c r="G92" s="3" t="str">
        <f>IFERROR(__xludf.DUMMYFUNCTION("GOOGLETRANSLATE(D92,""fr"",""es"")"),"molestar")</f>
        <v>molestar</v>
      </c>
    </row>
    <row r="93">
      <c r="A93" s="3">
        <v>71.0</v>
      </c>
      <c r="B93" s="3" t="s">
        <v>189</v>
      </c>
      <c r="C93" s="3" t="s">
        <v>190</v>
      </c>
      <c r="D93" s="3" t="s">
        <v>388</v>
      </c>
      <c r="E93" s="3" t="s">
        <v>385</v>
      </c>
      <c r="F93" s="3" t="s">
        <v>386</v>
      </c>
      <c r="G93" s="3" t="str">
        <f>IFERROR(__xludf.DUMMYFUNCTION("GOOGLETRANSLATE(D93,""fr"",""es"")"),"aillses")</f>
        <v>aillses</v>
      </c>
    </row>
    <row r="94">
      <c r="A94" s="3">
        <v>72.0</v>
      </c>
      <c r="B94" s="3" t="s">
        <v>189</v>
      </c>
      <c r="C94" s="3" t="s">
        <v>190</v>
      </c>
      <c r="D94" s="3" t="s">
        <v>389</v>
      </c>
      <c r="E94" s="3" t="s">
        <v>353</v>
      </c>
      <c r="F94" s="3" t="s">
        <v>354</v>
      </c>
      <c r="G94" s="3" t="str">
        <f>IFERROR(__xludf.DUMMYFUNCTION("GOOGLETRANSLATE(D94,""fr"",""es"")"),"ala")</f>
        <v>ala</v>
      </c>
    </row>
    <row r="95">
      <c r="A95" s="3">
        <v>73.0</v>
      </c>
      <c r="B95" s="3" t="s">
        <v>189</v>
      </c>
      <c r="C95" s="3" t="s">
        <v>190</v>
      </c>
      <c r="D95" s="3" t="s">
        <v>390</v>
      </c>
      <c r="E95" s="3" t="s">
        <v>353</v>
      </c>
      <c r="F95" s="3" t="s">
        <v>354</v>
      </c>
      <c r="G95" s="3" t="str">
        <f>IFERROR(__xludf.DUMMYFUNCTION("GOOGLETRANSLATE(D95,""fr"",""es"")"),"Vamos")</f>
        <v>Vamos</v>
      </c>
    </row>
    <row r="96">
      <c r="A96" s="3">
        <v>74.0</v>
      </c>
      <c r="B96" s="3" t="s">
        <v>189</v>
      </c>
      <c r="C96" s="3" t="s">
        <v>190</v>
      </c>
      <c r="D96" s="3" t="s">
        <v>391</v>
      </c>
      <c r="E96" s="3" t="s">
        <v>353</v>
      </c>
      <c r="F96" s="3" t="s">
        <v>354</v>
      </c>
      <c r="G96" s="3" t="str">
        <f>IFERROR(__xludf.DUMMYFUNCTION("GOOGLETRANSLATE(D96,""fr"",""es"")"),"heridas")</f>
        <v>heridas</v>
      </c>
    </row>
    <row r="97">
      <c r="A97" s="3">
        <v>75.0</v>
      </c>
      <c r="B97" s="3" t="s">
        <v>189</v>
      </c>
      <c r="C97" s="3" t="s">
        <v>190</v>
      </c>
      <c r="D97" s="3" t="s">
        <v>392</v>
      </c>
      <c r="E97" s="3" t="s">
        <v>353</v>
      </c>
      <c r="F97" s="3" t="s">
        <v>354</v>
      </c>
      <c r="G97" s="3" t="str">
        <f>IFERROR(__xludf.DUMMYFUNCTION("GOOGLETRANSLATE(D97,""fr"",""es"")"),"almacenamiento")</f>
        <v>almacenamiento</v>
      </c>
    </row>
    <row r="98">
      <c r="A98" s="3">
        <v>76.0</v>
      </c>
      <c r="B98" s="3" t="s">
        <v>189</v>
      </c>
      <c r="C98" s="3" t="s">
        <v>190</v>
      </c>
      <c r="D98" s="3" t="s">
        <v>393</v>
      </c>
      <c r="E98" s="3" t="s">
        <v>394</v>
      </c>
      <c r="F98" s="3" t="s">
        <v>395</v>
      </c>
      <c r="G98" s="3" t="str">
        <f>IFERROR(__xludf.DUMMYFUNCTION("GOOGLETRANSLATE(D98,""fr"",""es"")"),"AIMAI")</f>
        <v>AIMAI</v>
      </c>
    </row>
    <row r="99">
      <c r="A99" s="3">
        <v>77.0</v>
      </c>
      <c r="B99" s="3" t="s">
        <v>189</v>
      </c>
      <c r="C99" s="3" t="s">
        <v>190</v>
      </c>
      <c r="D99" s="3" t="s">
        <v>396</v>
      </c>
      <c r="E99" s="3" t="s">
        <v>394</v>
      </c>
      <c r="F99" s="3" t="s">
        <v>395</v>
      </c>
      <c r="G99" s="3" t="str">
        <f>IFERROR(__xludf.DUMMYFUNCTION("GOOGLETRANSLATE(D99,""fr"",""es"")"),"amado")</f>
        <v>amado</v>
      </c>
    </row>
    <row r="100">
      <c r="A100" s="3">
        <v>78.0</v>
      </c>
      <c r="B100" s="3" t="s">
        <v>189</v>
      </c>
      <c r="C100" s="3" t="s">
        <v>190</v>
      </c>
      <c r="D100" s="3" t="s">
        <v>397</v>
      </c>
      <c r="E100" s="3" t="s">
        <v>394</v>
      </c>
      <c r="F100" s="3" t="s">
        <v>395</v>
      </c>
      <c r="G100" s="3" t="str">
        <f>IFERROR(__xludf.DUMMYFUNCTION("GOOGLETRANSLATE(D100,""fr"",""es"")"),"amado")</f>
        <v>amado</v>
      </c>
    </row>
    <row r="101">
      <c r="A101" s="3">
        <v>79.0</v>
      </c>
      <c r="B101" s="3" t="s">
        <v>189</v>
      </c>
      <c r="C101" s="3" t="s">
        <v>190</v>
      </c>
      <c r="D101" s="3" t="s">
        <v>398</v>
      </c>
      <c r="E101" s="3" t="s">
        <v>394</v>
      </c>
      <c r="F101" s="3" t="s">
        <v>395</v>
      </c>
      <c r="G101" s="3" t="str">
        <f>IFERROR(__xludf.DUMMYFUNCTION("GOOGLETRANSLATE(D101,""fr"",""es"")"),"amado")</f>
        <v>amado</v>
      </c>
    </row>
    <row r="102">
      <c r="A102" s="3">
        <v>80.0</v>
      </c>
      <c r="B102" s="3" t="s">
        <v>189</v>
      </c>
      <c r="C102" s="3" t="s">
        <v>190</v>
      </c>
      <c r="D102" s="3" t="s">
        <v>399</v>
      </c>
      <c r="E102" s="3" t="s">
        <v>400</v>
      </c>
      <c r="F102" s="3" t="s">
        <v>401</v>
      </c>
      <c r="G102" s="3" t="str">
        <f>IFERROR(__xludf.DUMMYFUNCTION("GOOGLETRANSLATE(D102,""fr"",""es"")"),"amado")</f>
        <v>amado</v>
      </c>
    </row>
    <row r="103">
      <c r="A103" s="3">
        <v>81.0</v>
      </c>
      <c r="B103" s="3" t="s">
        <v>189</v>
      </c>
      <c r="C103" s="3" t="s">
        <v>190</v>
      </c>
      <c r="D103" s="3" t="s">
        <v>402</v>
      </c>
      <c r="E103" s="3" t="s">
        <v>403</v>
      </c>
      <c r="F103" s="3" t="s">
        <v>404</v>
      </c>
      <c r="G103" s="3" t="str">
        <f>IFERROR(__xludf.DUMMYFUNCTION("GOOGLETRANSLATE(D103,""fr"",""es"")"),"amor")</f>
        <v>amor</v>
      </c>
    </row>
    <row r="104">
      <c r="A104" s="3">
        <v>82.0</v>
      </c>
      <c r="B104" s="3" t="s">
        <v>189</v>
      </c>
      <c r="C104" s="3" t="s">
        <v>190</v>
      </c>
      <c r="D104" s="3" t="s">
        <v>405</v>
      </c>
      <c r="E104" s="3" t="s">
        <v>403</v>
      </c>
      <c r="F104" s="3" t="s">
        <v>404</v>
      </c>
      <c r="G104" s="3" t="str">
        <f>IFERROR(__xludf.DUMMYFUNCTION("GOOGLETRANSLATE(D104,""fr"",""es"")"),"amor")</f>
        <v>amor</v>
      </c>
    </row>
    <row r="105">
      <c r="A105" s="3">
        <v>83.0</v>
      </c>
      <c r="B105" s="3" t="s">
        <v>189</v>
      </c>
      <c r="C105" s="3" t="s">
        <v>190</v>
      </c>
      <c r="D105" s="3" t="s">
        <v>406</v>
      </c>
      <c r="E105" s="3" t="s">
        <v>403</v>
      </c>
      <c r="F105" s="3" t="s">
        <v>404</v>
      </c>
      <c r="G105" s="3" t="str">
        <f>IFERROR(__xludf.DUMMYFUNCTION("GOOGLETRANSLATE(D105,""fr"",""es"")"),"ama")</f>
        <v>ama</v>
      </c>
    </row>
    <row r="106">
      <c r="A106" s="3">
        <v>84.0</v>
      </c>
      <c r="B106" s="3" t="s">
        <v>189</v>
      </c>
      <c r="C106" s="3" t="s">
        <v>190</v>
      </c>
      <c r="D106" s="3" t="s">
        <v>407</v>
      </c>
      <c r="E106" s="3" t="s">
        <v>408</v>
      </c>
      <c r="F106" s="3" t="s">
        <v>409</v>
      </c>
      <c r="G106" s="3" t="str">
        <f>IFERROR(__xludf.DUMMYFUNCTION("GOOGLETRANSLATE(D106,""fr"",""es"")"),"amor")</f>
        <v>amor</v>
      </c>
    </row>
    <row r="107">
      <c r="A107" s="3">
        <v>85.0</v>
      </c>
      <c r="B107" s="3" t="s">
        <v>189</v>
      </c>
      <c r="C107" s="3" t="s">
        <v>190</v>
      </c>
      <c r="D107" s="3" t="s">
        <v>410</v>
      </c>
      <c r="E107" s="3" t="s">
        <v>408</v>
      </c>
      <c r="F107" s="3" t="s">
        <v>409</v>
      </c>
      <c r="G107" s="3" t="str">
        <f>IFERROR(__xludf.DUMMYFUNCTION("GOOGLETRANSLATE(D107,""fr"",""es"")"),"me gusta")</f>
        <v>me gusta</v>
      </c>
    </row>
    <row r="108">
      <c r="A108" s="3">
        <v>86.0</v>
      </c>
      <c r="B108" s="3" t="s">
        <v>189</v>
      </c>
      <c r="C108" s="3" t="s">
        <v>190</v>
      </c>
      <c r="D108" s="3" t="s">
        <v>411</v>
      </c>
      <c r="E108" s="3" t="s">
        <v>408</v>
      </c>
      <c r="F108" s="3" t="s">
        <v>409</v>
      </c>
      <c r="G108" s="3" t="str">
        <f>IFERROR(__xludf.DUMMYFUNCTION("GOOGLETRANSLATE(D108,""fr"",""es"")"),"amor")</f>
        <v>amor</v>
      </c>
    </row>
    <row r="109">
      <c r="A109" s="3">
        <v>87.0</v>
      </c>
      <c r="B109" s="3" t="s">
        <v>189</v>
      </c>
      <c r="C109" s="3" t="s">
        <v>190</v>
      </c>
      <c r="D109" s="3" t="s">
        <v>412</v>
      </c>
      <c r="E109" s="3" t="s">
        <v>413</v>
      </c>
      <c r="F109" s="3" t="s">
        <v>414</v>
      </c>
      <c r="G109" s="3" t="str">
        <f>IFERROR(__xludf.DUMMYFUNCTION("GOOGLETRANSLATE(D109,""fr"",""es"")"),"mayor")</f>
        <v>mayor</v>
      </c>
      <c r="H109" s="3" t="s">
        <v>415</v>
      </c>
      <c r="I109" s="3" t="s">
        <v>416</v>
      </c>
      <c r="J109" s="3" t="s">
        <v>415</v>
      </c>
      <c r="K109" s="3" t="s">
        <v>417</v>
      </c>
      <c r="L109" s="3" t="s">
        <v>418</v>
      </c>
      <c r="M109" s="3" t="s">
        <v>419</v>
      </c>
      <c r="N109" s="3" t="s">
        <v>420</v>
      </c>
      <c r="O109" s="3" t="s">
        <v>421</v>
      </c>
      <c r="P109" s="3" t="s">
        <v>415</v>
      </c>
      <c r="Q109" s="3" t="s">
        <v>422</v>
      </c>
    </row>
    <row r="110">
      <c r="A110" s="3">
        <v>88.0</v>
      </c>
      <c r="B110" s="3" t="s">
        <v>189</v>
      </c>
      <c r="C110" s="3" t="s">
        <v>190</v>
      </c>
      <c r="D110" s="3" t="s">
        <v>423</v>
      </c>
      <c r="E110" s="3" t="s">
        <v>413</v>
      </c>
      <c r="F110" s="3" t="s">
        <v>414</v>
      </c>
      <c r="G110" s="3" t="str">
        <f>IFERROR(__xludf.DUMMYFUNCTION("GOOGLETRANSLATE(D110,""fr"",""es"")"),"ingle")</f>
        <v>ingle</v>
      </c>
    </row>
    <row r="111">
      <c r="A111" s="3">
        <v>89.0</v>
      </c>
      <c r="B111" s="3" t="s">
        <v>189</v>
      </c>
      <c r="C111" s="3" t="s">
        <v>190</v>
      </c>
      <c r="D111" s="3" t="s">
        <v>424</v>
      </c>
      <c r="E111" s="3" t="s">
        <v>425</v>
      </c>
      <c r="F111" s="3" t="s">
        <v>426</v>
      </c>
      <c r="G111" s="3" t="str">
        <f>IFERROR(__xludf.DUMMYFUNCTION("GOOGLETRANSLATE(D111,""fr"",""es"")"),"ala")</f>
        <v>ala</v>
      </c>
    </row>
    <row r="112">
      <c r="A112" s="3">
        <v>90.0</v>
      </c>
      <c r="B112" s="3" t="s">
        <v>189</v>
      </c>
      <c r="C112" s="3" t="s">
        <v>190</v>
      </c>
      <c r="D112" s="3" t="s">
        <v>427</v>
      </c>
      <c r="E112" s="3" t="s">
        <v>425</v>
      </c>
      <c r="F112" s="3" t="s">
        <v>426</v>
      </c>
      <c r="G112" s="3" t="str">
        <f>IFERROR(__xludf.DUMMYFUNCTION("GOOGLETRANSLATE(D112,""fr"",""es"")"),"cobertizo")</f>
        <v>cobertizo</v>
      </c>
    </row>
    <row r="113">
      <c r="A113" s="3">
        <v>91.0</v>
      </c>
      <c r="B113" s="3" t="s">
        <v>189</v>
      </c>
      <c r="C113" s="3" t="s">
        <v>190</v>
      </c>
      <c r="D113" s="3" t="s">
        <v>428</v>
      </c>
      <c r="E113" s="3" t="s">
        <v>192</v>
      </c>
      <c r="F113" s="3" t="s">
        <v>191</v>
      </c>
      <c r="G113" s="3" t="str">
        <f>IFERROR(__xludf.DUMMYFUNCTION("GOOGLETRANSLATE(D113,""fr"",""es"")"),"ais")</f>
        <v>ais</v>
      </c>
    </row>
    <row r="114">
      <c r="A114" s="3">
        <v>92.0</v>
      </c>
      <c r="B114" s="3" t="s">
        <v>189</v>
      </c>
      <c r="C114" s="3" t="s">
        <v>190</v>
      </c>
      <c r="D114" s="3" t="s">
        <v>429</v>
      </c>
      <c r="E114" s="3" t="s">
        <v>430</v>
      </c>
      <c r="F114" s="3" t="s">
        <v>431</v>
      </c>
      <c r="G114" s="3" t="str">
        <f>IFERROR(__xludf.DUMMYFUNCTION("GOOGLETRANSLATE(D114,""fr"",""es"")"),"axila")</f>
        <v>axila</v>
      </c>
      <c r="H114" s="3" t="s">
        <v>432</v>
      </c>
      <c r="I114" s="3" t="s">
        <v>433</v>
      </c>
      <c r="J114" s="3" t="s">
        <v>434</v>
      </c>
      <c r="K114" s="3" t="s">
        <v>435</v>
      </c>
    </row>
    <row r="115">
      <c r="A115" s="3">
        <v>93.0</v>
      </c>
      <c r="B115" s="3" t="s">
        <v>189</v>
      </c>
      <c r="C115" s="3" t="s">
        <v>190</v>
      </c>
      <c r="D115" s="3" t="s">
        <v>436</v>
      </c>
      <c r="E115" s="3" t="s">
        <v>430</v>
      </c>
      <c r="F115" s="3" t="s">
        <v>431</v>
      </c>
      <c r="G115" s="3" t="str">
        <f>IFERROR(__xludf.DUMMYFUNCTION("GOOGLETRANSLATE(D115,""fr"",""es"")"),"axilas")</f>
        <v>axilas</v>
      </c>
    </row>
    <row r="116">
      <c r="A116" s="3">
        <v>94.0</v>
      </c>
      <c r="B116" s="3" t="s">
        <v>189</v>
      </c>
      <c r="C116" s="3" t="s">
        <v>190</v>
      </c>
      <c r="D116" s="3" t="s">
        <v>437</v>
      </c>
      <c r="E116" s="3" t="s">
        <v>192</v>
      </c>
      <c r="F116" s="3" t="s">
        <v>191</v>
      </c>
      <c r="G116" s="3" t="str">
        <f>IFERROR(__xludf.DUMMYFUNCTION("GOOGLETRANSLATE(D116,""fr"",""es"")"),"posee")</f>
        <v>posee</v>
      </c>
    </row>
    <row r="117">
      <c r="A117" s="3">
        <v>95.0</v>
      </c>
      <c r="B117" s="3" t="s">
        <v>189</v>
      </c>
      <c r="C117" s="3" t="s">
        <v>190</v>
      </c>
      <c r="D117" s="3" t="s">
        <v>362</v>
      </c>
      <c r="E117" s="3" t="s">
        <v>361</v>
      </c>
      <c r="F117" s="3" t="s">
        <v>362</v>
      </c>
      <c r="G117" s="3" t="str">
        <f>IFERROR(__xludf.DUMMYFUNCTION("GOOGLETRANSLATE(D117,""fr"",""es"")"),"Alabama")</f>
        <v>Alabama</v>
      </c>
      <c r="H117" s="3" t="s">
        <v>438</v>
      </c>
      <c r="I117" s="3" t="s">
        <v>439</v>
      </c>
      <c r="J117" s="3" t="s">
        <v>440</v>
      </c>
      <c r="K117" s="3" t="s">
        <v>441</v>
      </c>
      <c r="L117" s="3" t="s">
        <v>442</v>
      </c>
    </row>
    <row r="118">
      <c r="A118" s="3">
        <v>96.0</v>
      </c>
      <c r="B118" s="3" t="s">
        <v>189</v>
      </c>
      <c r="C118" s="3" t="s">
        <v>190</v>
      </c>
      <c r="D118" s="3" t="s">
        <v>443</v>
      </c>
      <c r="E118" s="3" t="s">
        <v>361</v>
      </c>
      <c r="F118" s="3" t="s">
        <v>362</v>
      </c>
      <c r="G118" s="3" t="str">
        <f>IFERROR(__xludf.DUMMYFUNCTION("GOOGLETRANSLATE(D118,""fr"",""es"")"),"cerveza inglesa")</f>
        <v>cerveza inglesa</v>
      </c>
      <c r="H118" s="3" t="s">
        <v>443</v>
      </c>
      <c r="I118" s="3" t="s">
        <v>443</v>
      </c>
    </row>
    <row r="119">
      <c r="A119" s="3">
        <v>97.0</v>
      </c>
      <c r="B119" s="3" t="s">
        <v>189</v>
      </c>
      <c r="C119" s="3" t="s">
        <v>190</v>
      </c>
      <c r="D119" s="3" t="s">
        <v>444</v>
      </c>
      <c r="E119" s="3" t="s">
        <v>361</v>
      </c>
      <c r="F119" s="3" t="s">
        <v>362</v>
      </c>
      <c r="G119" s="3" t="str">
        <f>IFERROR(__xludf.DUMMYFUNCTION("GOOGLETRANSLATE(D119,""fr"",""es"")"),"a los")</f>
        <v>a los</v>
      </c>
    </row>
    <row r="120">
      <c r="A120" s="3">
        <v>98.0</v>
      </c>
      <c r="B120" s="3" t="s">
        <v>189</v>
      </c>
      <c r="C120" s="3" t="s">
        <v>190</v>
      </c>
      <c r="D120" s="3" t="s">
        <v>445</v>
      </c>
      <c r="E120" s="3" t="s">
        <v>446</v>
      </c>
      <c r="F120" s="3" t="s">
        <v>447</v>
      </c>
      <c r="G120" s="3" t="str">
        <f>IFERROR(__xludf.DUMMYFUNCTION("GOOGLETRANSLATE(D120,""fr"",""es"")"),"alineado")</f>
        <v>alineado</v>
      </c>
    </row>
    <row r="121">
      <c r="A121" s="3">
        <v>99.0</v>
      </c>
      <c r="B121" s="3" t="s">
        <v>189</v>
      </c>
      <c r="C121" s="3" t="s">
        <v>190</v>
      </c>
      <c r="D121" s="3" t="s">
        <v>448</v>
      </c>
      <c r="E121" s="3" t="s">
        <v>446</v>
      </c>
      <c r="F121" s="3" t="s">
        <v>447</v>
      </c>
      <c r="G121" s="3" t="str">
        <f>IFERROR(__xludf.DUMMYFUNCTION("GOOGLETRANSLATE(D121,""fr"",""es"")"),"alineado")</f>
        <v>alineado</v>
      </c>
    </row>
    <row r="122">
      <c r="A122" s="3">
        <v>100.0</v>
      </c>
      <c r="B122" s="3" t="s">
        <v>189</v>
      </c>
      <c r="C122" s="3" t="s">
        <v>190</v>
      </c>
      <c r="D122" s="3" t="s">
        <v>449</v>
      </c>
      <c r="E122" s="3" t="s">
        <v>446</v>
      </c>
      <c r="F122" s="3" t="s">
        <v>447</v>
      </c>
      <c r="G122" s="3" t="str">
        <f>IFERROR(__xludf.DUMMYFUNCTION("GOOGLETRANSLATE(D122,""fr"",""es"")"),"Alignais")</f>
        <v>Alignais</v>
      </c>
    </row>
    <row r="123">
      <c r="A123" s="3">
        <v>101.0</v>
      </c>
      <c r="B123" s="3" t="s">
        <v>189</v>
      </c>
      <c r="C123" s="3" t="s">
        <v>190</v>
      </c>
      <c r="D123" s="3" t="s">
        <v>450</v>
      </c>
      <c r="E123" s="3" t="s">
        <v>446</v>
      </c>
      <c r="F123" s="3" t="s">
        <v>447</v>
      </c>
      <c r="G123" s="3" t="str">
        <f>IFERROR(__xludf.DUMMYFUNCTION("GOOGLETRANSLATE(D123,""fr"",""es"")"),"alineado")</f>
        <v>alineado</v>
      </c>
    </row>
    <row r="124">
      <c r="A124" s="3">
        <v>102.0</v>
      </c>
      <c r="B124" s="3" t="s">
        <v>189</v>
      </c>
      <c r="C124" s="3" t="s">
        <v>190</v>
      </c>
      <c r="D124" s="3" t="s">
        <v>451</v>
      </c>
      <c r="E124" s="3" t="s">
        <v>452</v>
      </c>
      <c r="F124" s="3" t="s">
        <v>453</v>
      </c>
      <c r="G124" s="3" t="str">
        <f>IFERROR(__xludf.DUMMYFUNCTION("GOOGLETRANSLATE(D124,""fr"",""es"")"),"alinear")</f>
        <v>alinear</v>
      </c>
    </row>
    <row r="125">
      <c r="A125" s="3">
        <v>103.0</v>
      </c>
      <c r="B125" s="3" t="s">
        <v>189</v>
      </c>
      <c r="C125" s="3" t="s">
        <v>190</v>
      </c>
      <c r="D125" s="3" t="s">
        <v>454</v>
      </c>
      <c r="E125" s="3" t="s">
        <v>455</v>
      </c>
      <c r="F125" s="3" t="s">
        <v>456</v>
      </c>
      <c r="G125" s="3" t="str">
        <f>IFERROR(__xludf.DUMMYFUNCTION("GOOGLETRANSLATE(D125,""fr"",""es"")"),"alignasa")</f>
        <v>alignasa</v>
      </c>
    </row>
    <row r="126">
      <c r="A126" s="3">
        <v>104.0</v>
      </c>
      <c r="B126" s="3" t="s">
        <v>189</v>
      </c>
      <c r="C126" s="3" t="s">
        <v>190</v>
      </c>
      <c r="D126" s="3" t="s">
        <v>457</v>
      </c>
      <c r="E126" s="3" t="s">
        <v>455</v>
      </c>
      <c r="F126" s="3" t="s">
        <v>456</v>
      </c>
      <c r="G126" s="3" t="str">
        <f>IFERROR(__xludf.DUMMYFUNCTION("GOOGLETRANSLATE(D126,""fr"",""es"")"),"alineado")</f>
        <v>alineado</v>
      </c>
    </row>
    <row r="127">
      <c r="A127" s="3">
        <v>105.0</v>
      </c>
      <c r="B127" s="3" t="s">
        <v>189</v>
      </c>
      <c r="C127" s="3" t="s">
        <v>190</v>
      </c>
      <c r="D127" s="3" t="s">
        <v>458</v>
      </c>
      <c r="E127" s="3" t="s">
        <v>455</v>
      </c>
      <c r="F127" s="3" t="s">
        <v>456</v>
      </c>
      <c r="G127" s="3" t="str">
        <f>IFERROR(__xludf.DUMMYFUNCTION("GOOGLETRANSLATE(D127,""fr"",""es"")"),"alineado")</f>
        <v>alineado</v>
      </c>
    </row>
    <row r="128">
      <c r="A128" s="3">
        <v>106.0</v>
      </c>
      <c r="B128" s="3" t="s">
        <v>189</v>
      </c>
      <c r="C128" s="3" t="s">
        <v>190</v>
      </c>
      <c r="D128" s="3" t="s">
        <v>459</v>
      </c>
      <c r="E128" s="3" t="s">
        <v>460</v>
      </c>
      <c r="F128" s="3" t="s">
        <v>461</v>
      </c>
      <c r="G128" s="3" t="str">
        <f>IFERROR(__xludf.DUMMYFUNCTION("GOOGLETRANSLATE(D128,""fr"",""es"")"),"alinear")</f>
        <v>alinear</v>
      </c>
    </row>
    <row r="129">
      <c r="A129" s="3">
        <v>107.0</v>
      </c>
      <c r="B129" s="3" t="s">
        <v>189</v>
      </c>
      <c r="C129" s="3" t="s">
        <v>190</v>
      </c>
      <c r="D129" s="3" t="s">
        <v>462</v>
      </c>
      <c r="E129" s="3" t="s">
        <v>460</v>
      </c>
      <c r="F129" s="3" t="s">
        <v>461</v>
      </c>
      <c r="G129" s="3" t="str">
        <f>IFERROR(__xludf.DUMMYFUNCTION("GOOGLETRANSLATE(D129,""fr"",""es"")"),"alinear")</f>
        <v>alinear</v>
      </c>
    </row>
    <row r="130">
      <c r="A130" s="3">
        <v>108.0</v>
      </c>
      <c r="B130" s="3" t="s">
        <v>189</v>
      </c>
      <c r="C130" s="3" t="s">
        <v>190</v>
      </c>
      <c r="D130" s="3" t="s">
        <v>463</v>
      </c>
      <c r="E130" s="3" t="s">
        <v>460</v>
      </c>
      <c r="F130" s="3" t="s">
        <v>461</v>
      </c>
      <c r="G130" s="3" t="str">
        <f>IFERROR(__xludf.DUMMYFUNCTION("GOOGLETRANSLATE(D130,""fr"",""es"")"),"alignes")</f>
        <v>alignes</v>
      </c>
    </row>
    <row r="131">
      <c r="A131" s="3">
        <v>109.0</v>
      </c>
      <c r="B131" s="3" t="s">
        <v>189</v>
      </c>
      <c r="C131" s="3" t="s">
        <v>190</v>
      </c>
      <c r="D131" s="3" t="s">
        <v>464</v>
      </c>
      <c r="E131" s="3" t="s">
        <v>465</v>
      </c>
      <c r="F131" s="3" t="s">
        <v>466</v>
      </c>
      <c r="G131" s="3" t="str">
        <f>IFERROR(__xludf.DUMMYFUNCTION("GOOGLETRANSLATE(D131,""fr"",""es"")"),"Alitai")</f>
        <v>Alitai</v>
      </c>
    </row>
    <row r="132">
      <c r="A132" s="3">
        <v>110.0</v>
      </c>
      <c r="B132" s="3" t="s">
        <v>189</v>
      </c>
      <c r="C132" s="3" t="s">
        <v>190</v>
      </c>
      <c r="D132" s="3" t="s">
        <v>467</v>
      </c>
      <c r="E132" s="3" t="s">
        <v>465</v>
      </c>
      <c r="F132" s="3" t="s">
        <v>466</v>
      </c>
      <c r="G132" s="3" t="str">
        <f>IFERROR(__xludf.DUMMYFUNCTION("GOOGLETRANSLATE(D132,""fr"",""es"")"),"alitado")</f>
        <v>alitado</v>
      </c>
    </row>
    <row r="133">
      <c r="A133" s="3">
        <v>111.0</v>
      </c>
      <c r="B133" s="3" t="s">
        <v>189</v>
      </c>
      <c r="C133" s="3" t="s">
        <v>190</v>
      </c>
      <c r="D133" s="3" t="s">
        <v>468</v>
      </c>
      <c r="E133" s="3" t="s">
        <v>465</v>
      </c>
      <c r="F133" s="3" t="s">
        <v>466</v>
      </c>
      <c r="G133" s="3" t="str">
        <f>IFERROR(__xludf.DUMMYFUNCTION("GOOGLETRANSLATE(D133,""fr"",""es"")"),"Alitais")</f>
        <v>Alitais</v>
      </c>
    </row>
    <row r="134">
      <c r="A134" s="3">
        <v>112.0</v>
      </c>
      <c r="B134" s="3" t="s">
        <v>189</v>
      </c>
      <c r="C134" s="3" t="s">
        <v>190</v>
      </c>
      <c r="D134" s="3" t="s">
        <v>469</v>
      </c>
      <c r="E134" s="3" t="s">
        <v>465</v>
      </c>
      <c r="F134" s="3" t="s">
        <v>466</v>
      </c>
      <c r="G134" s="3" t="str">
        <f>IFERROR(__xludf.DUMMYFUNCTION("GOOGLETRANSLATE(D134,""fr"",""es"")"),"alité")</f>
        <v>alité</v>
      </c>
    </row>
    <row r="135">
      <c r="A135" s="3">
        <v>113.0</v>
      </c>
      <c r="B135" s="3" t="s">
        <v>189</v>
      </c>
      <c r="C135" s="3" t="s">
        <v>190</v>
      </c>
      <c r="D135" s="3" t="s">
        <v>470</v>
      </c>
      <c r="E135" s="3" t="s">
        <v>471</v>
      </c>
      <c r="F135" s="3" t="s">
        <v>472</v>
      </c>
      <c r="G135" s="3" t="str">
        <f>IFERROR(__xludf.DUMMYFUNCTION("GOOGLETRANSLATE(D135,""fr"",""es"")"),"alitâme")</f>
        <v>alitâme</v>
      </c>
    </row>
    <row r="136">
      <c r="A136" s="3">
        <v>114.0</v>
      </c>
      <c r="B136" s="3" t="s">
        <v>189</v>
      </c>
      <c r="C136" s="3" t="s">
        <v>190</v>
      </c>
      <c r="D136" s="3" t="s">
        <v>473</v>
      </c>
      <c r="E136" s="3" t="s">
        <v>474</v>
      </c>
      <c r="F136" s="3" t="s">
        <v>475</v>
      </c>
      <c r="G136" s="3" t="str">
        <f>IFERROR(__xludf.DUMMYFUNCTION("GOOGLETRANSLATE(D136,""fr"",""es"")"),"alitasse")</f>
        <v>alitasse</v>
      </c>
    </row>
    <row r="137">
      <c r="A137" s="3">
        <v>115.0</v>
      </c>
      <c r="B137" s="3" t="s">
        <v>189</v>
      </c>
      <c r="C137" s="3" t="s">
        <v>190</v>
      </c>
      <c r="D137" s="3" t="s">
        <v>476</v>
      </c>
      <c r="E137" s="3" t="s">
        <v>474</v>
      </c>
      <c r="F137" s="3" t="s">
        <v>475</v>
      </c>
      <c r="G137" s="3" t="str">
        <f>IFERROR(__xludf.DUMMYFUNCTION("GOOGLETRANSLATE(D137,""fr"",""es"")"),"alitasse")</f>
        <v>alitasse</v>
      </c>
    </row>
    <row r="138">
      <c r="A138" s="3">
        <v>116.0</v>
      </c>
      <c r="B138" s="3" t="s">
        <v>189</v>
      </c>
      <c r="C138" s="3" t="s">
        <v>190</v>
      </c>
      <c r="D138" s="3" t="s">
        <v>477</v>
      </c>
      <c r="E138" s="3" t="s">
        <v>474</v>
      </c>
      <c r="F138" s="3" t="s">
        <v>475</v>
      </c>
      <c r="G138" s="3" t="str">
        <f>IFERROR(__xludf.DUMMYFUNCTION("GOOGLETRANSLATE(D138,""fr"",""es"")"),"alitas")</f>
        <v>alitas</v>
      </c>
    </row>
    <row r="139">
      <c r="A139" s="3">
        <v>117.0</v>
      </c>
      <c r="B139" s="3" t="s">
        <v>189</v>
      </c>
      <c r="C139" s="3" t="s">
        <v>190</v>
      </c>
      <c r="D139" s="3" t="s">
        <v>478</v>
      </c>
      <c r="E139" s="3" t="s">
        <v>479</v>
      </c>
      <c r="F139" s="3" t="s">
        <v>480</v>
      </c>
      <c r="G139" s="3" t="str">
        <f>IFERROR(__xludf.DUMMYFUNCTION("GOOGLETRANSLATE(D139,""fr"",""es"")"),"amamantamiento")</f>
        <v>amamantamiento</v>
      </c>
    </row>
    <row r="140">
      <c r="A140" s="3">
        <v>118.0</v>
      </c>
      <c r="B140" s="3" t="s">
        <v>189</v>
      </c>
      <c r="C140" s="3" t="s">
        <v>190</v>
      </c>
      <c r="D140" s="3" t="s">
        <v>481</v>
      </c>
      <c r="E140" s="3" t="s">
        <v>479</v>
      </c>
      <c r="F140" s="3" t="s">
        <v>480</v>
      </c>
      <c r="G140" s="3" t="str">
        <f>IFERROR(__xludf.DUMMYFUNCTION("GOOGLETRANSLATE(D140,""fr"",""es"")"),"iban")</f>
        <v>iban</v>
      </c>
    </row>
    <row r="141">
      <c r="A141" s="3">
        <v>119.0</v>
      </c>
      <c r="B141" s="3" t="s">
        <v>189</v>
      </c>
      <c r="C141" s="3" t="s">
        <v>190</v>
      </c>
      <c r="D141" s="3" t="s">
        <v>482</v>
      </c>
      <c r="E141" s="3" t="s">
        <v>479</v>
      </c>
      <c r="F141" s="3" t="s">
        <v>480</v>
      </c>
      <c r="G141" s="3" t="str">
        <f>IFERROR(__xludf.DUMMYFUNCTION("GOOGLETRANSLATE(D141,""fr"",""es"")"),"alla")</f>
        <v>alla</v>
      </c>
    </row>
    <row r="142">
      <c r="A142" s="3">
        <v>120.0</v>
      </c>
      <c r="B142" s="3" t="s">
        <v>189</v>
      </c>
      <c r="C142" s="3" t="s">
        <v>190</v>
      </c>
      <c r="D142" s="3" t="s">
        <v>483</v>
      </c>
      <c r="E142" s="3" t="s">
        <v>479</v>
      </c>
      <c r="F142" s="3" t="s">
        <v>480</v>
      </c>
      <c r="G142" s="3" t="str">
        <f>IFERROR(__xludf.DUMMYFUNCTION("GOOGLETRANSLATE(D142,""fr"",""es"")"),"iba a")</f>
        <v>iba a</v>
      </c>
    </row>
    <row r="143">
      <c r="A143" s="3">
        <v>121.0</v>
      </c>
      <c r="B143" s="3" t="s">
        <v>189</v>
      </c>
      <c r="C143" s="3" t="s">
        <v>190</v>
      </c>
      <c r="D143" s="3" t="s">
        <v>484</v>
      </c>
      <c r="E143" s="3" t="s">
        <v>485</v>
      </c>
      <c r="F143" s="3" t="s">
        <v>486</v>
      </c>
      <c r="G143" s="3" t="str">
        <f>IFERROR(__xludf.DUMMYFUNCTION("GOOGLETRANSLATE(D143,""fr"",""es"")"),"permitió")</f>
        <v>permitió</v>
      </c>
    </row>
    <row r="144">
      <c r="A144" s="3">
        <v>122.0</v>
      </c>
      <c r="B144" s="3" t="s">
        <v>189</v>
      </c>
      <c r="C144" s="3" t="s">
        <v>190</v>
      </c>
      <c r="D144" s="3" t="s">
        <v>487</v>
      </c>
      <c r="E144" s="3" t="s">
        <v>488</v>
      </c>
      <c r="F144" s="3" t="s">
        <v>489</v>
      </c>
      <c r="G144" s="3" t="str">
        <f>IFERROR(__xludf.DUMMYFUNCTION("GOOGLETRANSLATE(D144,""fr"",""es"")"),"alegar")</f>
        <v>alegar</v>
      </c>
    </row>
    <row r="145">
      <c r="A145" s="3">
        <v>123.0</v>
      </c>
      <c r="B145" s="3" t="s">
        <v>189</v>
      </c>
      <c r="C145" s="3" t="s">
        <v>190</v>
      </c>
      <c r="D145" s="3" t="s">
        <v>490</v>
      </c>
      <c r="E145" s="3" t="s">
        <v>488</v>
      </c>
      <c r="F145" s="3" t="s">
        <v>489</v>
      </c>
      <c r="G145" s="3" t="str">
        <f>IFERROR(__xludf.DUMMYFUNCTION("GOOGLETRANSLATE(D145,""fr"",""es"")"),"aliviar")</f>
        <v>aliviar</v>
      </c>
    </row>
    <row r="146">
      <c r="A146" s="3">
        <v>124.0</v>
      </c>
      <c r="B146" s="3" t="s">
        <v>189</v>
      </c>
      <c r="C146" s="3" t="s">
        <v>190</v>
      </c>
      <c r="D146" s="3" t="s">
        <v>491</v>
      </c>
      <c r="E146" s="3" t="s">
        <v>488</v>
      </c>
      <c r="F146" s="3" t="s">
        <v>489</v>
      </c>
      <c r="G146" s="3" t="str">
        <f>IFERROR(__xludf.DUMMYFUNCTION("GOOGLETRANSLATE(D146,""fr"",""es"")"),"alegar")</f>
        <v>alegar</v>
      </c>
    </row>
    <row r="147">
      <c r="A147" s="3">
        <v>125.0</v>
      </c>
      <c r="B147" s="3" t="s">
        <v>189</v>
      </c>
      <c r="C147" s="3" t="s">
        <v>190</v>
      </c>
      <c r="D147" s="3" t="s">
        <v>492</v>
      </c>
      <c r="E147" s="3" t="s">
        <v>493</v>
      </c>
      <c r="F147" s="3" t="s">
        <v>494</v>
      </c>
      <c r="G147" s="3" t="str">
        <f>IFERROR(__xludf.DUMMYFUNCTION("GOOGLETRANSLATE(D147,""fr"",""es"")"),"callejón")</f>
        <v>callejón</v>
      </c>
    </row>
    <row r="148">
      <c r="A148" s="3">
        <v>126.0</v>
      </c>
      <c r="B148" s="3" t="s">
        <v>189</v>
      </c>
      <c r="C148" s="3" t="s">
        <v>190</v>
      </c>
      <c r="D148" s="3" t="s">
        <v>495</v>
      </c>
      <c r="E148" s="3" t="s">
        <v>493</v>
      </c>
      <c r="F148" s="3" t="s">
        <v>494</v>
      </c>
      <c r="G148" s="3" t="str">
        <f>IFERROR(__xludf.DUMMYFUNCTION("GOOGLETRANSLATE(D148,""fr"",""es"")"),"alegar")</f>
        <v>alegar</v>
      </c>
    </row>
    <row r="149">
      <c r="A149" s="3">
        <v>127.0</v>
      </c>
      <c r="B149" s="3" t="s">
        <v>189</v>
      </c>
      <c r="C149" s="3" t="s">
        <v>190</v>
      </c>
      <c r="D149" s="3" t="s">
        <v>496</v>
      </c>
      <c r="E149" s="3" t="s">
        <v>493</v>
      </c>
      <c r="F149" s="3" t="s">
        <v>494</v>
      </c>
      <c r="G149" s="3" t="str">
        <f>IFERROR(__xludf.DUMMYFUNCTION("GOOGLETRANSLATE(D149,""fr"",""es"")"),"paseos")</f>
        <v>paseos</v>
      </c>
    </row>
    <row r="150">
      <c r="A150" s="3">
        <v>128.0</v>
      </c>
      <c r="B150" s="3" t="s">
        <v>189</v>
      </c>
      <c r="C150" s="3" t="s">
        <v>190</v>
      </c>
      <c r="D150" s="3" t="s">
        <v>497</v>
      </c>
      <c r="E150" s="3" t="s">
        <v>498</v>
      </c>
      <c r="F150" s="3" t="s">
        <v>499</v>
      </c>
      <c r="G150" s="3" t="str">
        <f>IFERROR(__xludf.DUMMYFUNCTION("GOOGLETRANSLATE(D150,""fr"",""es"")"),"aliado")</f>
        <v>aliado</v>
      </c>
    </row>
    <row r="151">
      <c r="A151" s="3">
        <v>129.0</v>
      </c>
      <c r="B151" s="3" t="s">
        <v>189</v>
      </c>
      <c r="C151" s="3" t="s">
        <v>190</v>
      </c>
      <c r="D151" s="3" t="s">
        <v>500</v>
      </c>
      <c r="E151" s="3" t="s">
        <v>498</v>
      </c>
      <c r="F151" s="3" t="s">
        <v>499</v>
      </c>
      <c r="G151" s="3" t="str">
        <f>IFERROR(__xludf.DUMMYFUNCTION("GOOGLETRANSLATE(D151,""fr"",""es"")"),"Seducir")</f>
        <v>Seducir</v>
      </c>
    </row>
    <row r="152">
      <c r="A152" s="3">
        <v>130.0</v>
      </c>
      <c r="B152" s="3" t="s">
        <v>189</v>
      </c>
      <c r="C152" s="3" t="s">
        <v>190</v>
      </c>
      <c r="D152" s="3" t="s">
        <v>501</v>
      </c>
      <c r="E152" s="3" t="s">
        <v>498</v>
      </c>
      <c r="F152" s="3" t="s">
        <v>499</v>
      </c>
      <c r="G152" s="3" t="str">
        <f>IFERROR(__xludf.DUMMYFUNCTION("GOOGLETRANSLATE(D152,""fr"",""es"")"),"aliados")</f>
        <v>aliados</v>
      </c>
    </row>
    <row r="153">
      <c r="A153" s="3">
        <v>131.0</v>
      </c>
      <c r="B153" s="3" t="s">
        <v>189</v>
      </c>
      <c r="C153" s="3" t="s">
        <v>190</v>
      </c>
      <c r="D153" s="3" t="s">
        <v>502</v>
      </c>
      <c r="E153" s="3" t="s">
        <v>503</v>
      </c>
      <c r="F153" s="3" t="s">
        <v>504</v>
      </c>
      <c r="G153" s="3" t="str">
        <f>IFERROR(__xludf.DUMMYFUNCTION("GOOGLETRANSLATE(D153,""fr"",""es"")"),"asignado")</f>
        <v>asignado</v>
      </c>
    </row>
    <row r="154">
      <c r="A154" s="3">
        <v>132.0</v>
      </c>
      <c r="B154" s="3" t="s">
        <v>189</v>
      </c>
      <c r="C154" s="3" t="s">
        <v>190</v>
      </c>
      <c r="D154" s="3" t="s">
        <v>505</v>
      </c>
      <c r="E154" s="3" t="s">
        <v>503</v>
      </c>
      <c r="F154" s="3" t="s">
        <v>504</v>
      </c>
      <c r="G154" s="3" t="str">
        <f>IFERROR(__xludf.DUMMYFUNCTION("GOOGLETRANSLATE(D154,""fr"",""es"")"),"asignar")</f>
        <v>asignar</v>
      </c>
    </row>
    <row r="155">
      <c r="A155" s="3">
        <v>133.0</v>
      </c>
      <c r="B155" s="3" t="s">
        <v>189</v>
      </c>
      <c r="C155" s="3" t="s">
        <v>190</v>
      </c>
      <c r="D155" s="3" t="s">
        <v>506</v>
      </c>
      <c r="E155" s="3" t="s">
        <v>503</v>
      </c>
      <c r="F155" s="3" t="s">
        <v>504</v>
      </c>
      <c r="G155" s="3" t="str">
        <f>IFERROR(__xludf.DUMMYFUNCTION("GOOGLETRANSLATE(D155,""fr"",""es"")"),"asignado")</f>
        <v>asignado</v>
      </c>
    </row>
    <row r="156">
      <c r="A156" s="3">
        <v>134.0</v>
      </c>
      <c r="B156" s="3" t="s">
        <v>189</v>
      </c>
      <c r="C156" s="3" t="s">
        <v>190</v>
      </c>
      <c r="D156" s="3" t="s">
        <v>507</v>
      </c>
      <c r="E156" s="3" t="s">
        <v>508</v>
      </c>
      <c r="F156" s="3" t="s">
        <v>509</v>
      </c>
      <c r="G156" s="3" t="str">
        <f>IFERROR(__xludf.DUMMYFUNCTION("GOOGLETRANSLATE(D156,""fr"",""es"")"),"amassa")</f>
        <v>amassa</v>
      </c>
    </row>
    <row r="157">
      <c r="A157" s="3">
        <v>135.0</v>
      </c>
      <c r="B157" s="3" t="s">
        <v>189</v>
      </c>
      <c r="C157" s="3" t="s">
        <v>190</v>
      </c>
      <c r="D157" s="3" t="s">
        <v>510</v>
      </c>
      <c r="E157" s="3" t="s">
        <v>508</v>
      </c>
      <c r="F157" s="3" t="s">
        <v>509</v>
      </c>
      <c r="G157" s="3" t="str">
        <f>IFERROR(__xludf.DUMMYFUNCTION("GOOGLETRANSLATE(D157,""fr"",""es"")"),"reunido")</f>
        <v>reunido</v>
      </c>
    </row>
    <row r="158">
      <c r="A158" s="3">
        <v>136.0</v>
      </c>
      <c r="B158" s="3" t="s">
        <v>189</v>
      </c>
      <c r="C158" s="3" t="s">
        <v>190</v>
      </c>
      <c r="D158" s="3" t="s">
        <v>511</v>
      </c>
      <c r="E158" s="3" t="s">
        <v>508</v>
      </c>
      <c r="F158" s="3" t="s">
        <v>509</v>
      </c>
      <c r="G158" s="3" t="str">
        <f>IFERROR(__xludf.DUMMYFUNCTION("GOOGLETRANSLATE(D158,""fr"",""es"")"),"amasais")</f>
        <v>amasais</v>
      </c>
    </row>
    <row r="159">
      <c r="A159" s="3">
        <v>137.0</v>
      </c>
      <c r="B159" s="3" t="s">
        <v>189</v>
      </c>
      <c r="C159" s="3" t="s">
        <v>190</v>
      </c>
      <c r="D159" s="3" t="s">
        <v>512</v>
      </c>
      <c r="E159" s="3" t="s">
        <v>508</v>
      </c>
      <c r="F159" s="3" t="s">
        <v>509</v>
      </c>
      <c r="G159" s="3" t="str">
        <f>IFERROR(__xludf.DUMMYFUNCTION("GOOGLETRANSLATE(D159,""fr"",""es"")"),"aumentó")</f>
        <v>aumentó</v>
      </c>
    </row>
    <row r="160">
      <c r="A160" s="3">
        <v>138.0</v>
      </c>
      <c r="B160" s="3" t="s">
        <v>189</v>
      </c>
      <c r="C160" s="3" t="s">
        <v>190</v>
      </c>
      <c r="D160" s="3" t="s">
        <v>513</v>
      </c>
      <c r="E160" s="3" t="s">
        <v>514</v>
      </c>
      <c r="F160" s="3" t="s">
        <v>515</v>
      </c>
      <c r="G160" s="3" t="str">
        <f>IFERROR(__xludf.DUMMYFUNCTION("GOOGLETRANSLATE(D160,""fr"",""es"")"),"amassaâme")</f>
        <v>amassaâme</v>
      </c>
    </row>
    <row r="161">
      <c r="A161" s="3">
        <v>139.0</v>
      </c>
      <c r="B161" s="3" t="s">
        <v>189</v>
      </c>
      <c r="C161" s="3" t="s">
        <v>190</v>
      </c>
      <c r="D161" s="3" t="s">
        <v>516</v>
      </c>
      <c r="E161" s="3" t="s">
        <v>517</v>
      </c>
      <c r="F161" s="3" t="s">
        <v>518</v>
      </c>
      <c r="G161" s="3" t="str">
        <f>IFERROR(__xludf.DUMMYFUNCTION("GOOGLETRANSLATE(D161,""fr"",""es"")"),"pasarela")</f>
        <v>pasarela</v>
      </c>
    </row>
    <row r="162">
      <c r="A162" s="3">
        <v>140.0</v>
      </c>
      <c r="B162" s="3" t="s">
        <v>189</v>
      </c>
      <c r="C162" s="3" t="s">
        <v>190</v>
      </c>
      <c r="D162" s="3" t="s">
        <v>519</v>
      </c>
      <c r="E162" s="3" t="s">
        <v>517</v>
      </c>
      <c r="F162" s="3" t="s">
        <v>518</v>
      </c>
      <c r="G162" s="3" t="str">
        <f>IFERROR(__xludf.DUMMYFUNCTION("GOOGLETRANSLATE(D162,""fr"",""es"")"),"acelerar")</f>
        <v>acelerar</v>
      </c>
    </row>
    <row r="163">
      <c r="A163" s="3">
        <v>141.0</v>
      </c>
      <c r="B163" s="3" t="s">
        <v>189</v>
      </c>
      <c r="C163" s="3" t="s">
        <v>190</v>
      </c>
      <c r="D163" s="3" t="s">
        <v>520</v>
      </c>
      <c r="E163" s="3" t="s">
        <v>517</v>
      </c>
      <c r="F163" s="3" t="s">
        <v>518</v>
      </c>
      <c r="G163" s="3" t="str">
        <f>IFERROR(__xludf.DUMMYFUNCTION("GOOGLETRANSLATE(D163,""fr"",""es"")"),"vaina")</f>
        <v>vaina</v>
      </c>
    </row>
    <row r="164">
      <c r="A164" s="3">
        <v>142.0</v>
      </c>
      <c r="B164" s="3" t="s">
        <v>189</v>
      </c>
      <c r="C164" s="3" t="s">
        <v>190</v>
      </c>
      <c r="D164" s="3" t="s">
        <v>521</v>
      </c>
      <c r="E164" s="3" t="s">
        <v>403</v>
      </c>
      <c r="F164" s="3" t="s">
        <v>404</v>
      </c>
      <c r="G164" s="3" t="str">
        <f>IFERROR(__xludf.DUMMYFUNCTION("GOOGLETRANSLATE(D164,""fr"",""es"")"),"vaina")</f>
        <v>vaina</v>
      </c>
    </row>
    <row r="165">
      <c r="A165" s="3">
        <v>143.0</v>
      </c>
      <c r="B165" s="3" t="s">
        <v>189</v>
      </c>
      <c r="C165" s="3" t="s">
        <v>190</v>
      </c>
      <c r="D165" s="3" t="s">
        <v>522</v>
      </c>
      <c r="E165" s="3" t="s">
        <v>403</v>
      </c>
      <c r="F165" s="3" t="s">
        <v>404</v>
      </c>
      <c r="G165" s="3" t="str">
        <f>IFERROR(__xludf.DUMMYFUNCTION("GOOGLETRANSLATE(D165,""fr"",""es"")"),"montón")</f>
        <v>montón</v>
      </c>
    </row>
    <row r="166">
      <c r="A166" s="3">
        <v>144.0</v>
      </c>
      <c r="B166" s="3" t="s">
        <v>189</v>
      </c>
      <c r="C166" s="3" t="s">
        <v>190</v>
      </c>
      <c r="D166" s="3" t="s">
        <v>523</v>
      </c>
      <c r="E166" s="3" t="s">
        <v>403</v>
      </c>
      <c r="F166" s="3" t="s">
        <v>404</v>
      </c>
      <c r="G166" s="3" t="str">
        <f>IFERROR(__xludf.DUMMYFUNCTION("GOOGLETRANSLATE(D166,""fr"",""es"")"),"Almendras")</f>
        <v>Almendras</v>
      </c>
    </row>
    <row r="167">
      <c r="A167" s="3">
        <v>145.0</v>
      </c>
      <c r="B167" s="3" t="s">
        <v>189</v>
      </c>
      <c r="C167" s="3" t="s">
        <v>190</v>
      </c>
      <c r="D167" s="3" t="s">
        <v>524</v>
      </c>
      <c r="E167" s="3" t="s">
        <v>408</v>
      </c>
      <c r="F167" s="3" t="s">
        <v>409</v>
      </c>
      <c r="G167" s="3" t="str">
        <f>IFERROR(__xludf.DUMMYFUNCTION("GOOGLETRANSLATE(D167,""fr"",""es"")"),"alma")</f>
        <v>alma</v>
      </c>
      <c r="H167" s="3" t="s">
        <v>525</v>
      </c>
      <c r="I167" s="3" t="s">
        <v>525</v>
      </c>
      <c r="J167" s="3" t="s">
        <v>525</v>
      </c>
      <c r="K167" s="3" t="s">
        <v>526</v>
      </c>
      <c r="L167" s="3" t="s">
        <v>525</v>
      </c>
      <c r="M167" s="3" t="s">
        <v>527</v>
      </c>
    </row>
    <row r="168">
      <c r="A168" s="3">
        <v>146.0</v>
      </c>
      <c r="B168" s="3" t="s">
        <v>189</v>
      </c>
      <c r="C168" s="3" t="s">
        <v>190</v>
      </c>
      <c r="D168" s="3" t="s">
        <v>528</v>
      </c>
      <c r="E168" s="3" t="s">
        <v>529</v>
      </c>
      <c r="F168" s="3" t="s">
        <v>530</v>
      </c>
      <c r="G168" s="3" t="str">
        <f>IFERROR(__xludf.DUMMYFUNCTION("GOOGLETRANSLATE(D168,""fr"",""es"")"),"Amén")</f>
        <v>Amén</v>
      </c>
      <c r="H168" s="3" t="s">
        <v>531</v>
      </c>
      <c r="I168" s="3" t="s">
        <v>532</v>
      </c>
      <c r="J168" s="3" t="s">
        <v>533</v>
      </c>
      <c r="K168" s="3" t="s">
        <v>531</v>
      </c>
      <c r="L168" s="3" t="s">
        <v>532</v>
      </c>
      <c r="M168" s="3" t="s">
        <v>533</v>
      </c>
    </row>
    <row r="169">
      <c r="A169" s="3">
        <v>147.0</v>
      </c>
      <c r="B169" s="3" t="s">
        <v>189</v>
      </c>
      <c r="C169" s="3" t="s">
        <v>190</v>
      </c>
      <c r="D169" s="3" t="s">
        <v>534</v>
      </c>
      <c r="E169" s="3" t="s">
        <v>529</v>
      </c>
      <c r="F169" s="3" t="s">
        <v>530</v>
      </c>
      <c r="G169" s="3" t="str">
        <f>IFERROR(__xludf.DUMMYFUNCTION("GOOGLETRANSLATE(D169,""fr"",""es"")"),"traer")</f>
        <v>traer</v>
      </c>
      <c r="H169" s="3" t="s">
        <v>535</v>
      </c>
      <c r="I169" s="3" t="s">
        <v>536</v>
      </c>
      <c r="J169" s="3" t="s">
        <v>537</v>
      </c>
      <c r="K169" s="3" t="s">
        <v>538</v>
      </c>
      <c r="L169" s="3" t="s">
        <v>539</v>
      </c>
    </row>
    <row r="170">
      <c r="A170" s="3">
        <v>148.0</v>
      </c>
      <c r="B170" s="3" t="s">
        <v>189</v>
      </c>
      <c r="C170" s="3" t="s">
        <v>190</v>
      </c>
      <c r="D170" s="3" t="s">
        <v>540</v>
      </c>
      <c r="E170" s="3" t="s">
        <v>529</v>
      </c>
      <c r="F170" s="3" t="s">
        <v>530</v>
      </c>
      <c r="G170" s="3" t="str">
        <f>IFERROR(__xludf.DUMMYFUNCTION("GOOGLETRANSLATE(D170,""fr"",""es"")"),"Plomo")</f>
        <v>Plomo</v>
      </c>
    </row>
    <row r="171">
      <c r="A171" s="3">
        <v>149.0</v>
      </c>
      <c r="B171" s="3" t="s">
        <v>189</v>
      </c>
      <c r="C171" s="3" t="s">
        <v>190</v>
      </c>
      <c r="D171" s="3" t="s">
        <v>541</v>
      </c>
      <c r="E171" s="3" t="s">
        <v>529</v>
      </c>
      <c r="F171" s="3" t="s">
        <v>530</v>
      </c>
      <c r="G171" s="3" t="str">
        <f>IFERROR(__xludf.DUMMYFUNCTION("GOOGLETRANSLATE(D171,""fr"",""es"")"),"elevar")</f>
        <v>elevar</v>
      </c>
    </row>
    <row r="172">
      <c r="A172" s="3">
        <v>150.0</v>
      </c>
      <c r="B172" s="3" t="s">
        <v>189</v>
      </c>
      <c r="C172" s="3" t="s">
        <v>190</v>
      </c>
      <c r="D172" s="3" t="s">
        <v>542</v>
      </c>
      <c r="E172" s="3" t="s">
        <v>408</v>
      </c>
      <c r="F172" s="3" t="s">
        <v>409</v>
      </c>
      <c r="G172" s="3" t="str">
        <f>IFERROR(__xludf.DUMMYFUNCTION("GOOGLETRANSLATE(D172,""fr"",""es"")"),"almas")</f>
        <v>almas</v>
      </c>
    </row>
    <row r="173">
      <c r="A173" s="3">
        <v>151.0</v>
      </c>
      <c r="B173" s="3" t="s">
        <v>189</v>
      </c>
      <c r="C173" s="3" t="s">
        <v>190</v>
      </c>
      <c r="D173" s="3" t="s">
        <v>543</v>
      </c>
      <c r="E173" s="3" t="s">
        <v>544</v>
      </c>
      <c r="F173" s="3" t="s">
        <v>543</v>
      </c>
      <c r="G173" s="3" t="str">
        <f>IFERROR(__xludf.DUMMYFUNCTION("GOOGLETRANSLATE(D173,""fr"",""es"")"),"amigo")</f>
        <v>amigo</v>
      </c>
      <c r="H173" s="3" t="s">
        <v>545</v>
      </c>
      <c r="I173" s="3" t="s">
        <v>546</v>
      </c>
      <c r="J173" s="3" t="s">
        <v>547</v>
      </c>
      <c r="K173" s="3" t="s">
        <v>548</v>
      </c>
      <c r="L173" s="3" t="s">
        <v>549</v>
      </c>
      <c r="M173" s="3" t="s">
        <v>548</v>
      </c>
      <c r="N173" s="3" t="s">
        <v>550</v>
      </c>
      <c r="O173" s="3" t="s">
        <v>551</v>
      </c>
      <c r="P173" s="3" t="s">
        <v>552</v>
      </c>
      <c r="Q173" s="3" t="s">
        <v>553</v>
      </c>
      <c r="R173" s="3" t="s">
        <v>554</v>
      </c>
      <c r="S173" s="3" t="s">
        <v>548</v>
      </c>
      <c r="T173" s="3" t="s">
        <v>555</v>
      </c>
      <c r="U173" s="3" t="s">
        <v>556</v>
      </c>
      <c r="V173" s="3" t="s">
        <v>557</v>
      </c>
      <c r="W173" s="3" t="s">
        <v>558</v>
      </c>
      <c r="X173" s="3" t="s">
        <v>559</v>
      </c>
      <c r="Y173" s="3" t="s">
        <v>548</v>
      </c>
    </row>
    <row r="174">
      <c r="A174" s="3">
        <v>152.0</v>
      </c>
      <c r="B174" s="3" t="s">
        <v>189</v>
      </c>
      <c r="C174" s="3" t="s">
        <v>190</v>
      </c>
      <c r="D174" s="3" t="s">
        <v>560</v>
      </c>
      <c r="E174" s="3" t="s">
        <v>561</v>
      </c>
      <c r="F174" s="3" t="s">
        <v>562</v>
      </c>
      <c r="G174" s="3" t="str">
        <f>IFERROR(__xludf.DUMMYFUNCTION("GOOGLETRANSLATE(D174,""fr"",""es"")"),"amigable")</f>
        <v>amigable</v>
      </c>
      <c r="H174" s="3" t="s">
        <v>536</v>
      </c>
      <c r="I174" s="3" t="s">
        <v>537</v>
      </c>
      <c r="J174" s="3" t="s">
        <v>538</v>
      </c>
      <c r="K174" s="3" t="s">
        <v>539</v>
      </c>
      <c r="L174" s="3" t="s">
        <v>563</v>
      </c>
    </row>
    <row r="175">
      <c r="A175" s="3">
        <v>153.0</v>
      </c>
      <c r="B175" s="3" t="s">
        <v>189</v>
      </c>
      <c r="C175" s="3" t="s">
        <v>190</v>
      </c>
      <c r="D175" s="3" t="s">
        <v>564</v>
      </c>
      <c r="E175" s="3" t="s">
        <v>561</v>
      </c>
      <c r="F175" s="3" t="s">
        <v>562</v>
      </c>
      <c r="G175" s="3" t="str">
        <f>IFERROR(__xludf.DUMMYFUNCTION("GOOGLETRANSLATE(D175,""fr"",""es"")"),"amigable")</f>
        <v>amigable</v>
      </c>
    </row>
    <row r="176">
      <c r="A176" s="3">
        <v>154.0</v>
      </c>
      <c r="B176" s="3" t="s">
        <v>189</v>
      </c>
      <c r="C176" s="3" t="s">
        <v>190</v>
      </c>
      <c r="D176" s="3" t="s">
        <v>565</v>
      </c>
      <c r="E176" s="3" t="s">
        <v>561</v>
      </c>
      <c r="F176" s="3" t="s">
        <v>562</v>
      </c>
      <c r="G176" s="3" t="str">
        <f>IFERROR(__xludf.DUMMYFUNCTION("GOOGLETRANSLATE(D176,""fr"",""es"")"),"amigable")</f>
        <v>amigable</v>
      </c>
    </row>
    <row r="177">
      <c r="A177" s="3">
        <v>155.0</v>
      </c>
      <c r="B177" s="3" t="s">
        <v>189</v>
      </c>
      <c r="C177" s="3" t="s">
        <v>190</v>
      </c>
      <c r="D177" s="3" t="s">
        <v>566</v>
      </c>
      <c r="E177" s="3" t="s">
        <v>544</v>
      </c>
      <c r="F177" s="3" t="s">
        <v>543</v>
      </c>
      <c r="G177" s="3" t="str">
        <f>IFERROR(__xludf.DUMMYFUNCTION("GOOGLETRANSLATE(D177,""fr"",""es"")"),"amigos")</f>
        <v>amigos</v>
      </c>
    </row>
    <row r="178">
      <c r="A178" s="3">
        <v>156.0</v>
      </c>
      <c r="B178" s="3" t="s">
        <v>189</v>
      </c>
      <c r="C178" s="3" t="s">
        <v>190</v>
      </c>
      <c r="D178" s="3" t="s">
        <v>567</v>
      </c>
      <c r="E178" s="3" t="s">
        <v>568</v>
      </c>
      <c r="F178" s="3" t="s">
        <v>567</v>
      </c>
      <c r="G178" s="3" t="str">
        <f>IFERROR(__xludf.DUMMYFUNCTION("GOOGLETRANSLATE(D178,""fr"",""es"")"),"anal")</f>
        <v>anal</v>
      </c>
      <c r="H178" s="3" t="s">
        <v>567</v>
      </c>
      <c r="I178" s="3" t="s">
        <v>569</v>
      </c>
      <c r="J178" s="3" t="s">
        <v>567</v>
      </c>
    </row>
    <row r="179">
      <c r="A179" s="3">
        <v>157.0</v>
      </c>
      <c r="B179" s="3" t="s">
        <v>189</v>
      </c>
      <c r="C179" s="3" t="s">
        <v>190</v>
      </c>
      <c r="D179" s="3" t="s">
        <v>570</v>
      </c>
      <c r="E179" s="3" t="s">
        <v>568</v>
      </c>
      <c r="F179" s="3" t="s">
        <v>567</v>
      </c>
      <c r="G179" s="3" t="str">
        <f>IFERROR(__xludf.DUMMYFUNCTION("GOOGLETRANSLATE(D179,""fr"",""es"")"),"anal")</f>
        <v>anal</v>
      </c>
    </row>
    <row r="180">
      <c r="A180" s="3">
        <v>158.0</v>
      </c>
      <c r="B180" s="3" t="s">
        <v>189</v>
      </c>
      <c r="C180" s="3" t="s">
        <v>190</v>
      </c>
      <c r="D180" s="3" t="s">
        <v>571</v>
      </c>
      <c r="E180" s="3" t="s">
        <v>568</v>
      </c>
      <c r="F180" s="3" t="s">
        <v>567</v>
      </c>
      <c r="G180" s="3" t="str">
        <f>IFERROR(__xludf.DUMMYFUNCTION("GOOGLETRANSLATE(D180,""fr"",""es"")"),"anal")</f>
        <v>anal</v>
      </c>
    </row>
    <row r="181">
      <c r="A181" s="3">
        <v>159.0</v>
      </c>
      <c r="B181" s="3" t="s">
        <v>189</v>
      </c>
      <c r="C181" s="3" t="s">
        <v>190</v>
      </c>
      <c r="D181" s="3" t="s">
        <v>572</v>
      </c>
      <c r="E181" s="3" t="s">
        <v>573</v>
      </c>
      <c r="F181" s="3" t="s">
        <v>574</v>
      </c>
      <c r="G181" s="3" t="str">
        <f>IFERROR(__xludf.DUMMYFUNCTION("GOOGLETRANSLATE(D181,""fr"",""es"")"),"analista")</f>
        <v>analista</v>
      </c>
      <c r="H181" s="3" t="s">
        <v>575</v>
      </c>
      <c r="I181" s="3" t="s">
        <v>576</v>
      </c>
      <c r="J181" s="3" t="s">
        <v>575</v>
      </c>
      <c r="K181" s="3" t="s">
        <v>575</v>
      </c>
    </row>
    <row r="182">
      <c r="A182" s="3">
        <v>160.0</v>
      </c>
      <c r="B182" s="3" t="s">
        <v>189</v>
      </c>
      <c r="C182" s="3" t="s">
        <v>190</v>
      </c>
      <c r="D182" s="3" t="s">
        <v>577</v>
      </c>
      <c r="E182" s="3" t="s">
        <v>573</v>
      </c>
      <c r="F182" s="3" t="s">
        <v>574</v>
      </c>
      <c r="G182" s="3" t="str">
        <f>IFERROR(__xludf.DUMMYFUNCTION("GOOGLETRANSLATE(D182,""fr"",""es"")"),"analistas")</f>
        <v>analistas</v>
      </c>
    </row>
    <row r="183">
      <c r="A183" s="3">
        <v>161.0</v>
      </c>
      <c r="B183" s="3" t="s">
        <v>189</v>
      </c>
      <c r="C183" s="3" t="s">
        <v>190</v>
      </c>
      <c r="D183" s="3" t="s">
        <v>578</v>
      </c>
      <c r="E183" s="3" t="s">
        <v>579</v>
      </c>
      <c r="F183" s="3" t="s">
        <v>580</v>
      </c>
      <c r="G183" s="3" t="str">
        <f>IFERROR(__xludf.DUMMYFUNCTION("GOOGLETRANSLATE(D183,""fr"",""es"")"),"anatema")</f>
        <v>anatema</v>
      </c>
      <c r="H183" s="3" t="s">
        <v>581</v>
      </c>
      <c r="I183" s="3" t="s">
        <v>582</v>
      </c>
      <c r="J183" s="3" t="s">
        <v>583</v>
      </c>
      <c r="K183" s="3" t="s">
        <v>583</v>
      </c>
      <c r="L183" s="3" t="s">
        <v>584</v>
      </c>
    </row>
    <row r="184">
      <c r="A184" s="3">
        <v>162.0</v>
      </c>
      <c r="B184" s="3" t="s">
        <v>189</v>
      </c>
      <c r="C184" s="3" t="s">
        <v>190</v>
      </c>
      <c r="D184" s="3" t="s">
        <v>585</v>
      </c>
      <c r="E184" s="3" t="s">
        <v>579</v>
      </c>
      <c r="F184" s="3" t="s">
        <v>580</v>
      </c>
      <c r="G184" s="3" t="str">
        <f>IFERROR(__xludf.DUMMYFUNCTION("GOOGLETRANSLATE(D184,""fr"",""es"")"),"anatema")</f>
        <v>anatema</v>
      </c>
    </row>
    <row r="185">
      <c r="A185" s="3">
        <v>163.0</v>
      </c>
      <c r="B185" s="3" t="s">
        <v>189</v>
      </c>
      <c r="C185" s="3" t="s">
        <v>190</v>
      </c>
      <c r="D185" s="3" t="s">
        <v>586</v>
      </c>
      <c r="E185" s="3" t="s">
        <v>413</v>
      </c>
      <c r="F185" s="3" t="s">
        <v>414</v>
      </c>
      <c r="G185" s="3" t="str">
        <f>IFERROR(__xludf.DUMMYFUNCTION("GOOGLETRANSLATE(D185,""fr"",""es"")"),"Burro")</f>
        <v>Burro</v>
      </c>
      <c r="H185" s="3" t="s">
        <v>587</v>
      </c>
      <c r="I185" s="3" t="s">
        <v>588</v>
      </c>
      <c r="J185" s="3" t="s">
        <v>589</v>
      </c>
      <c r="K185" s="3" t="s">
        <v>590</v>
      </c>
      <c r="L185" s="3" t="s">
        <v>591</v>
      </c>
      <c r="M185" s="3" t="s">
        <v>592</v>
      </c>
      <c r="N185" s="3" t="s">
        <v>593</v>
      </c>
      <c r="O185" s="3" t="s">
        <v>589</v>
      </c>
      <c r="P185" s="3" t="s">
        <v>587</v>
      </c>
      <c r="Q185" s="3" t="s">
        <v>594</v>
      </c>
      <c r="R185" s="3" t="s">
        <v>595</v>
      </c>
      <c r="S185" s="3" t="s">
        <v>596</v>
      </c>
      <c r="T185" s="3" t="s">
        <v>597</v>
      </c>
      <c r="U185" s="3" t="s">
        <v>598</v>
      </c>
      <c r="V185" s="3" t="s">
        <v>599</v>
      </c>
      <c r="W185" s="3" t="s">
        <v>600</v>
      </c>
      <c r="X185" s="3" t="s">
        <v>601</v>
      </c>
      <c r="Y185" s="3" t="s">
        <v>602</v>
      </c>
    </row>
    <row r="186">
      <c r="A186" s="3">
        <v>164.0</v>
      </c>
      <c r="B186" s="3" t="s">
        <v>189</v>
      </c>
      <c r="C186" s="3" t="s">
        <v>190</v>
      </c>
      <c r="D186" s="3" t="s">
        <v>603</v>
      </c>
      <c r="E186" s="3" t="s">
        <v>413</v>
      </c>
      <c r="F186" s="3" t="s">
        <v>414</v>
      </c>
      <c r="G186" s="3" t="str">
        <f>IFERROR(__xludf.DUMMYFUNCTION("GOOGLETRANSLATE(D186,""fr"",""es"")"),"burro")</f>
        <v>burro</v>
      </c>
    </row>
    <row r="187">
      <c r="A187" s="3">
        <v>165.0</v>
      </c>
      <c r="B187" s="3" t="s">
        <v>189</v>
      </c>
      <c r="C187" s="3" t="s">
        <v>190</v>
      </c>
      <c r="D187" s="3" t="s">
        <v>604</v>
      </c>
      <c r="E187" s="3" t="s">
        <v>425</v>
      </c>
      <c r="F187" s="3" t="s">
        <v>426</v>
      </c>
      <c r="G187" s="3" t="str">
        <f>IFERROR(__xludf.DUMMYFUNCTION("GOOGLETRANSLATE(D187,""fr"",""es"")"),"Burro")</f>
        <v>Burro</v>
      </c>
      <c r="H187" s="3" t="s">
        <v>605</v>
      </c>
      <c r="I187" s="3" t="s">
        <v>606</v>
      </c>
      <c r="J187" s="3" t="s">
        <v>607</v>
      </c>
      <c r="K187" s="3" t="s">
        <v>608</v>
      </c>
      <c r="L187" s="3" t="s">
        <v>609</v>
      </c>
    </row>
    <row r="188">
      <c r="A188" s="3">
        <v>166.0</v>
      </c>
      <c r="B188" s="3" t="s">
        <v>189</v>
      </c>
      <c r="C188" s="3" t="s">
        <v>190</v>
      </c>
      <c r="D188" s="3" t="s">
        <v>610</v>
      </c>
      <c r="E188" s="3" t="s">
        <v>425</v>
      </c>
      <c r="F188" s="3" t="s">
        <v>426</v>
      </c>
      <c r="G188" s="3" t="str">
        <f>IFERROR(__xludf.DUMMYFUNCTION("GOOGLETRANSLATE(D188,""fr"",""es"")"),"amanecer")</f>
        <v>amanecer</v>
      </c>
    </row>
    <row r="189">
      <c r="A189" s="3">
        <v>167.0</v>
      </c>
      <c r="B189" s="3" t="s">
        <v>189</v>
      </c>
      <c r="C189" s="3" t="s">
        <v>190</v>
      </c>
      <c r="D189" s="3" t="s">
        <v>611</v>
      </c>
      <c r="E189" s="3" t="s">
        <v>612</v>
      </c>
      <c r="F189" s="3" t="s">
        <v>613</v>
      </c>
      <c r="G189" s="3" t="str">
        <f>IFERROR(__xludf.DUMMYFUNCTION("GOOGLETRANSLATE(D189,""fr"",""es"")"),"colaborado")</f>
        <v>colaborado</v>
      </c>
    </row>
    <row r="190">
      <c r="A190" s="3">
        <v>168.0</v>
      </c>
      <c r="B190" s="3" t="s">
        <v>189</v>
      </c>
      <c r="C190" s="3" t="s">
        <v>190</v>
      </c>
      <c r="D190" s="3" t="s">
        <v>614</v>
      </c>
      <c r="E190" s="3" t="s">
        <v>612</v>
      </c>
      <c r="F190" s="3" t="s">
        <v>613</v>
      </c>
      <c r="G190" s="3" t="str">
        <f>IFERROR(__xludf.DUMMYFUNCTION("GOOGLETRANSLATE(D190,""fr"",""es"")"),"animado")</f>
        <v>animado</v>
      </c>
    </row>
    <row r="191">
      <c r="A191" s="3">
        <v>169.0</v>
      </c>
      <c r="B191" s="3" t="s">
        <v>189</v>
      </c>
      <c r="C191" s="3" t="s">
        <v>190</v>
      </c>
      <c r="D191" s="3" t="s">
        <v>615</v>
      </c>
      <c r="E191" s="3" t="s">
        <v>612</v>
      </c>
      <c r="F191" s="3" t="s">
        <v>613</v>
      </c>
      <c r="G191" s="3" t="str">
        <f>IFERROR(__xludf.DUMMYFUNCTION("GOOGLETRANSLATE(D191,""fr"",""es"")"),"aniudais")</f>
        <v>aniudais</v>
      </c>
    </row>
    <row r="192">
      <c r="A192" s="3">
        <v>170.0</v>
      </c>
      <c r="B192" s="3" t="s">
        <v>189</v>
      </c>
      <c r="C192" s="3" t="s">
        <v>190</v>
      </c>
      <c r="D192" s="3" t="s">
        <v>616</v>
      </c>
      <c r="E192" s="3" t="s">
        <v>612</v>
      </c>
      <c r="F192" s="3" t="s">
        <v>613</v>
      </c>
      <c r="G192" s="3" t="str">
        <f>IFERROR(__xludf.DUMMYFUNCTION("GOOGLETRANSLATE(D192,""fr"",""es"")"),"animado")</f>
        <v>animado</v>
      </c>
    </row>
    <row r="193">
      <c r="A193" s="3">
        <v>171.0</v>
      </c>
      <c r="B193" s="3" t="s">
        <v>189</v>
      </c>
      <c r="C193" s="3" t="s">
        <v>190</v>
      </c>
      <c r="D193" s="3" t="s">
        <v>617</v>
      </c>
      <c r="E193" s="3" t="s">
        <v>618</v>
      </c>
      <c r="F193" s="3" t="s">
        <v>617</v>
      </c>
      <c r="G193" s="3" t="str">
        <f>IFERROR(__xludf.DUMMYFUNCTION("GOOGLETRANSLATE(D193,""fr"",""es"")"),"animal")</f>
        <v>animal</v>
      </c>
      <c r="H193" s="3" t="s">
        <v>617</v>
      </c>
      <c r="I193" s="3" t="s">
        <v>619</v>
      </c>
      <c r="J193" s="3" t="s">
        <v>620</v>
      </c>
      <c r="K193" s="3" t="s">
        <v>621</v>
      </c>
      <c r="L193" s="3" t="s">
        <v>622</v>
      </c>
      <c r="M193" s="3" t="s">
        <v>623</v>
      </c>
      <c r="N193" s="3" t="s">
        <v>624</v>
      </c>
      <c r="O193" s="3" t="s">
        <v>625</v>
      </c>
      <c r="P193" s="3" t="s">
        <v>626</v>
      </c>
      <c r="Q193" s="3" t="s">
        <v>617</v>
      </c>
      <c r="R193" s="3" t="s">
        <v>627</v>
      </c>
      <c r="S193" s="3" t="s">
        <v>628</v>
      </c>
      <c r="T193" s="3" t="s">
        <v>629</v>
      </c>
    </row>
    <row r="194">
      <c r="A194" s="3">
        <v>172.0</v>
      </c>
      <c r="B194" s="3" t="s">
        <v>189</v>
      </c>
      <c r="C194" s="3" t="s">
        <v>190</v>
      </c>
      <c r="D194" s="3" t="s">
        <v>630</v>
      </c>
      <c r="E194" s="3" t="s">
        <v>618</v>
      </c>
      <c r="F194" s="3" t="s">
        <v>617</v>
      </c>
      <c r="G194" s="3" t="str">
        <f>IFERROR(__xludf.DUMMYFUNCTION("GOOGLETRANSLATE(D194,""fr"",""es"")"),"animal")</f>
        <v>animal</v>
      </c>
    </row>
    <row r="195">
      <c r="A195" s="3">
        <v>173.0</v>
      </c>
      <c r="B195" s="3" t="s">
        <v>189</v>
      </c>
      <c r="C195" s="3" t="s">
        <v>190</v>
      </c>
      <c r="D195" s="3" t="s">
        <v>631</v>
      </c>
      <c r="E195" s="3" t="s">
        <v>618</v>
      </c>
      <c r="F195" s="3" t="s">
        <v>617</v>
      </c>
      <c r="G195" s="3" t="str">
        <f>IFERROR(__xludf.DUMMYFUNCTION("GOOGLETRANSLATE(D195,""fr"",""es"")"),"animal")</f>
        <v>animal</v>
      </c>
    </row>
    <row r="196">
      <c r="A196" s="3">
        <v>174.0</v>
      </c>
      <c r="B196" s="3" t="s">
        <v>189</v>
      </c>
      <c r="C196" s="3" t="s">
        <v>190</v>
      </c>
      <c r="D196" s="3" t="s">
        <v>632</v>
      </c>
      <c r="E196" s="3" t="s">
        <v>633</v>
      </c>
      <c r="F196" s="3" t="s">
        <v>634</v>
      </c>
      <c r="G196" s="3" t="str">
        <f>IFERROR(__xludf.DUMMYFUNCTION("GOOGLETRANSLATE(D196,""fr"",""es"")"),"anima")</f>
        <v>anima</v>
      </c>
    </row>
    <row r="197">
      <c r="A197" s="3">
        <v>175.0</v>
      </c>
      <c r="B197" s="3" t="s">
        <v>189</v>
      </c>
      <c r="C197" s="3" t="s">
        <v>190</v>
      </c>
      <c r="D197" s="3" t="s">
        <v>635</v>
      </c>
      <c r="E197" s="3" t="s">
        <v>636</v>
      </c>
      <c r="F197" s="3" t="s">
        <v>637</v>
      </c>
      <c r="G197" s="3" t="str">
        <f>IFERROR(__xludf.DUMMYFUNCTION("GOOGLETRANSLATE(D197,""fr"",""es"")"),"animal")</f>
        <v>animal</v>
      </c>
    </row>
    <row r="198">
      <c r="A198" s="3">
        <v>176.0</v>
      </c>
      <c r="B198" s="3" t="s">
        <v>189</v>
      </c>
      <c r="C198" s="3" t="s">
        <v>190</v>
      </c>
      <c r="D198" s="3" t="s">
        <v>638</v>
      </c>
      <c r="E198" s="3" t="s">
        <v>636</v>
      </c>
      <c r="F198" s="3" t="s">
        <v>637</v>
      </c>
      <c r="G198" s="3" t="str">
        <f>IFERROR(__xludf.DUMMYFUNCTION("GOOGLETRANSLATE(D198,""fr"",""es"")"),"animar")</f>
        <v>animar</v>
      </c>
    </row>
    <row r="199">
      <c r="A199" s="3">
        <v>177.0</v>
      </c>
      <c r="B199" s="3" t="s">
        <v>189</v>
      </c>
      <c r="C199" s="3" t="s">
        <v>190</v>
      </c>
      <c r="D199" s="3" t="s">
        <v>639</v>
      </c>
      <c r="E199" s="3" t="s">
        <v>636</v>
      </c>
      <c r="F199" s="3" t="s">
        <v>637</v>
      </c>
      <c r="G199" s="3" t="str">
        <f>IFERROR(__xludf.DUMMYFUNCTION("GOOGLETRANSLATE(D199,""fr"",""es"")"),"animal")</f>
        <v>animal</v>
      </c>
    </row>
    <row r="200">
      <c r="A200" s="3">
        <v>178.0</v>
      </c>
      <c r="B200" s="3" t="s">
        <v>189</v>
      </c>
      <c r="C200" s="3" t="s">
        <v>190</v>
      </c>
      <c r="D200" s="3" t="s">
        <v>640</v>
      </c>
      <c r="E200" s="3" t="s">
        <v>641</v>
      </c>
      <c r="F200" s="3" t="s">
        <v>642</v>
      </c>
      <c r="G200" s="3" t="str">
        <f>IFERROR(__xludf.DUMMYFUNCTION("GOOGLETRANSLATE(D200,""fr"",""es"")"),"anime")</f>
        <v>anime</v>
      </c>
    </row>
    <row r="201">
      <c r="A201" s="3">
        <v>179.0</v>
      </c>
      <c r="B201" s="3" t="s">
        <v>189</v>
      </c>
      <c r="C201" s="3" t="s">
        <v>190</v>
      </c>
      <c r="D201" s="3" t="s">
        <v>643</v>
      </c>
      <c r="E201" s="3" t="s">
        <v>641</v>
      </c>
      <c r="F201" s="3" t="s">
        <v>642</v>
      </c>
      <c r="G201" s="3" t="str">
        <f>IFERROR(__xludf.DUMMYFUNCTION("GOOGLETRANSLATE(D201,""fr"",""es"")"),"animar")</f>
        <v>animar</v>
      </c>
    </row>
    <row r="202">
      <c r="A202" s="3">
        <v>180.0</v>
      </c>
      <c r="B202" s="3" t="s">
        <v>189</v>
      </c>
      <c r="C202" s="3" t="s">
        <v>190</v>
      </c>
      <c r="D202" s="3" t="s">
        <v>644</v>
      </c>
      <c r="E202" s="3" t="s">
        <v>641</v>
      </c>
      <c r="F202" s="3" t="s">
        <v>642</v>
      </c>
      <c r="G202" s="3" t="str">
        <f>IFERROR(__xludf.DUMMYFUNCTION("GOOGLETRANSLATE(D202,""fr"",""es"")"),"anime")</f>
        <v>anime</v>
      </c>
    </row>
    <row r="203">
      <c r="A203" s="3">
        <v>181.0</v>
      </c>
      <c r="B203" s="3" t="s">
        <v>189</v>
      </c>
      <c r="C203" s="3" t="s">
        <v>190</v>
      </c>
      <c r="D203" s="3" t="s">
        <v>645</v>
      </c>
      <c r="E203" s="3" t="s">
        <v>646</v>
      </c>
      <c r="F203" s="3" t="s">
        <v>647</v>
      </c>
      <c r="G203" s="3" t="str">
        <f>IFERROR(__xludf.DUMMYFUNCTION("GOOGLETRANSLATE(D203,""fr"",""es"")"),"animismo")</f>
        <v>animismo</v>
      </c>
      <c r="H203" s="3" t="s">
        <v>648</v>
      </c>
    </row>
    <row r="204">
      <c r="A204" s="3">
        <v>182.0</v>
      </c>
      <c r="B204" s="3" t="s">
        <v>189</v>
      </c>
      <c r="C204" s="3" t="s">
        <v>190</v>
      </c>
      <c r="D204" s="3" t="s">
        <v>649</v>
      </c>
      <c r="E204" s="3" t="s">
        <v>646</v>
      </c>
      <c r="F204" s="3" t="s">
        <v>647</v>
      </c>
      <c r="G204" s="3" t="str">
        <f>IFERROR(__xludf.DUMMYFUNCTION("GOOGLETRANSLATE(D204,""fr"",""es"")"),"animismo")</f>
        <v>animismo</v>
      </c>
    </row>
    <row r="205">
      <c r="A205" s="3">
        <v>183.0</v>
      </c>
      <c r="B205" s="3" t="s">
        <v>189</v>
      </c>
      <c r="C205" s="3" t="s">
        <v>190</v>
      </c>
      <c r="D205" s="3" t="s">
        <v>650</v>
      </c>
      <c r="E205" s="3" t="s">
        <v>568</v>
      </c>
      <c r="F205" s="3" t="s">
        <v>567</v>
      </c>
      <c r="G205" s="3" t="str">
        <f>IFERROR(__xludf.DUMMYFUNCTION("GOOGLETRANSLATE(D205,""fr"",""es"")"),"annal")</f>
        <v>annal</v>
      </c>
    </row>
    <row r="206">
      <c r="A206" s="3">
        <v>184.0</v>
      </c>
      <c r="B206" s="3" t="s">
        <v>189</v>
      </c>
      <c r="C206" s="3" t="s">
        <v>190</v>
      </c>
      <c r="D206" s="3" t="s">
        <v>651</v>
      </c>
      <c r="E206" s="3" t="s">
        <v>568</v>
      </c>
      <c r="F206" s="3" t="s">
        <v>567</v>
      </c>
      <c r="G206" s="3" t="str">
        <f>IFERROR(__xludf.DUMMYFUNCTION("GOOGLETRANSLATE(D206,""fr"",""es"")"),"annale")</f>
        <v>annale</v>
      </c>
    </row>
    <row r="207">
      <c r="A207" s="3">
        <v>185.0</v>
      </c>
      <c r="B207" s="3" t="s">
        <v>189</v>
      </c>
      <c r="C207" s="3" t="s">
        <v>190</v>
      </c>
      <c r="D207" s="3" t="s">
        <v>652</v>
      </c>
      <c r="E207" s="3" t="s">
        <v>568</v>
      </c>
      <c r="F207" s="3" t="s">
        <v>567</v>
      </c>
      <c r="G207" s="3" t="str">
        <f>IFERROR(__xludf.DUMMYFUNCTION("GOOGLETRANSLATE(D207,""fr"",""es"")"),"anales")</f>
        <v>anales</v>
      </c>
    </row>
    <row r="208">
      <c r="A208" s="3">
        <v>186.0</v>
      </c>
      <c r="B208" s="3" t="s">
        <v>189</v>
      </c>
      <c r="C208" s="3" t="s">
        <v>190</v>
      </c>
      <c r="D208" s="3" t="s">
        <v>653</v>
      </c>
      <c r="E208" s="3" t="s">
        <v>573</v>
      </c>
      <c r="F208" s="3" t="s">
        <v>574</v>
      </c>
      <c r="G208" s="3" t="str">
        <f>IFERROR(__xludf.DUMMYFUNCTION("GOOGLETRANSLATE(D208,""fr"",""es"")"),"analista")</f>
        <v>analista</v>
      </c>
      <c r="H208" s="3" t="s">
        <v>654</v>
      </c>
    </row>
    <row r="209">
      <c r="A209" s="3">
        <v>187.0</v>
      </c>
      <c r="B209" s="3" t="s">
        <v>189</v>
      </c>
      <c r="C209" s="3" t="s">
        <v>190</v>
      </c>
      <c r="D209" s="3" t="s">
        <v>655</v>
      </c>
      <c r="E209" s="3" t="s">
        <v>573</v>
      </c>
      <c r="F209" s="3" t="s">
        <v>574</v>
      </c>
      <c r="G209" s="3" t="str">
        <f>IFERROR(__xludf.DUMMYFUNCTION("GOOGLETRANSLATE(D209,""fr"",""es"")"),"analistas")</f>
        <v>analistas</v>
      </c>
    </row>
    <row r="210">
      <c r="A210" s="3">
        <v>188.0</v>
      </c>
      <c r="B210" s="3" t="s">
        <v>189</v>
      </c>
      <c r="C210" s="3" t="s">
        <v>190</v>
      </c>
      <c r="D210" s="3" t="s">
        <v>656</v>
      </c>
      <c r="E210" s="3" t="s">
        <v>657</v>
      </c>
      <c r="F210" s="3" t="s">
        <v>658</v>
      </c>
      <c r="G210" s="3" t="str">
        <f>IFERROR(__xludf.DUMMYFUNCTION("GOOGLETRANSLATE(D210,""fr"",""es"")"),"Annelâmes")</f>
        <v>Annelâmes</v>
      </c>
    </row>
    <row r="211">
      <c r="A211" s="3">
        <v>189.0</v>
      </c>
      <c r="B211" s="3" t="s">
        <v>189</v>
      </c>
      <c r="C211" s="3" t="s">
        <v>190</v>
      </c>
      <c r="D211" s="3" t="s">
        <v>659</v>
      </c>
      <c r="E211" s="3" t="s">
        <v>568</v>
      </c>
      <c r="F211" s="3" t="s">
        <v>567</v>
      </c>
      <c r="G211" s="3" t="str">
        <f>IFERROR(__xludf.DUMMYFUNCTION("GOOGLETRANSLATE(D211,""fr"",""es"")"),"Annelle")</f>
        <v>Annelle</v>
      </c>
    </row>
    <row r="212">
      <c r="A212" s="3">
        <v>190.0</v>
      </c>
      <c r="B212" s="3" t="s">
        <v>189</v>
      </c>
      <c r="C212" s="3" t="s">
        <v>190</v>
      </c>
      <c r="D212" s="3" t="s">
        <v>660</v>
      </c>
      <c r="E212" s="3" t="s">
        <v>568</v>
      </c>
      <c r="F212" s="3" t="s">
        <v>567</v>
      </c>
      <c r="G212" s="3" t="str">
        <f>IFERROR(__xludf.DUMMYFUNCTION("GOOGLETRANSLATE(D212,""fr"",""es"")"),"anillo")</f>
        <v>anillo</v>
      </c>
    </row>
    <row r="213">
      <c r="A213" s="3">
        <v>191.0</v>
      </c>
      <c r="B213" s="3" t="s">
        <v>189</v>
      </c>
      <c r="C213" s="3" t="s">
        <v>190</v>
      </c>
      <c r="D213" s="3" t="s">
        <v>661</v>
      </c>
      <c r="E213" s="3" t="s">
        <v>568</v>
      </c>
      <c r="F213" s="3" t="s">
        <v>567</v>
      </c>
      <c r="G213" s="3" t="str">
        <f>IFERROR(__xludf.DUMMYFUNCTION("GOOGLETRANSLATE(D213,""fr"",""es"")"),"Anillos")</f>
        <v>Anillos</v>
      </c>
    </row>
    <row r="214">
      <c r="A214" s="3">
        <v>192.0</v>
      </c>
      <c r="B214" s="3" t="s">
        <v>189</v>
      </c>
      <c r="C214" s="3" t="s">
        <v>190</v>
      </c>
      <c r="D214" s="3" t="s">
        <v>662</v>
      </c>
      <c r="E214" s="3" t="s">
        <v>663</v>
      </c>
      <c r="F214" s="3" t="s">
        <v>664</v>
      </c>
      <c r="G214" s="3" t="str">
        <f>IFERROR(__xludf.DUMMYFUNCTION("GOOGLETRANSLATE(D214,""fr"",""es"")"),"apache")</f>
        <v>apache</v>
      </c>
      <c r="H214" s="3" t="s">
        <v>665</v>
      </c>
      <c r="I214" s="3" t="s">
        <v>662</v>
      </c>
      <c r="J214" s="3" t="s">
        <v>665</v>
      </c>
    </row>
    <row r="215">
      <c r="A215" s="3">
        <v>193.0</v>
      </c>
      <c r="B215" s="3" t="s">
        <v>189</v>
      </c>
      <c r="C215" s="3" t="s">
        <v>190</v>
      </c>
      <c r="D215" s="3" t="s">
        <v>666</v>
      </c>
      <c r="E215" s="3" t="s">
        <v>663</v>
      </c>
      <c r="F215" s="3" t="s">
        <v>664</v>
      </c>
      <c r="G215" s="3" t="str">
        <f>IFERROR(__xludf.DUMMYFUNCTION("GOOGLETRANSLATE(D215,""fr"",""es"")"),"apache")</f>
        <v>apache</v>
      </c>
      <c r="H215" s="3" t="s">
        <v>662</v>
      </c>
    </row>
    <row r="216">
      <c r="A216" s="3">
        <v>194.0</v>
      </c>
      <c r="B216" s="3" t="s">
        <v>189</v>
      </c>
      <c r="C216" s="3" t="s">
        <v>190</v>
      </c>
      <c r="D216" s="3" t="s">
        <v>667</v>
      </c>
      <c r="E216" s="3" t="s">
        <v>668</v>
      </c>
      <c r="F216" s="3" t="s">
        <v>669</v>
      </c>
      <c r="G216" s="3" t="str">
        <f>IFERROR(__xludf.DUMMYFUNCTION("GOOGLETRANSLATE(D216,""fr"",""es"")"),"Apec")</f>
        <v>Apec</v>
      </c>
    </row>
    <row r="217">
      <c r="A217" s="3">
        <v>195.0</v>
      </c>
      <c r="B217" s="3" t="s">
        <v>189</v>
      </c>
      <c r="C217" s="3" t="s">
        <v>190</v>
      </c>
      <c r="D217" s="3" t="s">
        <v>670</v>
      </c>
      <c r="E217" s="3" t="s">
        <v>671</v>
      </c>
      <c r="F217" s="3" t="s">
        <v>672</v>
      </c>
      <c r="G217" s="3" t="str">
        <f>IFERROR(__xludf.DUMMYFUNCTION("GOOGLETRANSLATE(D217,""fr"",""es"")"),"apical")</f>
        <v>apical</v>
      </c>
    </row>
    <row r="218">
      <c r="A218" s="3">
        <v>196.0</v>
      </c>
      <c r="B218" s="3" t="s">
        <v>189</v>
      </c>
      <c r="C218" s="3" t="s">
        <v>190</v>
      </c>
      <c r="D218" s="3" t="s">
        <v>673</v>
      </c>
      <c r="E218" s="3" t="s">
        <v>671</v>
      </c>
      <c r="F218" s="3" t="s">
        <v>672</v>
      </c>
      <c r="G218" s="3" t="str">
        <f>IFERROR(__xludf.DUMMYFUNCTION("GOOGLETRANSLATE(D218,""fr"",""es"")"),"apical")</f>
        <v>apical</v>
      </c>
    </row>
    <row r="219">
      <c r="A219" s="3">
        <v>197.0</v>
      </c>
      <c r="B219" s="3" t="s">
        <v>189</v>
      </c>
      <c r="C219" s="3" t="s">
        <v>190</v>
      </c>
      <c r="D219" s="3" t="s">
        <v>674</v>
      </c>
      <c r="E219" s="3" t="s">
        <v>671</v>
      </c>
      <c r="F219" s="3" t="s">
        <v>672</v>
      </c>
      <c r="G219" s="3" t="str">
        <f>IFERROR(__xludf.DUMMYFUNCTION("GOOGLETRANSLATE(D219,""fr"",""es"")"),"apical")</f>
        <v>apical</v>
      </c>
    </row>
    <row r="220">
      <c r="A220" s="3">
        <v>198.0</v>
      </c>
      <c r="B220" s="3" t="s">
        <v>189</v>
      </c>
      <c r="C220" s="3" t="s">
        <v>190</v>
      </c>
      <c r="D220" s="3" t="s">
        <v>675</v>
      </c>
      <c r="E220" s="3" t="s">
        <v>676</v>
      </c>
      <c r="F220" s="3" t="s">
        <v>677</v>
      </c>
      <c r="G220" s="3" t="str">
        <f>IFERROR(__xludf.DUMMYFUNCTION("GOOGLETRANSLATE(D220,""fr"",""es"")"),"Aparato")</f>
        <v>Aparato</v>
      </c>
      <c r="H220" s="3" t="s">
        <v>678</v>
      </c>
      <c r="I220" s="3" t="s">
        <v>679</v>
      </c>
    </row>
    <row r="221">
      <c r="A221" s="3">
        <v>199.0</v>
      </c>
      <c r="B221" s="3" t="s">
        <v>189</v>
      </c>
      <c r="C221" s="3" t="s">
        <v>190</v>
      </c>
      <c r="D221" s="3" t="s">
        <v>680</v>
      </c>
      <c r="E221" s="3" t="s">
        <v>681</v>
      </c>
      <c r="F221" s="3" t="s">
        <v>682</v>
      </c>
      <c r="G221" s="3" t="str">
        <f>IFERROR(__xludf.DUMMYFUNCTION("GOOGLETRANSLATE(D221,""fr"",""es"")"),"carnada")</f>
        <v>carnada</v>
      </c>
    </row>
    <row r="222">
      <c r="A222" s="3">
        <v>200.0</v>
      </c>
      <c r="B222" s="3" t="s">
        <v>189</v>
      </c>
      <c r="C222" s="3" t="s">
        <v>190</v>
      </c>
      <c r="D222" s="3" t="s">
        <v>683</v>
      </c>
      <c r="E222" s="3" t="s">
        <v>681</v>
      </c>
      <c r="F222" s="3" t="s">
        <v>682</v>
      </c>
      <c r="G222" s="3" t="str">
        <f>IFERROR(__xludf.DUMMYFUNCTION("GOOGLETRANSLATE(D222,""fr"",""es"")"),"eran cebo")</f>
        <v>eran cebo</v>
      </c>
    </row>
    <row r="223">
      <c r="A223" s="3">
        <v>201.0</v>
      </c>
      <c r="B223" s="3" t="s">
        <v>189</v>
      </c>
      <c r="C223" s="3" t="s">
        <v>190</v>
      </c>
      <c r="D223" s="3" t="s">
        <v>684</v>
      </c>
      <c r="E223" s="3" t="s">
        <v>681</v>
      </c>
      <c r="F223" s="3" t="s">
        <v>682</v>
      </c>
      <c r="G223" s="3" t="str">
        <f>IFERROR(__xludf.DUMMYFUNCTION("GOOGLETRANSLATE(D223,""fr"",""es"")"),"carnada")</f>
        <v>carnada</v>
      </c>
    </row>
    <row r="224">
      <c r="A224" s="3">
        <v>202.0</v>
      </c>
      <c r="B224" s="3" t="s">
        <v>189</v>
      </c>
      <c r="C224" s="3" t="s">
        <v>190</v>
      </c>
      <c r="D224" s="3" t="s">
        <v>685</v>
      </c>
      <c r="E224" s="3" t="s">
        <v>681</v>
      </c>
      <c r="F224" s="3" t="s">
        <v>682</v>
      </c>
      <c r="G224" s="3" t="str">
        <f>IFERROR(__xludf.DUMMYFUNCTION("GOOGLETRANSLATE(D224,""fr"",""es"")"),"carnada")</f>
        <v>carnada</v>
      </c>
    </row>
    <row r="225">
      <c r="A225" s="3">
        <v>203.0</v>
      </c>
      <c r="B225" s="3" t="s">
        <v>189</v>
      </c>
      <c r="C225" s="3" t="s">
        <v>190</v>
      </c>
      <c r="D225" s="3" t="s">
        <v>686</v>
      </c>
      <c r="E225" s="3" t="s">
        <v>687</v>
      </c>
      <c r="F225" s="3" t="s">
        <v>688</v>
      </c>
      <c r="G225" s="3" t="str">
        <f>IFERROR(__xludf.DUMMYFUNCTION("GOOGLETRANSLATE(D225,""fr"",""es"")"),"carnada")</f>
        <v>carnada</v>
      </c>
    </row>
    <row r="226">
      <c r="A226" s="3">
        <v>204.0</v>
      </c>
      <c r="B226" s="3" t="s">
        <v>189</v>
      </c>
      <c r="C226" s="3" t="s">
        <v>190</v>
      </c>
      <c r="D226" s="3" t="s">
        <v>689</v>
      </c>
      <c r="E226" s="3" t="s">
        <v>690</v>
      </c>
      <c r="F226" s="3" t="s">
        <v>691</v>
      </c>
      <c r="G226" s="3" t="str">
        <f>IFERROR(__xludf.DUMMYFUNCTION("GOOGLETRANSLATE(D226,""fr"",""es"")"),"carnada")</f>
        <v>carnada</v>
      </c>
    </row>
    <row r="227">
      <c r="A227" s="3">
        <v>205.0</v>
      </c>
      <c r="B227" s="3" t="s">
        <v>189</v>
      </c>
      <c r="C227" s="3" t="s">
        <v>190</v>
      </c>
      <c r="D227" s="3" t="s">
        <v>692</v>
      </c>
      <c r="E227" s="3" t="s">
        <v>690</v>
      </c>
      <c r="F227" s="3" t="s">
        <v>691</v>
      </c>
      <c r="G227" s="3" t="str">
        <f>IFERROR(__xludf.DUMMYFUNCTION("GOOGLETRANSLATE(D227,""fr"",""es"")"),"carnada")</f>
        <v>carnada</v>
      </c>
    </row>
    <row r="228">
      <c r="A228" s="3">
        <v>206.0</v>
      </c>
      <c r="B228" s="3" t="s">
        <v>189</v>
      </c>
      <c r="C228" s="3" t="s">
        <v>190</v>
      </c>
      <c r="D228" s="3" t="s">
        <v>693</v>
      </c>
      <c r="E228" s="3" t="s">
        <v>690</v>
      </c>
      <c r="F228" s="3" t="s">
        <v>691</v>
      </c>
      <c r="G228" s="3" t="str">
        <f>IFERROR(__xludf.DUMMYFUNCTION("GOOGLETRANSLATE(D228,""fr"",""es"")"),"carnada")</f>
        <v>carnada</v>
      </c>
    </row>
    <row r="229">
      <c r="A229" s="3">
        <v>207.0</v>
      </c>
      <c r="B229" s="3" t="s">
        <v>189</v>
      </c>
      <c r="C229" s="3" t="s">
        <v>190</v>
      </c>
      <c r="D229" s="3" t="s">
        <v>694</v>
      </c>
      <c r="E229" s="3" t="s">
        <v>695</v>
      </c>
      <c r="F229" s="3" t="s">
        <v>696</v>
      </c>
      <c r="G229" s="3" t="str">
        <f>IFERROR(__xludf.DUMMYFUNCTION("GOOGLETRANSLATE(D229,""fr"",""es"")"),"llamar")</f>
        <v>llamar</v>
      </c>
      <c r="H229" s="3" t="s">
        <v>697</v>
      </c>
      <c r="I229" s="3" t="s">
        <v>698</v>
      </c>
      <c r="J229" s="3" t="s">
        <v>699</v>
      </c>
      <c r="K229" s="3" t="s">
        <v>700</v>
      </c>
      <c r="L229" s="3" t="s">
        <v>701</v>
      </c>
      <c r="M229" s="3" t="s">
        <v>697</v>
      </c>
      <c r="N229" s="3" t="s">
        <v>702</v>
      </c>
      <c r="O229" s="3" t="s">
        <v>703</v>
      </c>
      <c r="P229" s="3" t="s">
        <v>704</v>
      </c>
      <c r="Q229" s="3" t="s">
        <v>700</v>
      </c>
      <c r="R229" s="3" t="s">
        <v>705</v>
      </c>
      <c r="S229" s="3" t="s">
        <v>706</v>
      </c>
      <c r="T229" s="3" t="s">
        <v>697</v>
      </c>
      <c r="U229" s="3" t="s">
        <v>707</v>
      </c>
      <c r="V229" s="3" t="s">
        <v>708</v>
      </c>
      <c r="W229" s="3" t="s">
        <v>700</v>
      </c>
      <c r="X229" s="3" t="s">
        <v>697</v>
      </c>
    </row>
    <row r="230">
      <c r="A230" s="3">
        <v>208.0</v>
      </c>
      <c r="B230" s="3" t="s">
        <v>189</v>
      </c>
      <c r="C230" s="3" t="s">
        <v>190</v>
      </c>
      <c r="D230" s="3" t="s">
        <v>709</v>
      </c>
      <c r="E230" s="3" t="s">
        <v>710</v>
      </c>
      <c r="F230" s="3" t="s">
        <v>711</v>
      </c>
      <c r="G230" s="3" t="str">
        <f>IFERROR(__xludf.DUMMYFUNCTION("GOOGLETRANSLATE(D230,""fr"",""es"")"),"llamadas")</f>
        <v>llamadas</v>
      </c>
    </row>
    <row r="231">
      <c r="A231" s="3">
        <v>209.0</v>
      </c>
      <c r="B231" s="3" t="s">
        <v>189</v>
      </c>
      <c r="C231" s="3" t="s">
        <v>190</v>
      </c>
      <c r="D231" s="3" t="s">
        <v>712</v>
      </c>
      <c r="E231" s="3" t="s">
        <v>695</v>
      </c>
      <c r="F231" s="3" t="s">
        <v>696</v>
      </c>
      <c r="G231" s="3" t="str">
        <f>IFERROR(__xludf.DUMMYFUNCTION("GOOGLETRANSLATE(D231,""fr"",""es"")"),"llamar")</f>
        <v>llamar</v>
      </c>
    </row>
    <row r="232">
      <c r="A232" s="3">
        <v>210.0</v>
      </c>
      <c r="B232" s="3" t="s">
        <v>189</v>
      </c>
      <c r="C232" s="3" t="s">
        <v>190</v>
      </c>
      <c r="D232" s="3" t="s">
        <v>713</v>
      </c>
      <c r="E232" s="3" t="s">
        <v>695</v>
      </c>
      <c r="F232" s="3" t="s">
        <v>696</v>
      </c>
      <c r="G232" s="3" t="str">
        <f>IFERROR(__xludf.DUMMYFUNCTION("GOOGLETRANSLATE(D232,""fr"",""es"")"),"llamar")</f>
        <v>llamar</v>
      </c>
    </row>
    <row r="233">
      <c r="A233" s="3">
        <v>211.0</v>
      </c>
      <c r="B233" s="3" t="s">
        <v>189</v>
      </c>
      <c r="C233" s="3" t="s">
        <v>190</v>
      </c>
      <c r="D233" s="3" t="s">
        <v>714</v>
      </c>
      <c r="E233" s="3" t="s">
        <v>695</v>
      </c>
      <c r="F233" s="3" t="s">
        <v>696</v>
      </c>
      <c r="G233" s="3" t="str">
        <f>IFERROR(__xludf.DUMMYFUNCTION("GOOGLETRANSLATE(D233,""fr"",""es"")"),"llamadas")</f>
        <v>llamadas</v>
      </c>
    </row>
    <row r="234">
      <c r="A234" s="3">
        <v>212.0</v>
      </c>
      <c r="B234" s="3" t="s">
        <v>189</v>
      </c>
      <c r="C234" s="3" t="s">
        <v>190</v>
      </c>
      <c r="D234" s="3" t="s">
        <v>715</v>
      </c>
      <c r="E234" s="3" t="s">
        <v>695</v>
      </c>
      <c r="F234" s="3" t="s">
        <v>696</v>
      </c>
      <c r="G234" s="3" t="str">
        <f>IFERROR(__xludf.DUMMYFUNCTION("GOOGLETRANSLATE(D234,""fr"",""es"")"),"llamadas")</f>
        <v>llamadas</v>
      </c>
    </row>
    <row r="235">
      <c r="A235" s="3">
        <v>213.0</v>
      </c>
      <c r="B235" s="3" t="s">
        <v>189</v>
      </c>
      <c r="C235" s="3" t="s">
        <v>190</v>
      </c>
      <c r="D235" s="3" t="s">
        <v>716</v>
      </c>
      <c r="E235" s="3" t="s">
        <v>717</v>
      </c>
      <c r="F235" s="3" t="s">
        <v>718</v>
      </c>
      <c r="G235" s="3" t="str">
        <f>IFERROR(__xludf.DUMMYFUNCTION("GOOGLETRANSLATE(D235,""fr"",""es"")"),"apto")</f>
        <v>apto</v>
      </c>
      <c r="H235" s="3" t="s">
        <v>719</v>
      </c>
      <c r="I235" s="3" t="s">
        <v>720</v>
      </c>
    </row>
    <row r="236">
      <c r="A236" s="3">
        <v>214.0</v>
      </c>
      <c r="B236" s="3" t="s">
        <v>189</v>
      </c>
      <c r="C236" s="3" t="s">
        <v>190</v>
      </c>
      <c r="D236" s="3" t="s">
        <v>721</v>
      </c>
      <c r="E236" s="3" t="s">
        <v>717</v>
      </c>
      <c r="F236" s="3" t="s">
        <v>718</v>
      </c>
      <c r="G236" s="3" t="str">
        <f>IFERROR(__xludf.DUMMYFUNCTION("GOOGLETRANSLATE(D236,""fr"",""es"")"),"apto")</f>
        <v>apto</v>
      </c>
    </row>
    <row r="237">
      <c r="A237" s="3">
        <v>215.0</v>
      </c>
      <c r="B237" s="3" t="s">
        <v>189</v>
      </c>
      <c r="C237" s="3" t="s">
        <v>190</v>
      </c>
      <c r="D237" s="3" t="s">
        <v>722</v>
      </c>
      <c r="E237" s="3" t="s">
        <v>723</v>
      </c>
      <c r="F237" s="3" t="s">
        <v>724</v>
      </c>
      <c r="G237" s="3" t="str">
        <f>IFERROR(__xludf.DUMMYFUNCTION("GOOGLETRANSLATE(D237,""fr"",""es"")"),"Aquitania")</f>
        <v>Aquitania</v>
      </c>
      <c r="H237" s="3" t="s">
        <v>725</v>
      </c>
      <c r="I237" s="3" t="s">
        <v>726</v>
      </c>
    </row>
    <row r="238">
      <c r="A238" s="3">
        <v>216.0</v>
      </c>
      <c r="B238" s="3" t="s">
        <v>189</v>
      </c>
      <c r="C238" s="3" t="s">
        <v>190</v>
      </c>
      <c r="D238" s="3" t="s">
        <v>727</v>
      </c>
      <c r="E238" s="3" t="s">
        <v>728</v>
      </c>
      <c r="F238" s="3" t="s">
        <v>729</v>
      </c>
      <c r="G238" s="3" t="str">
        <f>IFERROR(__xludf.DUMMYFUNCTION("GOOGLETRANSLATE(D238,""fr"",""es"")"),"asesinado")</f>
        <v>asesinado</v>
      </c>
    </row>
    <row r="239">
      <c r="A239" s="3">
        <v>217.0</v>
      </c>
      <c r="B239" s="3" t="s">
        <v>189</v>
      </c>
      <c r="C239" s="3" t="s">
        <v>190</v>
      </c>
      <c r="D239" s="3" t="s">
        <v>730</v>
      </c>
      <c r="E239" s="3" t="s">
        <v>728</v>
      </c>
      <c r="F239" s="3" t="s">
        <v>729</v>
      </c>
      <c r="G239" s="3" t="str">
        <f>IFERROR(__xludf.DUMMYFUNCTION("GOOGLETRANSLATE(D239,""fr"",""es"")"),"asesinado")</f>
        <v>asesinado</v>
      </c>
    </row>
    <row r="240">
      <c r="A240" s="3">
        <v>218.0</v>
      </c>
      <c r="B240" s="3" t="s">
        <v>189</v>
      </c>
      <c r="C240" s="3" t="s">
        <v>190</v>
      </c>
      <c r="D240" s="3" t="s">
        <v>731</v>
      </c>
      <c r="E240" s="3" t="s">
        <v>728</v>
      </c>
      <c r="F240" s="3" t="s">
        <v>729</v>
      </c>
      <c r="G240" s="3" t="str">
        <f>IFERROR(__xludf.DUMMYFUNCTION("GOOGLETRANSLATE(D240,""fr"",""es"")"),"asesinado")</f>
        <v>asesinado</v>
      </c>
    </row>
    <row r="241">
      <c r="A241" s="3">
        <v>219.0</v>
      </c>
      <c r="B241" s="3" t="s">
        <v>189</v>
      </c>
      <c r="C241" s="3" t="s">
        <v>190</v>
      </c>
      <c r="D241" s="3" t="s">
        <v>732</v>
      </c>
      <c r="E241" s="3" t="s">
        <v>728</v>
      </c>
      <c r="F241" s="3" t="s">
        <v>729</v>
      </c>
      <c r="G241" s="3" t="str">
        <f>IFERROR(__xludf.DUMMYFUNCTION("GOOGLETRANSLATE(D241,""fr"",""es"")"),"asesinado")</f>
        <v>asesinado</v>
      </c>
    </row>
    <row r="242">
      <c r="A242" s="3">
        <v>220.0</v>
      </c>
      <c r="B242" s="3" t="s">
        <v>189</v>
      </c>
      <c r="C242" s="3" t="s">
        <v>190</v>
      </c>
      <c r="D242" s="3" t="s">
        <v>733</v>
      </c>
      <c r="E242" s="3" t="s">
        <v>734</v>
      </c>
      <c r="F242" s="3" t="s">
        <v>735</v>
      </c>
      <c r="G242" s="3" t="str">
        <f>IFERROR(__xludf.DUMMYFUNCTION("GOOGLETRANSLATE(D242,""fr"",""es"")"),"asesino")</f>
        <v>asesino</v>
      </c>
    </row>
    <row r="243">
      <c r="A243" s="3">
        <v>221.0</v>
      </c>
      <c r="B243" s="3" t="s">
        <v>189</v>
      </c>
      <c r="C243" s="3" t="s">
        <v>190</v>
      </c>
      <c r="D243" s="3" t="s">
        <v>736</v>
      </c>
      <c r="E243" s="3" t="s">
        <v>737</v>
      </c>
      <c r="F243" s="3" t="s">
        <v>738</v>
      </c>
      <c r="G243" s="3" t="str">
        <f>IFERROR(__xludf.DUMMYFUNCTION("GOOGLETRANSLATE(D243,""fr"",""es"")"),"asesino")</f>
        <v>asesino</v>
      </c>
    </row>
    <row r="244">
      <c r="A244" s="3">
        <v>222.0</v>
      </c>
      <c r="B244" s="3" t="s">
        <v>189</v>
      </c>
      <c r="C244" s="3" t="s">
        <v>190</v>
      </c>
      <c r="D244" s="3" t="s">
        <v>739</v>
      </c>
      <c r="E244" s="3" t="s">
        <v>737</v>
      </c>
      <c r="F244" s="3" t="s">
        <v>738</v>
      </c>
      <c r="G244" s="3" t="str">
        <f>IFERROR(__xludf.DUMMYFUNCTION("GOOGLETRANSLATE(D244,""fr"",""es"")"),"asesino")</f>
        <v>asesino</v>
      </c>
    </row>
    <row r="245">
      <c r="A245" s="3">
        <v>223.0</v>
      </c>
      <c r="B245" s="3" t="s">
        <v>189</v>
      </c>
      <c r="C245" s="3" t="s">
        <v>190</v>
      </c>
      <c r="D245" s="3" t="s">
        <v>740</v>
      </c>
      <c r="E245" s="3" t="s">
        <v>737</v>
      </c>
      <c r="F245" s="3" t="s">
        <v>738</v>
      </c>
      <c r="G245" s="3" t="str">
        <f>IFERROR(__xludf.DUMMYFUNCTION("GOOGLETRANSLATE(D245,""fr"",""es"")"),"asesinas")</f>
        <v>asesinas</v>
      </c>
    </row>
    <row r="246">
      <c r="A246" s="3">
        <v>224.0</v>
      </c>
      <c r="B246" s="3" t="s">
        <v>189</v>
      </c>
      <c r="C246" s="3" t="s">
        <v>190</v>
      </c>
      <c r="D246" s="3" t="s">
        <v>741</v>
      </c>
      <c r="E246" s="3" t="s">
        <v>742</v>
      </c>
      <c r="F246" s="3" t="s">
        <v>743</v>
      </c>
      <c r="G246" s="3" t="str">
        <f>IFERROR(__xludf.DUMMYFUNCTION("GOOGLETRANSLATE(D246,""fr"",""es"")"),"asesino")</f>
        <v>asesino</v>
      </c>
    </row>
    <row r="247">
      <c r="A247" s="3">
        <v>225.0</v>
      </c>
      <c r="B247" s="3" t="s">
        <v>189</v>
      </c>
      <c r="C247" s="3" t="s">
        <v>190</v>
      </c>
      <c r="D247" s="3" t="s">
        <v>744</v>
      </c>
      <c r="E247" s="3" t="s">
        <v>742</v>
      </c>
      <c r="F247" s="3" t="s">
        <v>743</v>
      </c>
      <c r="G247" s="3" t="str">
        <f>IFERROR(__xludf.DUMMYFUNCTION("GOOGLETRANSLATE(D247,""fr"",""es"")"),"asesinato")</f>
        <v>asesinato</v>
      </c>
    </row>
    <row r="248">
      <c r="A248" s="3">
        <v>226.0</v>
      </c>
      <c r="B248" s="3" t="s">
        <v>189</v>
      </c>
      <c r="C248" s="3" t="s">
        <v>190</v>
      </c>
      <c r="D248" s="3" t="s">
        <v>745</v>
      </c>
      <c r="E248" s="3" t="s">
        <v>742</v>
      </c>
      <c r="F248" s="3" t="s">
        <v>743</v>
      </c>
      <c r="G248" s="3" t="str">
        <f>IFERROR(__xludf.DUMMYFUNCTION("GOOGLETRANSLATE(D248,""fr"",""es"")"),"asesinado")</f>
        <v>asesinado</v>
      </c>
    </row>
    <row r="249">
      <c r="A249" s="3">
        <v>227.0</v>
      </c>
      <c r="B249" s="3" t="s">
        <v>189</v>
      </c>
      <c r="C249" s="3" t="s">
        <v>190</v>
      </c>
      <c r="D249" s="3" t="s">
        <v>746</v>
      </c>
      <c r="E249" s="3" t="s">
        <v>747</v>
      </c>
      <c r="F249" s="3" t="s">
        <v>748</v>
      </c>
      <c r="G249" s="3" t="str">
        <f>IFERROR(__xludf.DUMMYFUNCTION("GOOGLETRANSLATE(D249,""fr"",""es"")"),"Bebiendo")</f>
        <v>Bebiendo</v>
      </c>
    </row>
    <row r="250">
      <c r="A250" s="3">
        <v>228.0</v>
      </c>
      <c r="B250" s="3" t="s">
        <v>189</v>
      </c>
      <c r="C250" s="3" t="s">
        <v>190</v>
      </c>
      <c r="D250" s="3" t="s">
        <v>749</v>
      </c>
      <c r="E250" s="3" t="s">
        <v>747</v>
      </c>
      <c r="F250" s="3" t="s">
        <v>748</v>
      </c>
      <c r="G250" s="3" t="str">
        <f>IFERROR(__xludf.DUMMYFUNCTION("GOOGLETRANSLATE(D250,""fr"",""es"")"),"seco")</f>
        <v>seco</v>
      </c>
    </row>
    <row r="251">
      <c r="A251" s="3">
        <v>229.0</v>
      </c>
      <c r="B251" s="3" t="s">
        <v>189</v>
      </c>
      <c r="C251" s="3" t="s">
        <v>190</v>
      </c>
      <c r="D251" s="3" t="s">
        <v>750</v>
      </c>
      <c r="E251" s="3" t="s">
        <v>747</v>
      </c>
      <c r="F251" s="3" t="s">
        <v>748</v>
      </c>
      <c r="G251" s="3" t="str">
        <f>IFERROR(__xludf.DUMMYFUNCTION("GOOGLETRANSLATE(D251,""fr"",""es"")"),"el secado")</f>
        <v>el secado</v>
      </c>
    </row>
    <row r="252">
      <c r="A252" s="3">
        <v>230.0</v>
      </c>
      <c r="B252" s="3" t="s">
        <v>189</v>
      </c>
      <c r="C252" s="3" t="s">
        <v>190</v>
      </c>
      <c r="D252" s="3" t="s">
        <v>751</v>
      </c>
      <c r="E252" s="3" t="s">
        <v>752</v>
      </c>
      <c r="F252" s="3" t="s">
        <v>753</v>
      </c>
      <c r="G252" s="3" t="str">
        <f>IFERROR(__xludf.DUMMYFUNCTION("GOOGLETRANSLATE(D252,""fr"",""es"")"),"Assadora")</f>
        <v>Assadora</v>
      </c>
    </row>
    <row r="253">
      <c r="A253" s="3">
        <v>231.0</v>
      </c>
      <c r="B253" s="3" t="s">
        <v>189</v>
      </c>
      <c r="C253" s="3" t="s">
        <v>190</v>
      </c>
      <c r="D253" s="3" t="s">
        <v>754</v>
      </c>
      <c r="E253" s="3" t="s">
        <v>752</v>
      </c>
      <c r="F253" s="3" t="s">
        <v>753</v>
      </c>
      <c r="G253" s="3" t="str">
        <f>IFERROR(__xludf.DUMMYFUNCTION("GOOGLETRANSLATE(D253,""fr"",""es"")"),"afirmar")</f>
        <v>afirmar</v>
      </c>
    </row>
    <row r="254">
      <c r="A254" s="3">
        <v>232.0</v>
      </c>
      <c r="B254" s="3" t="s">
        <v>189</v>
      </c>
      <c r="C254" s="3" t="s">
        <v>190</v>
      </c>
      <c r="D254" s="3" t="s">
        <v>755</v>
      </c>
      <c r="E254" s="3" t="s">
        <v>752</v>
      </c>
      <c r="F254" s="3" t="s">
        <v>753</v>
      </c>
      <c r="G254" s="3" t="str">
        <f>IFERROR(__xludf.DUMMYFUNCTION("GOOGLETRANSLATE(D254,""fr"",""es"")"),"beshes")</f>
        <v>beshes</v>
      </c>
    </row>
    <row r="255">
      <c r="A255" s="3">
        <v>233.0</v>
      </c>
      <c r="B255" s="3" t="s">
        <v>189</v>
      </c>
      <c r="C255" s="3" t="s">
        <v>190</v>
      </c>
      <c r="D255" s="3" t="s">
        <v>756</v>
      </c>
      <c r="E255" s="3" t="s">
        <v>757</v>
      </c>
      <c r="F255" s="3" t="s">
        <v>758</v>
      </c>
      <c r="G255" s="3" t="str">
        <f>IFERROR(__xludf.DUMMYFUNCTION("GOOGLETRANSLATE(D255,""fr"",""es"")"),"asignación")</f>
        <v>asignación</v>
      </c>
    </row>
    <row r="256">
      <c r="A256" s="3">
        <v>234.0</v>
      </c>
      <c r="B256" s="3" t="s">
        <v>189</v>
      </c>
      <c r="C256" s="3" t="s">
        <v>190</v>
      </c>
      <c r="D256" s="3" t="s">
        <v>759</v>
      </c>
      <c r="E256" s="3" t="s">
        <v>757</v>
      </c>
      <c r="F256" s="3" t="s">
        <v>758</v>
      </c>
      <c r="G256" s="3" t="str">
        <f>IFERROR(__xludf.DUMMYFUNCTION("GOOGLETRANSLATE(D256,""fr"",""es"")"),"asignado")</f>
        <v>asignado</v>
      </c>
    </row>
    <row r="257">
      <c r="A257" s="3">
        <v>235.0</v>
      </c>
      <c r="B257" s="3" t="s">
        <v>189</v>
      </c>
      <c r="C257" s="3" t="s">
        <v>190</v>
      </c>
      <c r="D257" s="3" t="s">
        <v>760</v>
      </c>
      <c r="E257" s="3" t="s">
        <v>757</v>
      </c>
      <c r="F257" s="3" t="s">
        <v>758</v>
      </c>
      <c r="G257" s="3" t="str">
        <f>IFERROR(__xludf.DUMMYFUNCTION("GOOGLETRANSLATE(D257,""fr"",""es"")"),"asignado")</f>
        <v>asignado</v>
      </c>
    </row>
    <row r="258">
      <c r="A258" s="3">
        <v>236.0</v>
      </c>
      <c r="B258" s="3" t="s">
        <v>189</v>
      </c>
      <c r="C258" s="3" t="s">
        <v>190</v>
      </c>
      <c r="D258" s="3" t="s">
        <v>761</v>
      </c>
      <c r="E258" s="3" t="s">
        <v>757</v>
      </c>
      <c r="F258" s="3" t="s">
        <v>758</v>
      </c>
      <c r="G258" s="3" t="str">
        <f>IFERROR(__xludf.DUMMYFUNCTION("GOOGLETRANSLATE(D258,""fr"",""es"")"),"asignado")</f>
        <v>asignado</v>
      </c>
    </row>
    <row r="259">
      <c r="A259" s="3">
        <v>237.0</v>
      </c>
      <c r="B259" s="3" t="s">
        <v>189</v>
      </c>
      <c r="C259" s="3" t="s">
        <v>190</v>
      </c>
      <c r="D259" s="3" t="s">
        <v>762</v>
      </c>
      <c r="E259" s="3" t="s">
        <v>763</v>
      </c>
      <c r="F259" s="3" t="s">
        <v>764</v>
      </c>
      <c r="G259" s="3" t="str">
        <f>IFERROR(__xludf.DUMMYFUNCTION("GOOGLETRANSLATE(D259,""fr"",""es"")"),"asignado")</f>
        <v>asignado</v>
      </c>
    </row>
    <row r="260">
      <c r="A260" s="3">
        <v>238.0</v>
      </c>
      <c r="B260" s="3" t="s">
        <v>189</v>
      </c>
      <c r="C260" s="3" t="s">
        <v>190</v>
      </c>
      <c r="D260" s="3" t="s">
        <v>765</v>
      </c>
      <c r="E260" s="3" t="s">
        <v>766</v>
      </c>
      <c r="F260" s="3" t="s">
        <v>767</v>
      </c>
      <c r="G260" s="3" t="str">
        <f>IFERROR(__xludf.DUMMYFUNCTION("GOOGLETRANSLATE(D260,""fr"",""es"")"),"asignación")</f>
        <v>asignación</v>
      </c>
    </row>
    <row r="261">
      <c r="A261" s="3">
        <v>239.0</v>
      </c>
      <c r="B261" s="3" t="s">
        <v>189</v>
      </c>
      <c r="C261" s="3" t="s">
        <v>190</v>
      </c>
      <c r="D261" s="3" t="s">
        <v>768</v>
      </c>
      <c r="E261" s="3" t="s">
        <v>766</v>
      </c>
      <c r="F261" s="3" t="s">
        <v>767</v>
      </c>
      <c r="G261" s="3" t="str">
        <f>IFERROR(__xludf.DUMMYFUNCTION("GOOGLETRANSLATE(D261,""fr"",""es"")"),"asignar")</f>
        <v>asignar</v>
      </c>
    </row>
    <row r="262">
      <c r="A262" s="3">
        <v>240.0</v>
      </c>
      <c r="B262" s="3" t="s">
        <v>189</v>
      </c>
      <c r="C262" s="3" t="s">
        <v>190</v>
      </c>
      <c r="D262" s="3" t="s">
        <v>769</v>
      </c>
      <c r="E262" s="3" t="s">
        <v>766</v>
      </c>
      <c r="F262" s="3" t="s">
        <v>767</v>
      </c>
      <c r="G262" s="3" t="str">
        <f>IFERROR(__xludf.DUMMYFUNCTION("GOOGLETRANSLATE(D262,""fr"",""es"")"),"asignación")</f>
        <v>asignación</v>
      </c>
    </row>
    <row r="263">
      <c r="A263" s="3">
        <v>241.0</v>
      </c>
      <c r="B263" s="3" t="s">
        <v>189</v>
      </c>
      <c r="C263" s="3" t="s">
        <v>190</v>
      </c>
      <c r="D263" s="3" t="s">
        <v>770</v>
      </c>
      <c r="E263" s="3" t="s">
        <v>771</v>
      </c>
      <c r="F263" s="3" t="s">
        <v>772</v>
      </c>
      <c r="G263" s="3" t="str">
        <f>IFERROR(__xludf.DUMMYFUNCTION("GOOGLETRANSLATE(D263,""fr"",""es"")"),"asignar")</f>
        <v>asignar</v>
      </c>
    </row>
    <row r="264">
      <c r="A264" s="3">
        <v>242.0</v>
      </c>
      <c r="B264" s="3" t="s">
        <v>189</v>
      </c>
      <c r="C264" s="3" t="s">
        <v>190</v>
      </c>
      <c r="D264" s="3" t="s">
        <v>773</v>
      </c>
      <c r="E264" s="3" t="s">
        <v>771</v>
      </c>
      <c r="F264" s="3" t="s">
        <v>772</v>
      </c>
      <c r="G264" s="3" t="str">
        <f>IFERROR(__xludf.DUMMYFUNCTION("GOOGLETRANSLATE(D264,""fr"",""es"")"),"asignar")</f>
        <v>asignar</v>
      </c>
    </row>
    <row r="265">
      <c r="A265" s="3">
        <v>243.0</v>
      </c>
      <c r="B265" s="3" t="s">
        <v>189</v>
      </c>
      <c r="C265" s="3" t="s">
        <v>190</v>
      </c>
      <c r="D265" s="3" t="s">
        <v>774</v>
      </c>
      <c r="E265" s="3" t="s">
        <v>771</v>
      </c>
      <c r="F265" s="3" t="s">
        <v>772</v>
      </c>
      <c r="G265" s="3" t="str">
        <f>IFERROR(__xludf.DUMMYFUNCTION("GOOGLETRANSLATE(D265,""fr"",""es"")"),"asignaciones")</f>
        <v>asignaciones</v>
      </c>
    </row>
    <row r="266">
      <c r="A266" s="3">
        <v>244.0</v>
      </c>
      <c r="B266" s="3" t="s">
        <v>189</v>
      </c>
      <c r="C266" s="3" t="s">
        <v>190</v>
      </c>
      <c r="D266" s="3" t="s">
        <v>775</v>
      </c>
      <c r="E266" s="3" t="s">
        <v>776</v>
      </c>
      <c r="F266" s="3" t="s">
        <v>777</v>
      </c>
      <c r="G266" s="3" t="str">
        <f>IFERROR(__xludf.DUMMYFUNCTION("GOOGLETRANSLATE(D266,""fr"",""es"")"),"asimilai")</f>
        <v>asimilai</v>
      </c>
    </row>
    <row r="267">
      <c r="A267" s="3">
        <v>245.0</v>
      </c>
      <c r="B267" s="3" t="s">
        <v>189</v>
      </c>
      <c r="C267" s="3" t="s">
        <v>190</v>
      </c>
      <c r="D267" s="3" t="s">
        <v>778</v>
      </c>
      <c r="E267" s="3" t="s">
        <v>776</v>
      </c>
      <c r="F267" s="3" t="s">
        <v>777</v>
      </c>
      <c r="G267" s="3" t="str">
        <f>IFERROR(__xludf.DUMMYFUNCTION("GOOGLETRANSLATE(D267,""fr"",""es"")"),"asimilado")</f>
        <v>asimilado</v>
      </c>
    </row>
    <row r="268">
      <c r="A268" s="3">
        <v>246.0</v>
      </c>
      <c r="B268" s="3" t="s">
        <v>189</v>
      </c>
      <c r="C268" s="3" t="s">
        <v>190</v>
      </c>
      <c r="D268" s="3" t="s">
        <v>779</v>
      </c>
      <c r="E268" s="3" t="s">
        <v>776</v>
      </c>
      <c r="F268" s="3" t="s">
        <v>777</v>
      </c>
      <c r="G268" s="3" t="str">
        <f>IFERROR(__xludf.DUMMYFUNCTION("GOOGLETRANSLATE(D268,""fr"",""es"")"),"asimilante")</f>
        <v>asimilante</v>
      </c>
    </row>
    <row r="269">
      <c r="A269" s="3">
        <v>247.0</v>
      </c>
      <c r="B269" s="3" t="s">
        <v>189</v>
      </c>
      <c r="C269" s="3" t="s">
        <v>190</v>
      </c>
      <c r="D269" s="3" t="s">
        <v>780</v>
      </c>
      <c r="E269" s="3" t="s">
        <v>776</v>
      </c>
      <c r="F269" s="3" t="s">
        <v>777</v>
      </c>
      <c r="G269" s="3" t="str">
        <f>IFERROR(__xludf.DUMMYFUNCTION("GOOGLETRANSLATE(D269,""fr"",""es"")"),"asimilado")</f>
        <v>asimilado</v>
      </c>
    </row>
    <row r="270">
      <c r="A270" s="3">
        <v>248.0</v>
      </c>
      <c r="B270" s="3" t="s">
        <v>189</v>
      </c>
      <c r="C270" s="3" t="s">
        <v>190</v>
      </c>
      <c r="D270" s="3" t="s">
        <v>781</v>
      </c>
      <c r="E270" s="3" t="s">
        <v>782</v>
      </c>
      <c r="F270" s="3" t="s">
        <v>783</v>
      </c>
      <c r="G270" s="3" t="str">
        <f>IFERROR(__xludf.DUMMYFUNCTION("GOOGLETRANSLATE(D270,""fr"",""es"")"),"asimil")</f>
        <v>asimil</v>
      </c>
    </row>
    <row r="271">
      <c r="A271" s="3">
        <v>249.0</v>
      </c>
      <c r="B271" s="3" t="s">
        <v>189</v>
      </c>
      <c r="C271" s="3" t="s">
        <v>190</v>
      </c>
      <c r="D271" s="3" t="s">
        <v>784</v>
      </c>
      <c r="E271" s="3" t="s">
        <v>785</v>
      </c>
      <c r="F271" s="3" t="s">
        <v>786</v>
      </c>
      <c r="G271" s="3" t="str">
        <f>IFERROR(__xludf.DUMMYFUNCTION("GOOGLETRANSLATE(D271,""fr"",""es"")"),"asimilasses")</f>
        <v>asimilasses</v>
      </c>
    </row>
    <row r="272">
      <c r="A272" s="3">
        <v>250.0</v>
      </c>
      <c r="B272" s="3" t="s">
        <v>189</v>
      </c>
      <c r="C272" s="3" t="s">
        <v>190</v>
      </c>
      <c r="D272" s="3" t="s">
        <v>787</v>
      </c>
      <c r="E272" s="3" t="s">
        <v>785</v>
      </c>
      <c r="F272" s="3" t="s">
        <v>786</v>
      </c>
      <c r="G272" s="3" t="str">
        <f>IFERROR(__xludf.DUMMYFUNCTION("GOOGLETRANSLATE(D272,""fr"",""es"")"),"asimilar")</f>
        <v>asimilar</v>
      </c>
    </row>
    <row r="273">
      <c r="A273" s="3">
        <v>251.0</v>
      </c>
      <c r="B273" s="3" t="s">
        <v>189</v>
      </c>
      <c r="C273" s="3" t="s">
        <v>190</v>
      </c>
      <c r="D273" s="3" t="s">
        <v>788</v>
      </c>
      <c r="E273" s="3" t="s">
        <v>785</v>
      </c>
      <c r="F273" s="3" t="s">
        <v>786</v>
      </c>
      <c r="G273" s="3" t="str">
        <f>IFERROR(__xludf.DUMMYFUNCTION("GOOGLETRANSLATE(D273,""fr"",""es"")"),"asimilasses")</f>
        <v>asimilasses</v>
      </c>
    </row>
    <row r="274">
      <c r="A274" s="3">
        <v>252.0</v>
      </c>
      <c r="B274" s="3" t="s">
        <v>189</v>
      </c>
      <c r="C274" s="3" t="s">
        <v>190</v>
      </c>
      <c r="D274" s="3" t="s">
        <v>789</v>
      </c>
      <c r="E274" s="3" t="s">
        <v>790</v>
      </c>
      <c r="F274" s="3" t="s">
        <v>791</v>
      </c>
      <c r="G274" s="3" t="str">
        <f>IFERROR(__xludf.DUMMYFUNCTION("GOOGLETRANSLATE(D274,""fr"",""es"")"),"asimilar")</f>
        <v>asimilar</v>
      </c>
    </row>
    <row r="275">
      <c r="A275" s="3">
        <v>253.0</v>
      </c>
      <c r="B275" s="3" t="s">
        <v>189</v>
      </c>
      <c r="C275" s="3" t="s">
        <v>190</v>
      </c>
      <c r="D275" s="3" t="s">
        <v>792</v>
      </c>
      <c r="E275" s="3" t="s">
        <v>790</v>
      </c>
      <c r="F275" s="3" t="s">
        <v>791</v>
      </c>
      <c r="G275" s="3" t="str">
        <f>IFERROR(__xludf.DUMMYFUNCTION("GOOGLETRANSLATE(D275,""fr"",""es"")"),"asimilar")</f>
        <v>asimilar</v>
      </c>
    </row>
    <row r="276">
      <c r="A276" s="3">
        <v>254.0</v>
      </c>
      <c r="B276" s="3" t="s">
        <v>189</v>
      </c>
      <c r="C276" s="3" t="s">
        <v>190</v>
      </c>
      <c r="D276" s="3" t="s">
        <v>793</v>
      </c>
      <c r="E276" s="3" t="s">
        <v>790</v>
      </c>
      <c r="F276" s="3" t="s">
        <v>791</v>
      </c>
      <c r="G276" s="3" t="str">
        <f>IFERROR(__xludf.DUMMYFUNCTION("GOOGLETRANSLATE(D276,""fr"",""es"")"),"asimiles")</f>
        <v>asimiles</v>
      </c>
    </row>
    <row r="277">
      <c r="A277" s="3">
        <v>255.0</v>
      </c>
      <c r="B277" s="3" t="s">
        <v>189</v>
      </c>
      <c r="C277" s="3" t="s">
        <v>190</v>
      </c>
      <c r="D277" s="3" t="s">
        <v>794</v>
      </c>
      <c r="E277" s="3" t="s">
        <v>795</v>
      </c>
      <c r="F277" s="3" t="s">
        <v>796</v>
      </c>
      <c r="G277" s="3" t="str">
        <f>IFERROR(__xludf.DUMMYFUNCTION("GOOGLETRANSLATE(D277,""fr"",""es"")"),"se sentó")</f>
        <v>se sentó</v>
      </c>
      <c r="H277" s="3" t="s">
        <v>797</v>
      </c>
      <c r="I277" s="3" t="s">
        <v>798</v>
      </c>
    </row>
    <row r="278">
      <c r="A278" s="3">
        <v>256.0</v>
      </c>
      <c r="B278" s="3" t="s">
        <v>189</v>
      </c>
      <c r="C278" s="3" t="s">
        <v>190</v>
      </c>
      <c r="D278" s="3" t="s">
        <v>799</v>
      </c>
      <c r="E278" s="3" t="s">
        <v>800</v>
      </c>
      <c r="F278" s="3" t="s">
        <v>801</v>
      </c>
      <c r="G278" s="3" t="str">
        <f>IFERROR(__xludf.DUMMYFUNCTION("GOOGLETRANSLATE(D278,""fr"",""es"")"),"asistente")</f>
        <v>asistente</v>
      </c>
    </row>
    <row r="279">
      <c r="A279" s="3">
        <v>257.0</v>
      </c>
      <c r="B279" s="3" t="s">
        <v>189</v>
      </c>
      <c r="C279" s="3" t="s">
        <v>190</v>
      </c>
      <c r="D279" s="3" t="s">
        <v>802</v>
      </c>
      <c r="E279" s="3" t="s">
        <v>800</v>
      </c>
      <c r="F279" s="3" t="s">
        <v>801</v>
      </c>
      <c r="G279" s="3" t="str">
        <f>IFERROR(__xludf.DUMMYFUNCTION("GOOGLETRANSLATE(D279,""fr"",""es"")"),"asistir")</f>
        <v>asistir</v>
      </c>
    </row>
    <row r="280">
      <c r="A280" s="3">
        <v>258.0</v>
      </c>
      <c r="B280" s="3" t="s">
        <v>189</v>
      </c>
      <c r="C280" s="3" t="s">
        <v>190</v>
      </c>
      <c r="D280" s="3" t="s">
        <v>803</v>
      </c>
      <c r="E280" s="3" t="s">
        <v>800</v>
      </c>
      <c r="F280" s="3" t="s">
        <v>801</v>
      </c>
      <c r="G280" s="3" t="str">
        <f>IFERROR(__xludf.DUMMYFUNCTION("GOOGLETRANSLATE(D280,""fr"",""es"")"),"asistido")</f>
        <v>asistido</v>
      </c>
    </row>
    <row r="281">
      <c r="A281" s="3">
        <v>259.0</v>
      </c>
      <c r="B281" s="3" t="s">
        <v>189</v>
      </c>
      <c r="C281" s="3" t="s">
        <v>190</v>
      </c>
      <c r="D281" s="3" t="s">
        <v>804</v>
      </c>
      <c r="E281" s="3" t="s">
        <v>805</v>
      </c>
      <c r="F281" s="3" t="s">
        <v>806</v>
      </c>
      <c r="G281" s="3" t="str">
        <f>IFERROR(__xludf.DUMMYFUNCTION("GOOGLETRANSLATE(D281,""fr"",""es"")"),"tenso")</f>
        <v>tenso</v>
      </c>
    </row>
    <row r="282">
      <c r="A282" s="3">
        <v>260.0</v>
      </c>
      <c r="B282" s="3" t="s">
        <v>189</v>
      </c>
      <c r="C282" s="3" t="s">
        <v>190</v>
      </c>
      <c r="D282" s="3" t="s">
        <v>807</v>
      </c>
      <c r="E282" s="3" t="s">
        <v>805</v>
      </c>
      <c r="F282" s="3" t="s">
        <v>806</v>
      </c>
      <c r="G282" s="3" t="str">
        <f>IFERROR(__xludf.DUMMYFUNCTION("GOOGLETRANSLATE(D282,""fr"",""es"")"),"destacar")</f>
        <v>destacar</v>
      </c>
    </row>
    <row r="283">
      <c r="A283" s="3">
        <v>261.0</v>
      </c>
      <c r="B283" s="3" t="s">
        <v>189</v>
      </c>
      <c r="C283" s="3" t="s">
        <v>190</v>
      </c>
      <c r="D283" s="3" t="s">
        <v>808</v>
      </c>
      <c r="E283" s="3" t="s">
        <v>805</v>
      </c>
      <c r="F283" s="3" t="s">
        <v>806</v>
      </c>
      <c r="G283" s="3" t="str">
        <f>IFERROR(__xludf.DUMMYFUNCTION("GOOGLETRANSLATE(D283,""fr"",""es"")"),"Mensajero")</f>
        <v>Mensajero</v>
      </c>
    </row>
    <row r="284">
      <c r="A284" s="3">
        <v>262.0</v>
      </c>
      <c r="B284" s="3" t="s">
        <v>189</v>
      </c>
      <c r="C284" s="3" t="s">
        <v>190</v>
      </c>
      <c r="D284" s="3" t="s">
        <v>809</v>
      </c>
      <c r="E284" s="3" t="s">
        <v>810</v>
      </c>
      <c r="F284" s="3" t="s">
        <v>811</v>
      </c>
      <c r="G284" s="3" t="str">
        <f>IFERROR(__xludf.DUMMYFUNCTION("GOOGLETRANSLATE(D284,""fr"",""es"")"),"carnoso")</f>
        <v>carnoso</v>
      </c>
    </row>
    <row r="285">
      <c r="A285" s="3">
        <v>263.0</v>
      </c>
      <c r="B285" s="3" t="s">
        <v>189</v>
      </c>
      <c r="C285" s="3" t="s">
        <v>190</v>
      </c>
      <c r="D285" s="3" t="s">
        <v>812</v>
      </c>
      <c r="E285" s="3" t="s">
        <v>805</v>
      </c>
      <c r="F285" s="3" t="s">
        <v>806</v>
      </c>
      <c r="G285" s="3" t="str">
        <f>IFERROR(__xludf.DUMMYFUNCTION("GOOGLETRANSLATE(D285,""fr"",""es"")"),"suavizado")</f>
        <v>suavizado</v>
      </c>
    </row>
    <row r="286">
      <c r="A286" s="3">
        <v>264.0</v>
      </c>
      <c r="B286" s="3" t="s">
        <v>189</v>
      </c>
      <c r="C286" s="3" t="s">
        <v>190</v>
      </c>
      <c r="D286" s="3" t="s">
        <v>813</v>
      </c>
      <c r="E286" s="3" t="s">
        <v>814</v>
      </c>
      <c r="F286" s="3" t="s">
        <v>815</v>
      </c>
      <c r="G286" s="3" t="str">
        <f>IFERROR(__xludf.DUMMYFUNCTION("GOOGLETRANSLATE(D286,""fr"",""es"")"),"desconcertado")</f>
        <v>desconcertado</v>
      </c>
    </row>
    <row r="287">
      <c r="A287" s="3">
        <v>265.0</v>
      </c>
      <c r="B287" s="3" t="s">
        <v>189</v>
      </c>
      <c r="C287" s="3" t="s">
        <v>190</v>
      </c>
      <c r="D287" s="3" t="s">
        <v>816</v>
      </c>
      <c r="E287" s="3" t="s">
        <v>814</v>
      </c>
      <c r="F287" s="3" t="s">
        <v>815</v>
      </c>
      <c r="G287" s="3" t="str">
        <f>IFERROR(__xludf.DUMMYFUNCTION("GOOGLETRANSLATE(D287,""fr"",""es"")"),"suavizado")</f>
        <v>suavizado</v>
      </c>
    </row>
    <row r="288">
      <c r="A288" s="3">
        <v>266.0</v>
      </c>
      <c r="B288" s="3" t="s">
        <v>189</v>
      </c>
      <c r="C288" s="3" t="s">
        <v>190</v>
      </c>
      <c r="D288" s="3" t="s">
        <v>817</v>
      </c>
      <c r="E288" s="3" t="s">
        <v>814</v>
      </c>
      <c r="F288" s="3" t="s">
        <v>815</v>
      </c>
      <c r="G288" s="3" t="str">
        <f>IFERROR(__xludf.DUMMYFUNCTION("GOOGLETRANSLATE(D288,""fr"",""es"")"),"desconcertado")</f>
        <v>desconcertado</v>
      </c>
    </row>
    <row r="289">
      <c r="A289" s="3">
        <v>267.0</v>
      </c>
      <c r="B289" s="3" t="s">
        <v>189</v>
      </c>
      <c r="C289" s="3" t="s">
        <v>190</v>
      </c>
      <c r="D289" s="3" t="s">
        <v>818</v>
      </c>
      <c r="E289" s="3" t="s">
        <v>819</v>
      </c>
      <c r="F289" s="3" t="s">
        <v>820</v>
      </c>
      <c r="G289" s="3" t="str">
        <f>IFERROR(__xludf.DUMMYFUNCTION("GOOGLETRANSLATE(D289,""fr"",""es"")"),"reblandecimiento")</f>
        <v>reblandecimiento</v>
      </c>
    </row>
    <row r="290">
      <c r="A290" s="3">
        <v>268.0</v>
      </c>
      <c r="B290" s="3" t="s">
        <v>189</v>
      </c>
      <c r="C290" s="3" t="s">
        <v>190</v>
      </c>
      <c r="D290" s="3" t="s">
        <v>821</v>
      </c>
      <c r="E290" s="3" t="s">
        <v>819</v>
      </c>
      <c r="F290" s="3" t="s">
        <v>820</v>
      </c>
      <c r="G290" s="3" t="str">
        <f>IFERROR(__xludf.DUMMYFUNCTION("GOOGLETRANSLATE(D290,""fr"",""es"")"),"ablandar")</f>
        <v>ablandar</v>
      </c>
    </row>
    <row r="291">
      <c r="A291" s="3">
        <v>269.0</v>
      </c>
      <c r="B291" s="3" t="s">
        <v>189</v>
      </c>
      <c r="C291" s="3" t="s">
        <v>190</v>
      </c>
      <c r="D291" s="3" t="s">
        <v>822</v>
      </c>
      <c r="E291" s="3" t="s">
        <v>819</v>
      </c>
      <c r="F291" s="3" t="s">
        <v>820</v>
      </c>
      <c r="G291" s="3" t="str">
        <f>IFERROR(__xludf.DUMMYFUNCTION("GOOGLETRANSLATE(D291,""fr"",""es"")"),"suavizado")</f>
        <v>suavizado</v>
      </c>
    </row>
    <row r="292">
      <c r="A292" s="3">
        <v>270.0</v>
      </c>
      <c r="B292" s="3" t="s">
        <v>189</v>
      </c>
      <c r="C292" s="3" t="s">
        <v>190</v>
      </c>
      <c r="D292" s="3" t="s">
        <v>823</v>
      </c>
      <c r="E292" s="3" t="s">
        <v>805</v>
      </c>
      <c r="F292" s="3" t="s">
        <v>806</v>
      </c>
      <c r="G292" s="3" t="str">
        <f>IFERROR(__xludf.DUMMYFUNCTION("GOOGLETRANSLATE(D292,""fr"",""es"")"),"relajación")</f>
        <v>relajación</v>
      </c>
    </row>
    <row r="293">
      <c r="A293" s="3">
        <v>271.0</v>
      </c>
      <c r="B293" s="3" t="s">
        <v>189</v>
      </c>
      <c r="C293" s="3" t="s">
        <v>190</v>
      </c>
      <c r="D293" s="3" t="s">
        <v>824</v>
      </c>
      <c r="E293" s="3" t="s">
        <v>805</v>
      </c>
      <c r="F293" s="3" t="s">
        <v>806</v>
      </c>
      <c r="G293" s="3" t="str">
        <f>IFERROR(__xludf.DUMMYFUNCTION("GOOGLETRANSLATE(D293,""fr"",""es"")"),"suave")</f>
        <v>suave</v>
      </c>
    </row>
    <row r="294">
      <c r="A294" s="3">
        <v>272.0</v>
      </c>
      <c r="B294" s="3" t="s">
        <v>189</v>
      </c>
      <c r="C294" s="3" t="s">
        <v>190</v>
      </c>
      <c r="D294" s="3" t="s">
        <v>825</v>
      </c>
      <c r="E294" s="3" t="s">
        <v>826</v>
      </c>
      <c r="F294" s="3" t="s">
        <v>827</v>
      </c>
      <c r="G294" s="3" t="str">
        <f>IFERROR(__xludf.DUMMYFUNCTION("GOOGLETRANSLATE(D294,""fr"",""es"")"),"asma")</f>
        <v>asma</v>
      </c>
      <c r="H294" s="3" t="s">
        <v>828</v>
      </c>
      <c r="I294" s="3" t="s">
        <v>829</v>
      </c>
      <c r="J294" s="3" t="s">
        <v>830</v>
      </c>
      <c r="K294" s="3" t="s">
        <v>831</v>
      </c>
      <c r="L294" s="3" t="s">
        <v>832</v>
      </c>
      <c r="M294" s="3" t="s">
        <v>833</v>
      </c>
      <c r="N294" s="3" t="s">
        <v>834</v>
      </c>
    </row>
    <row r="295">
      <c r="A295" s="3">
        <v>273.0</v>
      </c>
      <c r="B295" s="3" t="s">
        <v>189</v>
      </c>
      <c r="C295" s="3" t="s">
        <v>190</v>
      </c>
      <c r="D295" s="3" t="s">
        <v>835</v>
      </c>
      <c r="E295" s="3" t="s">
        <v>826</v>
      </c>
      <c r="F295" s="3" t="s">
        <v>827</v>
      </c>
      <c r="G295" s="3" t="str">
        <f>IFERROR(__xludf.DUMMYFUNCTION("GOOGLETRANSLATE(D295,""fr"",""es"")"),"asma")</f>
        <v>asma</v>
      </c>
    </row>
    <row r="296">
      <c r="A296" s="3">
        <v>274.0</v>
      </c>
      <c r="B296" s="3" t="s">
        <v>189</v>
      </c>
      <c r="C296" s="3" t="s">
        <v>190</v>
      </c>
      <c r="D296" s="3" t="s">
        <v>836</v>
      </c>
      <c r="E296" s="3" t="s">
        <v>826</v>
      </c>
      <c r="F296" s="3" t="s">
        <v>827</v>
      </c>
      <c r="G296" s="3" t="str">
        <f>IFERROR(__xludf.DUMMYFUNCTION("GOOGLETRANSLATE(D296,""fr"",""es"")"),"estrella")</f>
        <v>estrella</v>
      </c>
      <c r="H296" s="3" t="s">
        <v>837</v>
      </c>
      <c r="I296" s="3" t="s">
        <v>838</v>
      </c>
      <c r="J296" s="3" t="s">
        <v>839</v>
      </c>
    </row>
    <row r="297">
      <c r="A297" s="3">
        <v>275.0</v>
      </c>
      <c r="B297" s="3" t="s">
        <v>189</v>
      </c>
      <c r="C297" s="3" t="s">
        <v>190</v>
      </c>
      <c r="D297" s="3" t="s">
        <v>840</v>
      </c>
      <c r="E297" s="3" t="s">
        <v>826</v>
      </c>
      <c r="F297" s="3" t="s">
        <v>827</v>
      </c>
      <c r="G297" s="3" t="str">
        <f>IFERROR(__xludf.DUMMYFUNCTION("GOOGLETRANSLATE(D297,""fr"",""es"")"),"estrellas")</f>
        <v>estrellas</v>
      </c>
    </row>
    <row r="298">
      <c r="A298" s="3">
        <v>276.0</v>
      </c>
      <c r="B298" s="3" t="s">
        <v>189</v>
      </c>
      <c r="C298" s="3" t="s">
        <v>190</v>
      </c>
      <c r="D298" s="3" t="s">
        <v>841</v>
      </c>
      <c r="E298" s="3" t="s">
        <v>842</v>
      </c>
      <c r="F298" s="3" t="s">
        <v>843</v>
      </c>
      <c r="G298" s="3" t="str">
        <f>IFERROR(__xludf.DUMMYFUNCTION("GOOGLETRANSLATE(D298,""fr"",""es"")"),"atátano")</f>
        <v>atátano</v>
      </c>
    </row>
    <row r="299">
      <c r="A299" s="3">
        <v>277.0</v>
      </c>
      <c r="B299" s="3" t="s">
        <v>189</v>
      </c>
      <c r="C299" s="3" t="s">
        <v>190</v>
      </c>
      <c r="D299" s="3" t="s">
        <v>844</v>
      </c>
      <c r="E299" s="3" t="s">
        <v>842</v>
      </c>
      <c r="F299" s="3" t="s">
        <v>843</v>
      </c>
      <c r="G299" s="3" t="str">
        <f>IFERROR(__xludf.DUMMYFUNCTION("GOOGLETRANSLATE(D299,""fr"",""es"")"),"aslestismo")</f>
        <v>aslestismo</v>
      </c>
    </row>
    <row r="300">
      <c r="A300" s="3">
        <v>278.0</v>
      </c>
      <c r="B300" s="3" t="s">
        <v>189</v>
      </c>
      <c r="C300" s="3" t="s">
        <v>190</v>
      </c>
      <c r="D300" s="3" t="s">
        <v>845</v>
      </c>
      <c r="E300" s="3" t="s">
        <v>846</v>
      </c>
      <c r="F300" s="3" t="s">
        <v>847</v>
      </c>
      <c r="G300" s="3" t="str">
        <f>IFERROR(__xludf.DUMMYFUNCTION("GOOGLETRANSLATE(D300,""fr"",""es"")"),"Atenas")</f>
        <v>Atenas</v>
      </c>
      <c r="H300" s="3" t="s">
        <v>848</v>
      </c>
      <c r="I300" s="3" t="s">
        <v>849</v>
      </c>
      <c r="J300" s="3" t="s">
        <v>850</v>
      </c>
      <c r="K300" s="3" t="s">
        <v>851</v>
      </c>
      <c r="L300" s="3" t="s">
        <v>848</v>
      </c>
      <c r="M300" s="3" t="s">
        <v>848</v>
      </c>
    </row>
    <row r="301">
      <c r="A301" s="3">
        <v>279.0</v>
      </c>
      <c r="B301" s="3" t="s">
        <v>189</v>
      </c>
      <c r="C301" s="3" t="s">
        <v>190</v>
      </c>
      <c r="D301" s="3" t="s">
        <v>852</v>
      </c>
      <c r="E301" s="3" t="s">
        <v>853</v>
      </c>
      <c r="F301" s="3" t="s">
        <v>854</v>
      </c>
      <c r="G301" s="3" t="str">
        <f>IFERROR(__xludf.DUMMYFUNCTION("GOOGLETRANSLATE(D301,""fr"",""es"")"),"activo")</f>
        <v>activo</v>
      </c>
      <c r="H301" s="3" t="s">
        <v>855</v>
      </c>
      <c r="I301" s="3" t="s">
        <v>856</v>
      </c>
      <c r="J301" s="3" t="s">
        <v>857</v>
      </c>
      <c r="K301" s="3" t="s">
        <v>858</v>
      </c>
      <c r="L301" s="3" t="s">
        <v>859</v>
      </c>
    </row>
    <row r="302">
      <c r="A302" s="3">
        <v>280.0</v>
      </c>
      <c r="B302" s="3" t="s">
        <v>189</v>
      </c>
      <c r="C302" s="3" t="s">
        <v>190</v>
      </c>
      <c r="D302" s="3" t="s">
        <v>860</v>
      </c>
      <c r="E302" s="3" t="s">
        <v>853</v>
      </c>
      <c r="F302" s="3" t="s">
        <v>854</v>
      </c>
      <c r="G302" s="3" t="str">
        <f>IFERROR(__xludf.DUMMYFUNCTION("GOOGLETRANSLATE(D302,""fr"",""es"")"),"activos")</f>
        <v>activos</v>
      </c>
    </row>
    <row r="303">
      <c r="A303" s="3">
        <v>281.0</v>
      </c>
      <c r="B303" s="3" t="s">
        <v>189</v>
      </c>
      <c r="C303" s="3" t="s">
        <v>190</v>
      </c>
      <c r="D303" s="3" t="s">
        <v>861</v>
      </c>
      <c r="E303" s="3" t="s">
        <v>862</v>
      </c>
      <c r="F303" s="3" t="s">
        <v>863</v>
      </c>
      <c r="G303" s="3" t="str">
        <f>IFERROR(__xludf.DUMMYFUNCTION("GOOGLETRANSLATE(D303,""fr"",""es"")"),"Atátano")</f>
        <v>Atátano</v>
      </c>
    </row>
    <row r="304">
      <c r="A304" s="3">
        <v>282.0</v>
      </c>
      <c r="B304" s="3" t="s">
        <v>189</v>
      </c>
      <c r="C304" s="3" t="s">
        <v>190</v>
      </c>
      <c r="D304" s="3" t="s">
        <v>864</v>
      </c>
      <c r="E304" s="3" t="s">
        <v>865</v>
      </c>
      <c r="F304" s="3" t="s">
        <v>866</v>
      </c>
      <c r="G304" s="3" t="str">
        <f>IFERROR(__xludf.DUMMYFUNCTION("GOOGLETRANSLATE(D304,""fr"",""es"")"),"atado")</f>
        <v>atado</v>
      </c>
    </row>
    <row r="305">
      <c r="A305" s="3">
        <v>283.0</v>
      </c>
      <c r="B305" s="3" t="s">
        <v>189</v>
      </c>
      <c r="C305" s="3" t="s">
        <v>190</v>
      </c>
      <c r="D305" s="3" t="s">
        <v>867</v>
      </c>
      <c r="E305" s="3" t="s">
        <v>865</v>
      </c>
      <c r="F305" s="3" t="s">
        <v>866</v>
      </c>
      <c r="G305" s="3" t="str">
        <f>IFERROR(__xludf.DUMMYFUNCTION("GOOGLETRANSLATE(D305,""fr"",""es"")"),"atado")</f>
        <v>atado</v>
      </c>
    </row>
    <row r="306">
      <c r="A306" s="3">
        <v>284.0</v>
      </c>
      <c r="B306" s="3" t="s">
        <v>189</v>
      </c>
      <c r="C306" s="3" t="s">
        <v>190</v>
      </c>
      <c r="D306" s="3" t="s">
        <v>868</v>
      </c>
      <c r="E306" s="3" t="s">
        <v>865</v>
      </c>
      <c r="F306" s="3" t="s">
        <v>866</v>
      </c>
      <c r="G306" s="3" t="str">
        <f>IFERROR(__xludf.DUMMYFUNCTION("GOOGLETRANSLATE(D306,""fr"",""es"")"),"atado")</f>
        <v>atado</v>
      </c>
    </row>
    <row r="307">
      <c r="A307" s="3">
        <v>285.0</v>
      </c>
      <c r="B307" s="3" t="s">
        <v>189</v>
      </c>
      <c r="C307" s="3" t="s">
        <v>190</v>
      </c>
      <c r="D307" s="3" t="s">
        <v>869</v>
      </c>
      <c r="E307" s="3" t="s">
        <v>865</v>
      </c>
      <c r="F307" s="3" t="s">
        <v>866</v>
      </c>
      <c r="G307" s="3" t="str">
        <f>IFERROR(__xludf.DUMMYFUNCTION("GOOGLETRANSLATE(D307,""fr"",""es"")"),"adjunto")</f>
        <v>adjunto</v>
      </c>
    </row>
    <row r="308">
      <c r="A308" s="3">
        <v>286.0</v>
      </c>
      <c r="B308" s="3" t="s">
        <v>189</v>
      </c>
      <c r="C308" s="3" t="s">
        <v>190</v>
      </c>
      <c r="D308" s="3" t="s">
        <v>870</v>
      </c>
      <c r="E308" s="3" t="s">
        <v>871</v>
      </c>
      <c r="F308" s="3" t="s">
        <v>872</v>
      </c>
      <c r="G308" s="3" t="str">
        <f>IFERROR(__xludf.DUMMYFUNCTION("GOOGLETRANSLATE(D308,""fr"",""es"")"),"adjuntar")</f>
        <v>adjuntar</v>
      </c>
    </row>
    <row r="309">
      <c r="A309" s="3">
        <v>287.0</v>
      </c>
      <c r="B309" s="3" t="s">
        <v>189</v>
      </c>
      <c r="C309" s="3" t="s">
        <v>190</v>
      </c>
      <c r="D309" s="3" t="s">
        <v>873</v>
      </c>
      <c r="E309" s="3" t="s">
        <v>874</v>
      </c>
      <c r="F309" s="3" t="s">
        <v>875</v>
      </c>
      <c r="G309" s="3" t="str">
        <f>IFERROR(__xludf.DUMMYFUNCTION("GOOGLETRANSLATE(D309,""fr"",""es"")"),"Corbata")</f>
        <v>Corbata</v>
      </c>
    </row>
    <row r="310">
      <c r="A310" s="3">
        <v>288.0</v>
      </c>
      <c r="B310" s="3" t="s">
        <v>189</v>
      </c>
      <c r="C310" s="3" t="s">
        <v>190</v>
      </c>
      <c r="D310" s="3" t="s">
        <v>876</v>
      </c>
      <c r="E310" s="3" t="s">
        <v>874</v>
      </c>
      <c r="F310" s="3" t="s">
        <v>875</v>
      </c>
      <c r="G310" s="3" t="str">
        <f>IFERROR(__xludf.DUMMYFUNCTION("GOOGLETRANSLATE(D310,""fr"",""es"")"),"Corbata")</f>
        <v>Corbata</v>
      </c>
    </row>
    <row r="311">
      <c r="A311" s="3">
        <v>289.0</v>
      </c>
      <c r="B311" s="3" t="s">
        <v>189</v>
      </c>
      <c r="C311" s="3" t="s">
        <v>190</v>
      </c>
      <c r="D311" s="3" t="s">
        <v>877</v>
      </c>
      <c r="E311" s="3" t="s">
        <v>874</v>
      </c>
      <c r="F311" s="3" t="s">
        <v>875</v>
      </c>
      <c r="G311" s="3" t="str">
        <f>IFERROR(__xludf.DUMMYFUNCTION("GOOGLETRANSLATE(D311,""fr"",""es"")"),"corbatas")</f>
        <v>corbatas</v>
      </c>
    </row>
    <row r="312">
      <c r="A312" s="3">
        <v>290.0</v>
      </c>
      <c r="B312" s="3" t="s">
        <v>189</v>
      </c>
      <c r="C312" s="3" t="s">
        <v>190</v>
      </c>
      <c r="D312" s="3" t="s">
        <v>878</v>
      </c>
      <c r="E312" s="3" t="s">
        <v>879</v>
      </c>
      <c r="F312" s="3" t="s">
        <v>880</v>
      </c>
      <c r="G312" s="3" t="str">
        <f>IFERROR(__xludf.DUMMYFUNCTION("GOOGLETRANSLATE(D312,""fr"",""es"")"),"adjunto")</f>
        <v>adjunto</v>
      </c>
      <c r="H312" s="3" t="s">
        <v>881</v>
      </c>
      <c r="I312" s="3" t="s">
        <v>882</v>
      </c>
      <c r="J312" s="3" t="s">
        <v>883</v>
      </c>
      <c r="K312" s="3" t="s">
        <v>884</v>
      </c>
    </row>
    <row r="313">
      <c r="A313" s="3">
        <v>291.0</v>
      </c>
      <c r="B313" s="3" t="s">
        <v>189</v>
      </c>
      <c r="C313" s="3" t="s">
        <v>190</v>
      </c>
      <c r="D313" s="3" t="s">
        <v>885</v>
      </c>
      <c r="E313" s="3" t="s">
        <v>879</v>
      </c>
      <c r="F313" s="3" t="s">
        <v>880</v>
      </c>
      <c r="G313" s="3" t="str">
        <f>IFERROR(__xludf.DUMMYFUNCTION("GOOGLETRANSLATE(D313,""fr"",""es"")"),"Corbata")</f>
        <v>Corbata</v>
      </c>
    </row>
    <row r="314">
      <c r="A314" s="3">
        <v>292.0</v>
      </c>
      <c r="B314" s="3" t="s">
        <v>189</v>
      </c>
      <c r="C314" s="3" t="s">
        <v>190</v>
      </c>
      <c r="D314" s="3" t="s">
        <v>886</v>
      </c>
      <c r="E314" s="3" t="s">
        <v>879</v>
      </c>
      <c r="F314" s="3" t="s">
        <v>880</v>
      </c>
      <c r="G314" s="3" t="str">
        <f>IFERROR(__xludf.DUMMYFUNCTION("GOOGLETRANSLATE(D314,""fr"",""es"")"),"corbatas")</f>
        <v>corbatas</v>
      </c>
    </row>
    <row r="315">
      <c r="A315" s="3">
        <v>293.0</v>
      </c>
      <c r="B315" s="3" t="s">
        <v>189</v>
      </c>
      <c r="C315" s="3" t="s">
        <v>190</v>
      </c>
      <c r="D315" s="3" t="s">
        <v>887</v>
      </c>
      <c r="E315" s="3" t="s">
        <v>888</v>
      </c>
      <c r="F315" s="3" t="s">
        <v>889</v>
      </c>
      <c r="G315" s="3" t="str">
        <f>IFERROR(__xludf.DUMMYFUNCTION("GOOGLETRANSLATE(D315,""fr"",""es"")"),"atacado")</f>
        <v>atacado</v>
      </c>
    </row>
    <row r="316">
      <c r="A316" s="3">
        <v>294.0</v>
      </c>
      <c r="B316" s="3" t="s">
        <v>189</v>
      </c>
      <c r="C316" s="3" t="s">
        <v>190</v>
      </c>
      <c r="D316" s="3" t="s">
        <v>890</v>
      </c>
      <c r="E316" s="3" t="s">
        <v>888</v>
      </c>
      <c r="F316" s="3" t="s">
        <v>889</v>
      </c>
      <c r="G316" s="3" t="str">
        <f>IFERROR(__xludf.DUMMYFUNCTION("GOOGLETRANSLATE(D316,""fr"",""es"")"),"atacado")</f>
        <v>atacado</v>
      </c>
    </row>
    <row r="317">
      <c r="A317" s="3">
        <v>295.0</v>
      </c>
      <c r="B317" s="3" t="s">
        <v>189</v>
      </c>
      <c r="C317" s="3" t="s">
        <v>190</v>
      </c>
      <c r="D317" s="3" t="s">
        <v>891</v>
      </c>
      <c r="E317" s="3" t="s">
        <v>888</v>
      </c>
      <c r="F317" s="3" t="s">
        <v>889</v>
      </c>
      <c r="G317" s="3" t="str">
        <f>IFERROR(__xludf.DUMMYFUNCTION("GOOGLETRANSLATE(D317,""fr"",""es"")"),"atacado")</f>
        <v>atacado</v>
      </c>
    </row>
    <row r="318">
      <c r="A318" s="3">
        <v>296.0</v>
      </c>
      <c r="B318" s="3" t="s">
        <v>189</v>
      </c>
      <c r="C318" s="3" t="s">
        <v>190</v>
      </c>
      <c r="D318" s="3" t="s">
        <v>892</v>
      </c>
      <c r="E318" s="3" t="s">
        <v>888</v>
      </c>
      <c r="F318" s="3" t="s">
        <v>889</v>
      </c>
      <c r="G318" s="3" t="str">
        <f>IFERROR(__xludf.DUMMYFUNCTION("GOOGLETRANSLATE(D318,""fr"",""es"")"),"atacado")</f>
        <v>atacado</v>
      </c>
    </row>
    <row r="319">
      <c r="A319" s="3">
        <v>297.0</v>
      </c>
      <c r="B319" s="3" t="s">
        <v>189</v>
      </c>
      <c r="C319" s="3" t="s">
        <v>190</v>
      </c>
      <c r="D319" s="3" t="s">
        <v>893</v>
      </c>
      <c r="E319" s="3" t="s">
        <v>894</v>
      </c>
      <c r="F319" s="3" t="s">
        <v>895</v>
      </c>
      <c r="G319" s="3" t="str">
        <f>IFERROR(__xludf.DUMMYFUNCTION("GOOGLETRANSLATE(D319,""fr"",""es"")"),"atacado")</f>
        <v>atacado</v>
      </c>
    </row>
    <row r="320">
      <c r="A320" s="3">
        <v>298.0</v>
      </c>
      <c r="B320" s="3" t="s">
        <v>189</v>
      </c>
      <c r="C320" s="3" t="s">
        <v>190</v>
      </c>
      <c r="D320" s="3" t="s">
        <v>896</v>
      </c>
      <c r="E320" s="3" t="s">
        <v>897</v>
      </c>
      <c r="F320" s="3" t="s">
        <v>898</v>
      </c>
      <c r="G320" s="3" t="str">
        <f>IFERROR(__xludf.DUMMYFUNCTION("GOOGLETRANSLATE(D320,""fr"",""es"")"),"ataque")</f>
        <v>ataque</v>
      </c>
    </row>
    <row r="321">
      <c r="A321" s="3">
        <v>299.0</v>
      </c>
      <c r="B321" s="3" t="s">
        <v>189</v>
      </c>
      <c r="C321" s="3" t="s">
        <v>190</v>
      </c>
      <c r="D321" s="3" t="s">
        <v>899</v>
      </c>
      <c r="E321" s="3" t="s">
        <v>897</v>
      </c>
      <c r="F321" s="3" t="s">
        <v>898</v>
      </c>
      <c r="G321" s="3" t="str">
        <f>IFERROR(__xludf.DUMMYFUNCTION("GOOGLETRANSLATE(D321,""fr"",""es"")"),"ataque")</f>
        <v>ataque</v>
      </c>
    </row>
    <row r="322">
      <c r="A322" s="3">
        <v>300.0</v>
      </c>
      <c r="B322" s="3" t="s">
        <v>189</v>
      </c>
      <c r="C322" s="3" t="s">
        <v>190</v>
      </c>
      <c r="D322" s="3" t="s">
        <v>900</v>
      </c>
      <c r="E322" s="3" t="s">
        <v>897</v>
      </c>
      <c r="F322" s="3" t="s">
        <v>898</v>
      </c>
      <c r="G322" s="3" t="str">
        <f>IFERROR(__xludf.DUMMYFUNCTION("GOOGLETRANSLATE(D322,""fr"",""es"")"),"ataque")</f>
        <v>ataque</v>
      </c>
    </row>
    <row r="323">
      <c r="A323" s="3">
        <v>301.0</v>
      </c>
      <c r="B323" s="3" t="s">
        <v>189</v>
      </c>
      <c r="C323" s="3" t="s">
        <v>190</v>
      </c>
      <c r="D323" s="3" t="s">
        <v>901</v>
      </c>
      <c r="E323" s="3" t="s">
        <v>862</v>
      </c>
      <c r="F323" s="3" t="s">
        <v>863</v>
      </c>
      <c r="G323" s="3" t="str">
        <f>IFERROR(__xludf.DUMMYFUNCTION("GOOGLETRANSLATE(D323,""fr"",""es"")"),"ofensivo")</f>
        <v>ofensivo</v>
      </c>
      <c r="H323" s="3" t="s">
        <v>902</v>
      </c>
      <c r="I323" s="3" t="s">
        <v>902</v>
      </c>
      <c r="J323" s="3" t="s">
        <v>903</v>
      </c>
      <c r="K323" s="3" t="s">
        <v>902</v>
      </c>
      <c r="L323" s="3" t="s">
        <v>902</v>
      </c>
      <c r="M323" s="3" t="s">
        <v>904</v>
      </c>
      <c r="N323" s="3" t="s">
        <v>902</v>
      </c>
      <c r="O323" s="3" t="s">
        <v>905</v>
      </c>
      <c r="P323" s="3" t="s">
        <v>906</v>
      </c>
      <c r="Q323" s="3" t="s">
        <v>902</v>
      </c>
      <c r="R323" s="3" t="s">
        <v>907</v>
      </c>
      <c r="S323" s="3" t="s">
        <v>902</v>
      </c>
      <c r="T323" s="3" t="s">
        <v>908</v>
      </c>
      <c r="U323" s="3" t="s">
        <v>909</v>
      </c>
      <c r="V323" s="3" t="s">
        <v>910</v>
      </c>
      <c r="W323" s="3" t="s">
        <v>911</v>
      </c>
      <c r="X323" s="3" t="s">
        <v>912</v>
      </c>
      <c r="Y323" s="3" t="s">
        <v>913</v>
      </c>
      <c r="Z323" s="3" t="s">
        <v>914</v>
      </c>
      <c r="AA323" s="3" t="s">
        <v>915</v>
      </c>
      <c r="AB323" s="3" t="s">
        <v>904</v>
      </c>
      <c r="AC323" s="3" t="s">
        <v>916</v>
      </c>
      <c r="AD323" s="3" t="s">
        <v>902</v>
      </c>
      <c r="AE323" s="3" t="s">
        <v>902</v>
      </c>
      <c r="AF323" s="3" t="s">
        <v>917</v>
      </c>
      <c r="AG323" s="3" t="s">
        <v>918</v>
      </c>
      <c r="AH323" s="3" t="s">
        <v>902</v>
      </c>
      <c r="AI323" s="3" t="s">
        <v>919</v>
      </c>
      <c r="AJ323" s="3" t="s">
        <v>920</v>
      </c>
      <c r="AK323" s="3" t="s">
        <v>921</v>
      </c>
      <c r="AL323" s="3" t="s">
        <v>909</v>
      </c>
      <c r="AM323" s="3" t="s">
        <v>922</v>
      </c>
      <c r="AN323" s="3" t="s">
        <v>902</v>
      </c>
      <c r="AO323" s="3" t="s">
        <v>923</v>
      </c>
      <c r="AP323" s="3" t="s">
        <v>924</v>
      </c>
      <c r="AQ323" s="3" t="s">
        <v>925</v>
      </c>
    </row>
    <row r="324">
      <c r="A324" s="3">
        <v>302.0</v>
      </c>
      <c r="B324" s="3" t="s">
        <v>189</v>
      </c>
      <c r="C324" s="3" t="s">
        <v>190</v>
      </c>
      <c r="D324" s="3" t="s">
        <v>926</v>
      </c>
      <c r="E324" s="3" t="s">
        <v>862</v>
      </c>
      <c r="F324" s="3" t="s">
        <v>863</v>
      </c>
      <c r="G324" s="3" t="str">
        <f>IFERROR(__xludf.DUMMYFUNCTION("GOOGLETRANSLATE(D324,""fr"",""es"")"),"ataque")</f>
        <v>ataque</v>
      </c>
    </row>
    <row r="325">
      <c r="A325" s="3">
        <v>303.0</v>
      </c>
      <c r="B325" s="3" t="s">
        <v>189</v>
      </c>
      <c r="C325" s="3" t="s">
        <v>190</v>
      </c>
      <c r="D325" s="3" t="s">
        <v>927</v>
      </c>
      <c r="E325" s="3" t="s">
        <v>862</v>
      </c>
      <c r="F325" s="3" t="s">
        <v>863</v>
      </c>
      <c r="G325" s="3" t="str">
        <f>IFERROR(__xludf.DUMMYFUNCTION("GOOGLETRANSLATE(D325,""fr"",""es"")"),"ataques")</f>
        <v>ataques</v>
      </c>
    </row>
    <row r="326">
      <c r="A326" s="3">
        <v>304.0</v>
      </c>
      <c r="B326" s="3" t="s">
        <v>189</v>
      </c>
      <c r="C326" s="3" t="s">
        <v>190</v>
      </c>
      <c r="D326" s="3" t="s">
        <v>928</v>
      </c>
      <c r="E326" s="3" t="s">
        <v>929</v>
      </c>
      <c r="F326" s="3" t="s">
        <v>930</v>
      </c>
      <c r="G326" s="3" t="str">
        <f>IFERROR(__xludf.DUMMYFUNCTION("GOOGLETRANSLATE(D326,""fr"",""es"")"),"alcanzó")</f>
        <v>alcanzó</v>
      </c>
    </row>
    <row r="327">
      <c r="A327" s="3">
        <v>305.0</v>
      </c>
      <c r="B327" s="3" t="s">
        <v>189</v>
      </c>
      <c r="C327" s="3" t="s">
        <v>190</v>
      </c>
      <c r="D327" s="3" t="s">
        <v>931</v>
      </c>
      <c r="E327" s="3" t="s">
        <v>929</v>
      </c>
      <c r="F327" s="3" t="s">
        <v>930</v>
      </c>
      <c r="G327" s="3" t="str">
        <f>IFERROR(__xludf.DUMMYFUNCTION("GOOGLETRANSLATE(D327,""fr"",""es"")"),"alcanzó")</f>
        <v>alcanzó</v>
      </c>
    </row>
    <row r="328">
      <c r="A328" s="3">
        <v>306.0</v>
      </c>
      <c r="B328" s="3" t="s">
        <v>189</v>
      </c>
      <c r="C328" s="3" t="s">
        <v>190</v>
      </c>
      <c r="D328" s="3" t="s">
        <v>932</v>
      </c>
      <c r="E328" s="3" t="s">
        <v>929</v>
      </c>
      <c r="F328" s="3" t="s">
        <v>930</v>
      </c>
      <c r="G328" s="3" t="str">
        <f>IFERROR(__xludf.DUMMYFUNCTION("GOOGLETRANSLATE(D328,""fr"",""es"")"),"alcanzó")</f>
        <v>alcanzó</v>
      </c>
    </row>
    <row r="329">
      <c r="A329" s="3">
        <v>307.0</v>
      </c>
      <c r="B329" s="3" t="s">
        <v>189</v>
      </c>
      <c r="C329" s="3" t="s">
        <v>190</v>
      </c>
      <c r="D329" s="3" t="s">
        <v>933</v>
      </c>
      <c r="E329" s="3" t="s">
        <v>934</v>
      </c>
      <c r="F329" s="3" t="s">
        <v>935</v>
      </c>
      <c r="G329" s="3" t="str">
        <f>IFERROR(__xludf.DUMMYFUNCTION("GOOGLETRANSLATE(D329,""fr"",""es"")"),"alcanzar")</f>
        <v>alcanzar</v>
      </c>
    </row>
    <row r="330">
      <c r="A330" s="3">
        <v>308.0</v>
      </c>
      <c r="B330" s="3" t="s">
        <v>189</v>
      </c>
      <c r="C330" s="3" t="s">
        <v>190</v>
      </c>
      <c r="D330" s="3" t="s">
        <v>936</v>
      </c>
      <c r="E330" s="3" t="s">
        <v>934</v>
      </c>
      <c r="F330" s="3" t="s">
        <v>935</v>
      </c>
      <c r="G330" s="3" t="str">
        <f>IFERROR(__xludf.DUMMYFUNCTION("GOOGLETRANSLATE(D330,""fr"",""es"")"),"alcanzar")</f>
        <v>alcanzar</v>
      </c>
    </row>
    <row r="331">
      <c r="A331" s="3">
        <v>309.0</v>
      </c>
      <c r="B331" s="3" t="s">
        <v>189</v>
      </c>
      <c r="C331" s="3" t="s">
        <v>190</v>
      </c>
      <c r="D331" s="3" t="s">
        <v>937</v>
      </c>
      <c r="E331" s="3" t="s">
        <v>934</v>
      </c>
      <c r="F331" s="3" t="s">
        <v>935</v>
      </c>
      <c r="G331" s="3" t="str">
        <f>IFERROR(__xludf.DUMMYFUNCTION("GOOGLETRANSLATE(D331,""fr"",""es"")"),"alcance")</f>
        <v>alcance</v>
      </c>
    </row>
    <row r="332">
      <c r="A332" s="3">
        <v>310.0</v>
      </c>
      <c r="B332" s="3" t="s">
        <v>189</v>
      </c>
      <c r="C332" s="3" t="s">
        <v>190</v>
      </c>
      <c r="D332" s="3" t="s">
        <v>938</v>
      </c>
      <c r="E332" s="3" t="s">
        <v>939</v>
      </c>
      <c r="F332" s="3" t="s">
        <v>940</v>
      </c>
      <c r="G332" s="3" t="str">
        <f>IFERROR(__xludf.DUMMYFUNCTION("GOOGLETRANSLATE(D332,""fr"",""es"")"),"armonía")</f>
        <v>armonía</v>
      </c>
    </row>
    <row r="333">
      <c r="A333" s="3">
        <v>311.0</v>
      </c>
      <c r="B333" s="3" t="s">
        <v>189</v>
      </c>
      <c r="C333" s="3" t="s">
        <v>190</v>
      </c>
      <c r="D333" s="3" t="s">
        <v>941</v>
      </c>
      <c r="E333" s="3" t="s">
        <v>942</v>
      </c>
      <c r="F333" s="3" t="s">
        <v>943</v>
      </c>
      <c r="G333" s="3" t="str">
        <f>IFERROR(__xludf.DUMMYFUNCTION("GOOGLETRANSLATE(D333,""fr"",""es"")"),"regocijado")</f>
        <v>regocijado</v>
      </c>
    </row>
    <row r="334">
      <c r="A334" s="3">
        <v>312.0</v>
      </c>
      <c r="B334" s="3" t="s">
        <v>189</v>
      </c>
      <c r="C334" s="3" t="s">
        <v>190</v>
      </c>
      <c r="D334" s="3" t="s">
        <v>944</v>
      </c>
      <c r="E334" s="3" t="s">
        <v>945</v>
      </c>
      <c r="F334" s="3" t="s">
        <v>946</v>
      </c>
      <c r="G334" s="3" t="str">
        <f>IFERROR(__xludf.DUMMYFUNCTION("GOOGLETRANSLATE(D334,""fr"",""es"")"),"sacudida")</f>
        <v>sacudida</v>
      </c>
    </row>
    <row r="335">
      <c r="A335" s="3">
        <v>313.0</v>
      </c>
      <c r="B335" s="3" t="s">
        <v>189</v>
      </c>
      <c r="C335" s="3" t="s">
        <v>190</v>
      </c>
      <c r="D335" s="3" t="s">
        <v>947</v>
      </c>
      <c r="E335" s="3" t="s">
        <v>945</v>
      </c>
      <c r="F335" s="3" t="s">
        <v>946</v>
      </c>
      <c r="G335" s="3" t="str">
        <f>IFERROR(__xludf.DUMMYFUNCTION("GOOGLETRANSLATE(D335,""fr"",""es"")"),"alcanzar")</f>
        <v>alcanzar</v>
      </c>
    </row>
    <row r="336">
      <c r="A336" s="3">
        <v>314.0</v>
      </c>
      <c r="B336" s="3" t="s">
        <v>189</v>
      </c>
      <c r="C336" s="3" t="s">
        <v>190</v>
      </c>
      <c r="D336" s="3" t="s">
        <v>948</v>
      </c>
      <c r="E336" s="3" t="s">
        <v>945</v>
      </c>
      <c r="F336" s="3" t="s">
        <v>946</v>
      </c>
      <c r="G336" s="3" t="str">
        <f>IFERROR(__xludf.DUMMYFUNCTION("GOOGLETRANSLATE(D336,""fr"",""es"")"),"corbatas")</f>
        <v>corbatas</v>
      </c>
    </row>
    <row r="337">
      <c r="A337" s="3">
        <v>315.0</v>
      </c>
      <c r="B337" s="3" t="s">
        <v>189</v>
      </c>
      <c r="C337" s="3" t="s">
        <v>190</v>
      </c>
      <c r="D337" s="3" t="s">
        <v>949</v>
      </c>
      <c r="E337" s="3" t="s">
        <v>942</v>
      </c>
      <c r="F337" s="3" t="s">
        <v>943</v>
      </c>
      <c r="G337" s="3" t="str">
        <f>IFERROR(__xludf.DUMMYFUNCTION("GOOGLETRANSLATE(D337,""fr"",""es"")"),"alcanzó")</f>
        <v>alcanzó</v>
      </c>
    </row>
    <row r="338">
      <c r="A338" s="3">
        <v>316.0</v>
      </c>
      <c r="B338" s="3" t="s">
        <v>189</v>
      </c>
      <c r="C338" s="3" t="s">
        <v>190</v>
      </c>
      <c r="D338" s="3" t="s">
        <v>950</v>
      </c>
      <c r="E338" s="3" t="s">
        <v>942</v>
      </c>
      <c r="F338" s="3" t="s">
        <v>943</v>
      </c>
      <c r="G338" s="3" t="str">
        <f>IFERROR(__xludf.DUMMYFUNCTION("GOOGLETRANSLATE(D338,""fr"",""es"")"),"alcanzó")</f>
        <v>alcanzó</v>
      </c>
    </row>
    <row r="339">
      <c r="A339" s="3">
        <v>317.0</v>
      </c>
      <c r="B339" s="3" t="s">
        <v>189</v>
      </c>
      <c r="C339" s="3" t="s">
        <v>190</v>
      </c>
      <c r="D339" s="3" t="s">
        <v>951</v>
      </c>
      <c r="E339" s="3" t="s">
        <v>952</v>
      </c>
      <c r="F339" s="3" t="s">
        <v>953</v>
      </c>
      <c r="G339" s="3" t="str">
        <f>IFERROR(__xludf.DUMMYFUNCTION("GOOGLETRANSLATE(D339,""fr"",""es"")"),"más grande")</f>
        <v>más grande</v>
      </c>
    </row>
    <row r="340">
      <c r="A340" s="3">
        <v>318.0</v>
      </c>
      <c r="B340" s="3" t="s">
        <v>189</v>
      </c>
      <c r="C340" s="3" t="s">
        <v>190</v>
      </c>
      <c r="D340" s="3" t="s">
        <v>954</v>
      </c>
      <c r="E340" s="3" t="s">
        <v>842</v>
      </c>
      <c r="F340" s="3" t="s">
        <v>843</v>
      </c>
      <c r="G340" s="3" t="str">
        <f>IFERROR(__xludf.DUMMYFUNCTION("GOOGLETRANSLATE(D340,""fr"",""es"")"),"entablillar")</f>
        <v>entablillar</v>
      </c>
      <c r="H340" s="3" t="s">
        <v>955</v>
      </c>
    </row>
    <row r="341">
      <c r="A341" s="3">
        <v>319.0</v>
      </c>
      <c r="B341" s="3" t="s">
        <v>189</v>
      </c>
      <c r="C341" s="3" t="s">
        <v>190</v>
      </c>
      <c r="D341" s="3" t="s">
        <v>956</v>
      </c>
      <c r="E341" s="3" t="s">
        <v>842</v>
      </c>
      <c r="F341" s="3" t="s">
        <v>843</v>
      </c>
      <c r="G341" s="3" t="str">
        <f>IFERROR(__xludf.DUMMYFUNCTION("GOOGLETRANSLATE(D341,""fr"",""es"")"),"otoño")</f>
        <v>otoño</v>
      </c>
    </row>
    <row r="342">
      <c r="A342" s="3">
        <v>320.0</v>
      </c>
      <c r="B342" s="3" t="s">
        <v>189</v>
      </c>
      <c r="C342" s="3" t="s">
        <v>190</v>
      </c>
      <c r="D342" s="3" t="s">
        <v>957</v>
      </c>
      <c r="E342" s="3" t="s">
        <v>842</v>
      </c>
      <c r="F342" s="3" t="s">
        <v>843</v>
      </c>
      <c r="G342" s="3" t="str">
        <f>IFERROR(__xludf.DUMMYFUNCTION("GOOGLETRANSLATE(D342,""fr"",""es"")"),"férulas")</f>
        <v>férulas</v>
      </c>
    </row>
    <row r="343">
      <c r="A343" s="3">
        <v>321.0</v>
      </c>
      <c r="B343" s="3" t="s">
        <v>189</v>
      </c>
      <c r="C343" s="3" t="s">
        <v>190</v>
      </c>
      <c r="D343" s="3" t="s">
        <v>958</v>
      </c>
      <c r="E343" s="3" t="s">
        <v>959</v>
      </c>
      <c r="F343" s="3" t="s">
        <v>960</v>
      </c>
      <c r="G343" s="3" t="str">
        <f>IFERROR(__xludf.DUMMYFUNCTION("GOOGLETRANSLATE(D343,""fr"",""es"")"),"dar fe")</f>
        <v>dar fe</v>
      </c>
    </row>
    <row r="344">
      <c r="A344" s="3">
        <v>322.0</v>
      </c>
      <c r="B344" s="3" t="s">
        <v>189</v>
      </c>
      <c r="C344" s="3" t="s">
        <v>190</v>
      </c>
      <c r="D344" s="3" t="s">
        <v>961</v>
      </c>
      <c r="E344" s="3" t="s">
        <v>959</v>
      </c>
      <c r="F344" s="3" t="s">
        <v>960</v>
      </c>
      <c r="G344" s="3" t="str">
        <f>IFERROR(__xludf.DUMMYFUNCTION("GOOGLETRANSLATE(D344,""fr"",""es"")"),"dar fe")</f>
        <v>dar fe</v>
      </c>
    </row>
    <row r="345">
      <c r="A345" s="3">
        <v>323.0</v>
      </c>
      <c r="B345" s="3" t="s">
        <v>189</v>
      </c>
      <c r="C345" s="3" t="s">
        <v>190</v>
      </c>
      <c r="D345" s="3" t="s">
        <v>962</v>
      </c>
      <c r="E345" s="3" t="s">
        <v>959</v>
      </c>
      <c r="F345" s="3" t="s">
        <v>960</v>
      </c>
      <c r="G345" s="3" t="str">
        <f>IFERROR(__xludf.DUMMYFUNCTION("GOOGLETRANSLATE(D345,""fr"",""es"")"),"certificado")</f>
        <v>certificado</v>
      </c>
    </row>
    <row r="346">
      <c r="A346" s="3">
        <v>324.0</v>
      </c>
      <c r="B346" s="3" t="s">
        <v>189</v>
      </c>
      <c r="C346" s="3" t="s">
        <v>190</v>
      </c>
      <c r="D346" s="3" t="s">
        <v>354</v>
      </c>
      <c r="E346" s="3" t="s">
        <v>353</v>
      </c>
      <c r="F346" s="3" t="s">
        <v>354</v>
      </c>
      <c r="G346" s="3" t="str">
        <f>IFERROR(__xludf.DUMMYFUNCTION("GOOGLETRANSLATE(D346,""fr"",""es"")"),"sí")</f>
        <v>sí</v>
      </c>
    </row>
    <row r="347">
      <c r="A347" s="3">
        <v>325.0</v>
      </c>
      <c r="B347" s="3" t="s">
        <v>189</v>
      </c>
      <c r="C347" s="3" t="s">
        <v>190</v>
      </c>
      <c r="D347" s="3" t="s">
        <v>963</v>
      </c>
      <c r="E347" s="3" t="s">
        <v>964</v>
      </c>
      <c r="F347" s="3" t="s">
        <v>965</v>
      </c>
      <c r="G347" s="3" t="str">
        <f>IFERROR(__xludf.DUMMYFUNCTION("GOOGLETRANSLATE(D347,""fr"",""es"")"),"vs '")</f>
        <v>vs '</v>
      </c>
    </row>
    <row r="348">
      <c r="A348" s="3">
        <v>326.0</v>
      </c>
      <c r="B348" s="3" t="s">
        <v>189</v>
      </c>
      <c r="C348" s="3" t="s">
        <v>190</v>
      </c>
      <c r="D348" s="3" t="s">
        <v>966</v>
      </c>
      <c r="E348" s="3" t="s">
        <v>964</v>
      </c>
      <c r="F348" s="3" t="s">
        <v>965</v>
      </c>
      <c r="G348" s="3" t="str">
        <f>IFERROR(__xludf.DUMMYFUNCTION("GOOGLETRANSLATE(D348,""fr"",""es"")"),"vs '")</f>
        <v>vs '</v>
      </c>
    </row>
    <row r="349">
      <c r="A349" s="3">
        <v>327.0</v>
      </c>
      <c r="B349" s="3" t="s">
        <v>189</v>
      </c>
      <c r="C349" s="3" t="s">
        <v>190</v>
      </c>
      <c r="D349" s="3" t="s">
        <v>967</v>
      </c>
      <c r="E349" s="3" t="s">
        <v>968</v>
      </c>
      <c r="F349" s="3" t="s">
        <v>969</v>
      </c>
      <c r="G349" s="3" t="str">
        <f>IFERROR(__xludf.DUMMYFUNCTION("GOOGLETRANSLATE(D349,""fr"",""es"")"),"caca")</f>
        <v>caca</v>
      </c>
    </row>
    <row r="350">
      <c r="A350" s="3">
        <v>328.0</v>
      </c>
      <c r="B350" s="3" t="s">
        <v>189</v>
      </c>
      <c r="C350" s="3" t="s">
        <v>190</v>
      </c>
      <c r="D350" s="3" t="s">
        <v>970</v>
      </c>
      <c r="E350" s="3" t="s">
        <v>971</v>
      </c>
      <c r="F350" s="3" t="s">
        <v>972</v>
      </c>
      <c r="G350" s="3" t="str">
        <f>IFERROR(__xludf.DUMMYFUNCTION("GOOGLETRANSLATE(D350,""fr"",""es"")"),"cachai")</f>
        <v>cachai</v>
      </c>
    </row>
    <row r="351">
      <c r="A351" s="3">
        <v>329.0</v>
      </c>
      <c r="B351" s="3" t="s">
        <v>189</v>
      </c>
      <c r="C351" s="3" t="s">
        <v>190</v>
      </c>
      <c r="D351" s="3" t="s">
        <v>973</v>
      </c>
      <c r="E351" s="3" t="s">
        <v>971</v>
      </c>
      <c r="F351" s="3" t="s">
        <v>972</v>
      </c>
      <c r="G351" s="3" t="str">
        <f>IFERROR(__xludf.DUMMYFUNCTION("GOOGLETRANSLATE(D351,""fr"",""es"")"),"oculto")</f>
        <v>oculto</v>
      </c>
    </row>
    <row r="352">
      <c r="A352" s="3">
        <v>330.0</v>
      </c>
      <c r="B352" s="3" t="s">
        <v>189</v>
      </c>
      <c r="C352" s="3" t="s">
        <v>190</v>
      </c>
      <c r="D352" s="3" t="s">
        <v>974</v>
      </c>
      <c r="E352" s="3" t="s">
        <v>971</v>
      </c>
      <c r="F352" s="3" t="s">
        <v>972</v>
      </c>
      <c r="G352" s="3" t="str">
        <f>IFERROR(__xludf.DUMMYFUNCTION("GOOGLETRANSLATE(D352,""fr"",""es"")"),"Cachais")</f>
        <v>Cachais</v>
      </c>
    </row>
    <row r="353">
      <c r="A353" s="3">
        <v>331.0</v>
      </c>
      <c r="B353" s="3" t="s">
        <v>189</v>
      </c>
      <c r="C353" s="3" t="s">
        <v>190</v>
      </c>
      <c r="D353" s="3" t="s">
        <v>975</v>
      </c>
      <c r="E353" s="3" t="s">
        <v>971</v>
      </c>
      <c r="F353" s="3" t="s">
        <v>972</v>
      </c>
      <c r="G353" s="3" t="str">
        <f>IFERROR(__xludf.DUMMYFUNCTION("GOOGLETRANSLATE(D353,""fr"",""es"")"),"oculto")</f>
        <v>oculto</v>
      </c>
    </row>
    <row r="354">
      <c r="A354" s="3">
        <v>332.0</v>
      </c>
      <c r="B354" s="3" t="s">
        <v>189</v>
      </c>
      <c r="C354" s="3" t="s">
        <v>190</v>
      </c>
      <c r="D354" s="3" t="s">
        <v>976</v>
      </c>
      <c r="E354" s="3" t="s">
        <v>977</v>
      </c>
      <c r="F354" s="3" t="s">
        <v>978</v>
      </c>
      <c r="G354" s="3" t="str">
        <f>IFERROR(__xludf.DUMMYFUNCTION("GOOGLETRANSLATE(D354,""fr"",""es"")"),"oculto")</f>
        <v>oculto</v>
      </c>
    </row>
    <row r="355">
      <c r="A355" s="3">
        <v>333.0</v>
      </c>
      <c r="B355" s="3" t="s">
        <v>189</v>
      </c>
      <c r="C355" s="3" t="s">
        <v>190</v>
      </c>
      <c r="D355" s="3" t="s">
        <v>979</v>
      </c>
      <c r="E355" s="3" t="s">
        <v>980</v>
      </c>
      <c r="F355" s="3" t="s">
        <v>981</v>
      </c>
      <c r="G355" s="3" t="str">
        <f>IFERROR(__xludf.DUMMYFUNCTION("GOOGLETRANSLATE(D355,""fr"",""es"")"),"oculto")</f>
        <v>oculto</v>
      </c>
    </row>
    <row r="356">
      <c r="A356" s="3">
        <v>334.0</v>
      </c>
      <c r="B356" s="3" t="s">
        <v>189</v>
      </c>
      <c r="C356" s="3" t="s">
        <v>190</v>
      </c>
      <c r="D356" s="3" t="s">
        <v>982</v>
      </c>
      <c r="E356" s="3" t="s">
        <v>980</v>
      </c>
      <c r="F356" s="3" t="s">
        <v>981</v>
      </c>
      <c r="G356" s="3" t="str">
        <f>IFERROR(__xludf.DUMMYFUNCTION("GOOGLETRANSLATE(D356,""fr"",""es"")"),"ocultar")</f>
        <v>ocultar</v>
      </c>
    </row>
    <row r="357">
      <c r="A357" s="3">
        <v>335.0</v>
      </c>
      <c r="B357" s="3" t="s">
        <v>189</v>
      </c>
      <c r="C357" s="3" t="s">
        <v>190</v>
      </c>
      <c r="D357" s="3" t="s">
        <v>983</v>
      </c>
      <c r="E357" s="3" t="s">
        <v>980</v>
      </c>
      <c r="F357" s="3" t="s">
        <v>981</v>
      </c>
      <c r="G357" s="3" t="str">
        <f>IFERROR(__xludf.DUMMYFUNCTION("GOOGLETRANSLATE(D357,""fr"",""es"")"),"oculto")</f>
        <v>oculto</v>
      </c>
    </row>
    <row r="358">
      <c r="A358" s="3">
        <v>336.0</v>
      </c>
      <c r="B358" s="3" t="s">
        <v>189</v>
      </c>
      <c r="C358" s="3" t="s">
        <v>190</v>
      </c>
      <c r="D358" s="3" t="s">
        <v>984</v>
      </c>
      <c r="E358" s="3" t="s">
        <v>985</v>
      </c>
      <c r="F358" s="3" t="s">
        <v>986</v>
      </c>
      <c r="G358" s="3" t="str">
        <f>IFERROR(__xludf.DUMMYFUNCTION("GOOGLETRANSLATE(D358,""fr"",""es"")"),"oculto")</f>
        <v>oculto</v>
      </c>
      <c r="H358" s="3" t="s">
        <v>987</v>
      </c>
      <c r="I358" s="3" t="s">
        <v>988</v>
      </c>
      <c r="J358" s="3" t="s">
        <v>989</v>
      </c>
      <c r="K358" s="3" t="s">
        <v>990</v>
      </c>
      <c r="L358" s="3" t="s">
        <v>991</v>
      </c>
      <c r="M358" s="3" t="s">
        <v>992</v>
      </c>
      <c r="N358" s="3" t="s">
        <v>993</v>
      </c>
      <c r="O358" s="3" t="s">
        <v>994</v>
      </c>
      <c r="P358" s="3" t="s">
        <v>995</v>
      </c>
      <c r="Q358" s="3" t="s">
        <v>996</v>
      </c>
      <c r="R358" s="3" t="s">
        <v>997</v>
      </c>
      <c r="S358" s="3" t="s">
        <v>994</v>
      </c>
      <c r="T358" s="3" t="s">
        <v>998</v>
      </c>
      <c r="U358" s="3" t="s">
        <v>999</v>
      </c>
    </row>
    <row r="359">
      <c r="A359" s="3">
        <v>337.0</v>
      </c>
      <c r="B359" s="3" t="s">
        <v>189</v>
      </c>
      <c r="C359" s="3" t="s">
        <v>190</v>
      </c>
      <c r="D359" s="3" t="s">
        <v>1000</v>
      </c>
      <c r="E359" s="3" t="s">
        <v>985</v>
      </c>
      <c r="F359" s="3" t="s">
        <v>986</v>
      </c>
      <c r="G359" s="3" t="str">
        <f>IFERROR(__xludf.DUMMYFUNCTION("GOOGLETRANSLATE(D359,""fr"",""es"")"),"ocultar")</f>
        <v>ocultar</v>
      </c>
    </row>
    <row r="360">
      <c r="A360" s="3">
        <v>338.0</v>
      </c>
      <c r="B360" s="3" t="s">
        <v>189</v>
      </c>
      <c r="C360" s="3" t="s">
        <v>190</v>
      </c>
      <c r="D360" s="3" t="s">
        <v>1001</v>
      </c>
      <c r="E360" s="3" t="s">
        <v>985</v>
      </c>
      <c r="F360" s="3" t="s">
        <v>986</v>
      </c>
      <c r="G360" s="3" t="str">
        <f>IFERROR(__xludf.DUMMYFUNCTION("GOOGLETRANSLATE(D360,""fr"",""es"")"),"cachés")</f>
        <v>cachés</v>
      </c>
    </row>
    <row r="361">
      <c r="A361" s="3">
        <v>339.0</v>
      </c>
      <c r="B361" s="3" t="s">
        <v>189</v>
      </c>
      <c r="C361" s="3" t="s">
        <v>190</v>
      </c>
      <c r="D361" s="3" t="s">
        <v>1002</v>
      </c>
      <c r="E361" s="3" t="s">
        <v>971</v>
      </c>
      <c r="F361" s="3" t="s">
        <v>972</v>
      </c>
      <c r="G361" s="3" t="str">
        <f>IFERROR(__xludf.DUMMYFUNCTION("GOOGLETRANSLATE(D361,""fr"",""es"")"),"estampilla")</f>
        <v>estampilla</v>
      </c>
      <c r="H361" s="3" t="s">
        <v>1003</v>
      </c>
      <c r="I361" s="3" t="s">
        <v>1004</v>
      </c>
      <c r="J361" s="3" t="s">
        <v>1004</v>
      </c>
      <c r="K361" s="3" t="s">
        <v>1005</v>
      </c>
      <c r="L361" s="3" t="s">
        <v>1004</v>
      </c>
      <c r="M361" s="3" t="s">
        <v>1006</v>
      </c>
      <c r="N361" s="3" t="s">
        <v>1007</v>
      </c>
    </row>
    <row r="362">
      <c r="A362" s="3">
        <v>340.0</v>
      </c>
      <c r="B362" s="3" t="s">
        <v>189</v>
      </c>
      <c r="C362" s="3" t="s">
        <v>190</v>
      </c>
      <c r="D362" s="3" t="s">
        <v>1008</v>
      </c>
      <c r="E362" s="3" t="s">
        <v>971</v>
      </c>
      <c r="F362" s="3" t="s">
        <v>972</v>
      </c>
      <c r="G362" s="3" t="str">
        <f>IFERROR(__xludf.DUMMYFUNCTION("GOOGLETRANSLATE(D362,""fr"",""es"")"),"almacenamiento")</f>
        <v>almacenamiento</v>
      </c>
    </row>
    <row r="363">
      <c r="A363" s="3">
        <v>341.0</v>
      </c>
      <c r="B363" s="3" t="s">
        <v>189</v>
      </c>
      <c r="C363" s="3" t="s">
        <v>190</v>
      </c>
      <c r="D363" s="3" t="s">
        <v>1009</v>
      </c>
      <c r="E363" s="3" t="s">
        <v>1010</v>
      </c>
      <c r="F363" s="3" t="s">
        <v>1011</v>
      </c>
      <c r="G363" s="3" t="str">
        <f>IFERROR(__xludf.DUMMYFUNCTION("GOOGLETRANSLATE(D363,""fr"",""es"")"),"caramelo perfumado")</f>
        <v>caramelo perfumado</v>
      </c>
      <c r="H363" s="3" t="s">
        <v>1009</v>
      </c>
    </row>
    <row r="364">
      <c r="A364" s="3">
        <v>342.0</v>
      </c>
      <c r="B364" s="3" t="s">
        <v>189</v>
      </c>
      <c r="C364" s="3" t="s">
        <v>190</v>
      </c>
      <c r="D364" s="3" t="s">
        <v>1012</v>
      </c>
      <c r="E364" s="3" t="s">
        <v>1010</v>
      </c>
      <c r="F364" s="3" t="s">
        <v>1011</v>
      </c>
      <c r="G364" s="3" t="str">
        <f>IFERROR(__xludf.DUMMYFUNCTION("GOOGLETRANSLATE(D364,""fr"",""es"")"),"capucha")</f>
        <v>capucha</v>
      </c>
    </row>
    <row r="365">
      <c r="A365" s="3">
        <v>343.0</v>
      </c>
      <c r="B365" s="3" t="s">
        <v>189</v>
      </c>
      <c r="C365" s="3" t="s">
        <v>190</v>
      </c>
      <c r="D365" s="3" t="s">
        <v>1013</v>
      </c>
      <c r="E365" s="3" t="s">
        <v>1014</v>
      </c>
      <c r="F365" s="3" t="s">
        <v>1015</v>
      </c>
      <c r="G365" s="3" t="str">
        <f>IFERROR(__xludf.DUMMYFUNCTION("GOOGLETRANSLATE(D365,""fr"",""es"")"),"cacique")</f>
        <v>cacique</v>
      </c>
    </row>
    <row r="366">
      <c r="A366" s="3">
        <v>344.0</v>
      </c>
      <c r="B366" s="3" t="s">
        <v>189</v>
      </c>
      <c r="C366" s="3" t="s">
        <v>190</v>
      </c>
      <c r="D366" s="3" t="s">
        <v>1016</v>
      </c>
      <c r="E366" s="3" t="s">
        <v>1014</v>
      </c>
      <c r="F366" s="3" t="s">
        <v>1015</v>
      </c>
      <c r="G366" s="3" t="str">
        <f>IFERROR(__xludf.DUMMYFUNCTION("GOOGLETRANSLATE(D366,""fr"",""es"")"),"caciques")</f>
        <v>caciques</v>
      </c>
    </row>
    <row r="367">
      <c r="A367" s="3">
        <v>345.0</v>
      </c>
      <c r="B367" s="3" t="s">
        <v>189</v>
      </c>
      <c r="C367" s="3" t="s">
        <v>190</v>
      </c>
      <c r="D367" s="3" t="s">
        <v>1017</v>
      </c>
      <c r="E367" s="3" t="s">
        <v>1018</v>
      </c>
      <c r="F367" s="3" t="s">
        <v>1019</v>
      </c>
      <c r="G367" s="3" t="str">
        <f>IFERROR(__xludf.DUMMYFUNCTION("GOOGLETRANSLATE(D367,""fr"",""es"")"),"cagne")</f>
        <v>cagne</v>
      </c>
    </row>
    <row r="368">
      <c r="A368" s="3">
        <v>346.0</v>
      </c>
      <c r="B368" s="3" t="s">
        <v>189</v>
      </c>
      <c r="C368" s="3" t="s">
        <v>190</v>
      </c>
      <c r="D368" s="3" t="s">
        <v>1020</v>
      </c>
      <c r="E368" s="3" t="s">
        <v>1018</v>
      </c>
      <c r="F368" s="3" t="s">
        <v>1019</v>
      </c>
      <c r="G368" s="3" t="str">
        <f>IFERROR(__xludf.DUMMYFUNCTION("GOOGLETRANSLATE(D368,""fr"",""es"")"),"cagnes")</f>
        <v>cagnes</v>
      </c>
    </row>
    <row r="369">
      <c r="A369" s="3">
        <v>347.0</v>
      </c>
      <c r="B369" s="3" t="s">
        <v>189</v>
      </c>
      <c r="C369" s="3" t="s">
        <v>190</v>
      </c>
      <c r="D369" s="3" t="s">
        <v>1021</v>
      </c>
      <c r="E369" s="3" t="s">
        <v>1022</v>
      </c>
      <c r="F369" s="3" t="s">
        <v>1023</v>
      </c>
      <c r="G369" s="3" t="str">
        <f>IFERROR(__xludf.DUMMYFUNCTION("GOOGLETRANSLATE(D369,""fr"",""es"")"),"taco")</f>
        <v>taco</v>
      </c>
    </row>
    <row r="370">
      <c r="A370" s="3">
        <v>348.0</v>
      </c>
      <c r="B370" s="3" t="s">
        <v>189</v>
      </c>
      <c r="C370" s="3" t="s">
        <v>190</v>
      </c>
      <c r="D370" s="3" t="s">
        <v>1024</v>
      </c>
      <c r="E370" s="3" t="s">
        <v>1022</v>
      </c>
      <c r="F370" s="3" t="s">
        <v>1023</v>
      </c>
      <c r="G370" s="3" t="str">
        <f>IFERROR(__xludf.DUMMYFUNCTION("GOOGLETRANSLATE(D370,""fr"",""es"")"),"manchado")</f>
        <v>manchado</v>
      </c>
    </row>
    <row r="371">
      <c r="A371" s="3">
        <v>349.0</v>
      </c>
      <c r="B371" s="3" t="s">
        <v>189</v>
      </c>
      <c r="C371" s="3" t="s">
        <v>190</v>
      </c>
      <c r="D371" s="3" t="s">
        <v>1025</v>
      </c>
      <c r="E371" s="3" t="s">
        <v>1022</v>
      </c>
      <c r="F371" s="3" t="s">
        <v>1023</v>
      </c>
      <c r="G371" s="3" t="str">
        <f>IFERROR(__xludf.DUMMYFUNCTION("GOOGLETRANSLATE(D371,""fr"",""es"")"),"Caillais")</f>
        <v>Caillais</v>
      </c>
    </row>
    <row r="372">
      <c r="A372" s="3">
        <v>350.0</v>
      </c>
      <c r="B372" s="3" t="s">
        <v>189</v>
      </c>
      <c r="C372" s="3" t="s">
        <v>190</v>
      </c>
      <c r="D372" s="3" t="s">
        <v>1026</v>
      </c>
      <c r="E372" s="3" t="s">
        <v>1022</v>
      </c>
      <c r="F372" s="3" t="s">
        <v>1023</v>
      </c>
      <c r="G372" s="3" t="str">
        <f>IFERROR(__xludf.DUMMYFUNCTION("GOOGLETRANSLATE(D372,""fr"",""es"")"),"manchado")</f>
        <v>manchado</v>
      </c>
    </row>
    <row r="373">
      <c r="A373" s="3">
        <v>351.0</v>
      </c>
      <c r="B373" s="3" t="s">
        <v>189</v>
      </c>
      <c r="C373" s="3" t="s">
        <v>190</v>
      </c>
      <c r="D373" s="3" t="s">
        <v>1027</v>
      </c>
      <c r="E373" s="3" t="s">
        <v>1028</v>
      </c>
      <c r="F373" s="3" t="s">
        <v>1029</v>
      </c>
      <c r="G373" s="3" t="str">
        <f>IFERROR(__xludf.DUMMYFUNCTION("GOOGLETRANSLATE(D373,""fr"",""es"")"),"Guijarro")</f>
        <v>Guijarro</v>
      </c>
    </row>
    <row r="374">
      <c r="A374" s="3">
        <v>352.0</v>
      </c>
      <c r="B374" s="3" t="s">
        <v>189</v>
      </c>
      <c r="C374" s="3" t="s">
        <v>190</v>
      </c>
      <c r="D374" s="3" t="s">
        <v>1030</v>
      </c>
      <c r="E374" s="3" t="s">
        <v>1031</v>
      </c>
      <c r="F374" s="3" t="s">
        <v>1032</v>
      </c>
      <c r="G374" s="3" t="str">
        <f>IFERROR(__xludf.DUMMYFUNCTION("GOOGLETRANSLATE(D374,""fr"",""es"")"),"Guijarro")</f>
        <v>Guijarro</v>
      </c>
    </row>
    <row r="375">
      <c r="A375" s="3">
        <v>353.0</v>
      </c>
      <c r="B375" s="3" t="s">
        <v>189</v>
      </c>
      <c r="C375" s="3" t="s">
        <v>190</v>
      </c>
      <c r="D375" s="3" t="s">
        <v>1033</v>
      </c>
      <c r="E375" s="3" t="s">
        <v>1031</v>
      </c>
      <c r="F375" s="3" t="s">
        <v>1032</v>
      </c>
      <c r="G375" s="3" t="str">
        <f>IFERROR(__xludf.DUMMYFUNCTION("GOOGLETRANSLATE(D375,""fr"",""es"")"),"pelar")</f>
        <v>pelar</v>
      </c>
    </row>
    <row r="376">
      <c r="A376" s="3">
        <v>354.0</v>
      </c>
      <c r="B376" s="3" t="s">
        <v>189</v>
      </c>
      <c r="C376" s="3" t="s">
        <v>190</v>
      </c>
      <c r="D376" s="3" t="s">
        <v>1034</v>
      </c>
      <c r="E376" s="3" t="s">
        <v>1031</v>
      </c>
      <c r="F376" s="3" t="s">
        <v>1032</v>
      </c>
      <c r="G376" s="3" t="str">
        <f>IFERROR(__xludf.DUMMYFUNCTION("GOOGLETRANSLATE(D376,""fr"",""es"")"),"guijarros")</f>
        <v>guijarros</v>
      </c>
    </row>
    <row r="377">
      <c r="A377" s="3">
        <v>355.0</v>
      </c>
      <c r="B377" s="3" t="s">
        <v>189</v>
      </c>
      <c r="C377" s="3" t="s">
        <v>190</v>
      </c>
      <c r="D377" s="3" t="s">
        <v>1035</v>
      </c>
      <c r="E377" s="3" t="s">
        <v>1036</v>
      </c>
      <c r="F377" s="3" t="s">
        <v>1037</v>
      </c>
      <c r="G377" s="3" t="str">
        <f>IFERROR(__xludf.DUMMYFUNCTION("GOOGLETRANSLATE(D377,""fr"",""es"")"),"codorniz")</f>
        <v>codorniz</v>
      </c>
      <c r="H377" s="3" t="s">
        <v>1038</v>
      </c>
    </row>
    <row r="378">
      <c r="A378" s="3">
        <v>356.0</v>
      </c>
      <c r="B378" s="3" t="s">
        <v>189</v>
      </c>
      <c r="C378" s="3" t="s">
        <v>190</v>
      </c>
      <c r="D378" s="3" t="s">
        <v>1039</v>
      </c>
      <c r="E378" s="3" t="s">
        <v>1036</v>
      </c>
      <c r="F378" s="3" t="s">
        <v>1037</v>
      </c>
      <c r="G378" s="3" t="str">
        <f>IFERROR(__xludf.DUMMYFUNCTION("GOOGLETRANSLATE(D378,""fr"",""es"")"),"codorniz")</f>
        <v>codorniz</v>
      </c>
    </row>
    <row r="379">
      <c r="A379" s="3">
        <v>357.0</v>
      </c>
      <c r="B379" s="3" t="s">
        <v>189</v>
      </c>
      <c r="C379" s="3" t="s">
        <v>190</v>
      </c>
      <c r="D379" s="3" t="s">
        <v>1040</v>
      </c>
      <c r="E379" s="3" t="s">
        <v>1036</v>
      </c>
      <c r="F379" s="3" t="s">
        <v>1037</v>
      </c>
      <c r="G379" s="3" t="str">
        <f>IFERROR(__xludf.DUMMYFUNCTION("GOOGLETRANSLATE(D379,""fr"",""es"")"),"codorniz")</f>
        <v>codorniz</v>
      </c>
    </row>
    <row r="380">
      <c r="A380" s="3">
        <v>358.0</v>
      </c>
      <c r="B380" s="3" t="s">
        <v>189</v>
      </c>
      <c r="C380" s="3" t="s">
        <v>190</v>
      </c>
      <c r="D380" s="3" t="s">
        <v>1041</v>
      </c>
      <c r="E380" s="3" t="s">
        <v>1042</v>
      </c>
      <c r="F380" s="3" t="s">
        <v>1043</v>
      </c>
      <c r="G380" s="3" t="str">
        <f>IFERROR(__xludf.DUMMYFUNCTION("GOOGLETRANSLATE(D380,""fr"",""es"")"),"piedra")</f>
        <v>piedra</v>
      </c>
      <c r="H380" s="3" t="s">
        <v>1044</v>
      </c>
      <c r="I380" s="3" t="s">
        <v>1045</v>
      </c>
      <c r="J380" s="3" t="s">
        <v>1046</v>
      </c>
    </row>
    <row r="381">
      <c r="A381" s="3">
        <v>359.0</v>
      </c>
      <c r="B381" s="3" t="s">
        <v>189</v>
      </c>
      <c r="C381" s="3" t="s">
        <v>190</v>
      </c>
      <c r="D381" s="3" t="s">
        <v>1047</v>
      </c>
      <c r="E381" s="3" t="s">
        <v>1048</v>
      </c>
      <c r="F381" s="3" t="s">
        <v>127</v>
      </c>
      <c r="G381" s="3" t="str">
        <f>IFERROR(__xludf.DUMMYFUNCTION("GOOGLETRANSLATE(D381,""fr"",""es"")"),"caja")</f>
        <v>caja</v>
      </c>
      <c r="H381" s="3" t="s">
        <v>1049</v>
      </c>
      <c r="I381" s="3" t="s">
        <v>1050</v>
      </c>
      <c r="J381" s="3" t="s">
        <v>1051</v>
      </c>
      <c r="K381" s="3" t="s">
        <v>1052</v>
      </c>
      <c r="L381" s="3" t="s">
        <v>1053</v>
      </c>
      <c r="M381" s="3" t="s">
        <v>1054</v>
      </c>
      <c r="N381" s="3" t="s">
        <v>1055</v>
      </c>
      <c r="O381" s="3" t="s">
        <v>594</v>
      </c>
      <c r="P381" s="3" t="s">
        <v>595</v>
      </c>
      <c r="Q381" s="3" t="s">
        <v>596</v>
      </c>
      <c r="R381" s="3" t="s">
        <v>597</v>
      </c>
      <c r="S381" s="3" t="s">
        <v>598</v>
      </c>
      <c r="T381" s="3" t="s">
        <v>599</v>
      </c>
      <c r="U381" s="3" t="s">
        <v>600</v>
      </c>
      <c r="V381" s="3" t="s">
        <v>601</v>
      </c>
      <c r="W381" s="3" t="s">
        <v>602</v>
      </c>
      <c r="X381" s="3" t="s">
        <v>1056</v>
      </c>
      <c r="Y381" s="3" t="s">
        <v>1057</v>
      </c>
      <c r="Z381" s="3" t="s">
        <v>1058</v>
      </c>
      <c r="AA381" s="3" t="s">
        <v>1059</v>
      </c>
    </row>
    <row r="382">
      <c r="A382" s="3">
        <v>360.0</v>
      </c>
      <c r="B382" s="3" t="s">
        <v>189</v>
      </c>
      <c r="C382" s="3" t="s">
        <v>190</v>
      </c>
      <c r="D382" s="3" t="s">
        <v>1060</v>
      </c>
      <c r="E382" s="3" t="s">
        <v>1048</v>
      </c>
      <c r="F382" s="3" t="s">
        <v>127</v>
      </c>
      <c r="G382" s="3" t="str">
        <f>IFERROR(__xludf.DUMMYFUNCTION("GOOGLETRANSLATE(D382,""fr"",""es"")"),"cajas")</f>
        <v>cajas</v>
      </c>
    </row>
    <row r="383">
      <c r="A383" s="3">
        <v>361.0</v>
      </c>
      <c r="B383" s="3" t="s">
        <v>189</v>
      </c>
      <c r="C383" s="3" t="s">
        <v>190</v>
      </c>
      <c r="D383" s="3" t="s">
        <v>1061</v>
      </c>
      <c r="E383" s="3" t="s">
        <v>1062</v>
      </c>
      <c r="F383" s="3" t="s">
        <v>1063</v>
      </c>
      <c r="G383" s="3" t="str">
        <f>IFERROR(__xludf.DUMMYFUNCTION("GOOGLETRANSLATE(D383,""fr"",""es"")"),"pastel")</f>
        <v>pastel</v>
      </c>
      <c r="H383" s="3" t="s">
        <v>1064</v>
      </c>
      <c r="I383" s="3" t="s">
        <v>1065</v>
      </c>
      <c r="J383" s="3" t="s">
        <v>1065</v>
      </c>
      <c r="K383" s="3" t="s">
        <v>1066</v>
      </c>
      <c r="L383" s="3" t="s">
        <v>1067</v>
      </c>
      <c r="M383" s="3" t="s">
        <v>1068</v>
      </c>
      <c r="N383" s="3" t="s">
        <v>1069</v>
      </c>
      <c r="O383" s="3" t="s">
        <v>1064</v>
      </c>
      <c r="P383" s="3" t="s">
        <v>1070</v>
      </c>
    </row>
    <row r="384">
      <c r="A384" s="3">
        <v>362.0</v>
      </c>
      <c r="B384" s="3" t="s">
        <v>189</v>
      </c>
      <c r="C384" s="3" t="s">
        <v>190</v>
      </c>
      <c r="D384" s="3" t="s">
        <v>1071</v>
      </c>
      <c r="E384" s="3" t="s">
        <v>1062</v>
      </c>
      <c r="F384" s="3" t="s">
        <v>1063</v>
      </c>
      <c r="G384" s="3" t="str">
        <f>IFERROR(__xludf.DUMMYFUNCTION("GOOGLETRANSLATE(D384,""fr"",""es"")"),"tortas")</f>
        <v>tortas</v>
      </c>
    </row>
    <row r="385">
      <c r="A385" s="3">
        <v>363.0</v>
      </c>
      <c r="B385" s="3" t="s">
        <v>189</v>
      </c>
      <c r="C385" s="3" t="s">
        <v>190</v>
      </c>
      <c r="D385" s="3" t="s">
        <v>1072</v>
      </c>
      <c r="E385" s="3" t="s">
        <v>1073</v>
      </c>
      <c r="F385" s="3" t="s">
        <v>1074</v>
      </c>
      <c r="G385" s="3" t="str">
        <f>IFERROR(__xludf.DUMMYFUNCTION("GOOGLETRANSLATE(D385,""fr"",""es"")"),"California")</f>
        <v>California</v>
      </c>
      <c r="H385" s="3" t="s">
        <v>1075</v>
      </c>
      <c r="I385" s="3" t="s">
        <v>1075</v>
      </c>
      <c r="J385" s="3" t="s">
        <v>1075</v>
      </c>
      <c r="K385" s="3" t="s">
        <v>1075</v>
      </c>
      <c r="L385" s="3" t="s">
        <v>1076</v>
      </c>
      <c r="M385" s="3" t="s">
        <v>1075</v>
      </c>
    </row>
    <row r="386">
      <c r="A386" s="3">
        <v>364.0</v>
      </c>
      <c r="B386" s="3" t="s">
        <v>189</v>
      </c>
      <c r="C386" s="3" t="s">
        <v>190</v>
      </c>
      <c r="D386" s="3" t="s">
        <v>1077</v>
      </c>
      <c r="E386" s="3" t="s">
        <v>1078</v>
      </c>
      <c r="F386" s="3" t="s">
        <v>1079</v>
      </c>
      <c r="G386" s="3" t="str">
        <f>IFERROR(__xludf.DUMMYFUNCTION("GOOGLETRANSLATE(D386,""fr"",""es"")"),"calai")</f>
        <v>calai</v>
      </c>
    </row>
    <row r="387">
      <c r="A387" s="3">
        <v>365.0</v>
      </c>
      <c r="B387" s="3" t="s">
        <v>189</v>
      </c>
      <c r="C387" s="3" t="s">
        <v>190</v>
      </c>
      <c r="D387" s="3" t="s">
        <v>1080</v>
      </c>
      <c r="E387" s="3" t="s">
        <v>1078</v>
      </c>
      <c r="F387" s="3" t="s">
        <v>1079</v>
      </c>
      <c r="G387" s="3" t="str">
        <f>IFERROR(__xludf.DUMMYFUNCTION("GOOGLETRANSLATE(D387,""fr"",""es"")"),"fueron calurados")</f>
        <v>fueron calurados</v>
      </c>
    </row>
    <row r="388">
      <c r="A388" s="3">
        <v>366.0</v>
      </c>
      <c r="B388" s="3" t="s">
        <v>189</v>
      </c>
      <c r="C388" s="3" t="s">
        <v>190</v>
      </c>
      <c r="D388" s="3" t="s">
        <v>1081</v>
      </c>
      <c r="E388" s="3" t="s">
        <v>1078</v>
      </c>
      <c r="F388" s="3" t="s">
        <v>1079</v>
      </c>
      <c r="G388" s="3" t="str">
        <f>IFERROR(__xludf.DUMMYFUNCTION("GOOGLETRANSLATE(D388,""fr"",""es"")"),"Calais")</f>
        <v>Calais</v>
      </c>
      <c r="H388" s="3" t="s">
        <v>1082</v>
      </c>
      <c r="I388" s="3" t="s">
        <v>1082</v>
      </c>
    </row>
    <row r="389">
      <c r="A389" s="3">
        <v>367.0</v>
      </c>
      <c r="B389" s="3" t="s">
        <v>189</v>
      </c>
      <c r="C389" s="3" t="s">
        <v>190</v>
      </c>
      <c r="D389" s="3" t="s">
        <v>1082</v>
      </c>
      <c r="E389" s="3" t="s">
        <v>1078</v>
      </c>
      <c r="F389" s="3" t="s">
        <v>1079</v>
      </c>
      <c r="G389" s="3" t="str">
        <f>IFERROR(__xludf.DUMMYFUNCTION("GOOGLETRANSLATE(D389,""fr"",""es"")"),"Calais")</f>
        <v>Calais</v>
      </c>
      <c r="H389" s="3" t="s">
        <v>1082</v>
      </c>
      <c r="I389" s="3" t="s">
        <v>1082</v>
      </c>
    </row>
    <row r="390">
      <c r="A390" s="3">
        <v>368.0</v>
      </c>
      <c r="B390" s="3" t="s">
        <v>189</v>
      </c>
      <c r="C390" s="3" t="s">
        <v>190</v>
      </c>
      <c r="D390" s="3" t="s">
        <v>1083</v>
      </c>
      <c r="E390" s="3" t="s">
        <v>1078</v>
      </c>
      <c r="F390" s="3" t="s">
        <v>1079</v>
      </c>
      <c r="G390" s="3" t="str">
        <f>IFERROR(__xludf.DUMMYFUNCTION("GOOGLETRANSLATE(D390,""fr"",""es"")"),"cait")</f>
        <v>cait</v>
      </c>
    </row>
    <row r="391">
      <c r="A391" s="3">
        <v>369.0</v>
      </c>
      <c r="B391" s="3" t="s">
        <v>189</v>
      </c>
      <c r="C391" s="3" t="s">
        <v>190</v>
      </c>
      <c r="D391" s="3" t="s">
        <v>1084</v>
      </c>
      <c r="E391" s="3" t="s">
        <v>1085</v>
      </c>
      <c r="F391" s="3" t="s">
        <v>1086</v>
      </c>
      <c r="G391" s="3" t="str">
        <f>IFERROR(__xludf.DUMMYFUNCTION("GOOGLETRANSLATE(D391,""fr"",""es"")"),"calma")</f>
        <v>calma</v>
      </c>
    </row>
    <row r="392">
      <c r="A392" s="3">
        <v>370.0</v>
      </c>
      <c r="B392" s="3" t="s">
        <v>189</v>
      </c>
      <c r="C392" s="3" t="s">
        <v>190</v>
      </c>
      <c r="D392" s="3" t="s">
        <v>1087</v>
      </c>
      <c r="E392" s="3" t="s">
        <v>1088</v>
      </c>
      <c r="F392" s="3" t="s">
        <v>1089</v>
      </c>
      <c r="G392" s="3" t="str">
        <f>IFERROR(__xludf.DUMMYFUNCTION("GOOGLETRANSLATE(D392,""fr"",""es"")"),"calamina")</f>
        <v>calamina</v>
      </c>
      <c r="H392" s="3" t="s">
        <v>1090</v>
      </c>
      <c r="I392" s="3" t="s">
        <v>1087</v>
      </c>
    </row>
    <row r="393">
      <c r="A393" s="3">
        <v>371.0</v>
      </c>
      <c r="B393" s="3" t="s">
        <v>189</v>
      </c>
      <c r="C393" s="3" t="s">
        <v>190</v>
      </c>
      <c r="D393" s="3" t="s">
        <v>1091</v>
      </c>
      <c r="E393" s="3" t="s">
        <v>1088</v>
      </c>
      <c r="F393" s="3" t="s">
        <v>1089</v>
      </c>
      <c r="G393" s="3" t="str">
        <f>IFERROR(__xludf.DUMMYFUNCTION("GOOGLETRANSLATE(D393,""fr"",""es"")"),"calaminas")</f>
        <v>calaminas</v>
      </c>
    </row>
    <row r="394">
      <c r="A394" s="3">
        <v>372.0</v>
      </c>
      <c r="B394" s="3" t="s">
        <v>189</v>
      </c>
      <c r="C394" s="3" t="s">
        <v>190</v>
      </c>
      <c r="D394" s="3" t="s">
        <v>1092</v>
      </c>
      <c r="E394" s="3" t="s">
        <v>1093</v>
      </c>
      <c r="F394" s="3" t="s">
        <v>1094</v>
      </c>
      <c r="G394" s="3" t="str">
        <f>IFERROR(__xludf.DUMMYFUNCTION("GOOGLETRANSLATE(D394,""fr"",""es"")"),"calas")</f>
        <v>calas</v>
      </c>
    </row>
    <row r="395">
      <c r="A395" s="3">
        <v>373.0</v>
      </c>
      <c r="B395" s="3" t="s">
        <v>189</v>
      </c>
      <c r="C395" s="3" t="s">
        <v>190</v>
      </c>
      <c r="D395" s="3" t="s">
        <v>1095</v>
      </c>
      <c r="E395" s="3" t="s">
        <v>1093</v>
      </c>
      <c r="F395" s="3" t="s">
        <v>1094</v>
      </c>
      <c r="G395" s="3" t="str">
        <f>IFERROR(__xludf.DUMMYFUNCTION("GOOGLETRANSLATE(D395,""fr"",""es"")"),"ocultar")</f>
        <v>ocultar</v>
      </c>
    </row>
    <row r="396">
      <c r="A396" s="3">
        <v>374.0</v>
      </c>
      <c r="B396" s="3" t="s">
        <v>189</v>
      </c>
      <c r="C396" s="3" t="s">
        <v>190</v>
      </c>
      <c r="D396" s="3" t="s">
        <v>1096</v>
      </c>
      <c r="E396" s="3" t="s">
        <v>1093</v>
      </c>
      <c r="F396" s="3" t="s">
        <v>1094</v>
      </c>
      <c r="G396" s="3" t="str">
        <f>IFERROR(__xludf.DUMMYFUNCTION("GOOGLETRANSLATE(D396,""fr"",""es"")"),"calas")</f>
        <v>calas</v>
      </c>
    </row>
    <row r="397">
      <c r="A397" s="3">
        <v>375.0</v>
      </c>
      <c r="B397" s="3" t="s">
        <v>189</v>
      </c>
      <c r="C397" s="3" t="s">
        <v>190</v>
      </c>
      <c r="D397" s="3" t="s">
        <v>1097</v>
      </c>
      <c r="E397" s="3" t="s">
        <v>1073</v>
      </c>
      <c r="F397" s="3" t="s">
        <v>1074</v>
      </c>
      <c r="G397" s="3" t="str">
        <f>IFERROR(__xludf.DUMMYFUNCTION("GOOGLETRANSLATE(D397,""fr"",""es"")"),"mantener")</f>
        <v>mantener</v>
      </c>
      <c r="H397" s="3" t="s">
        <v>1098</v>
      </c>
      <c r="I397" s="3" t="s">
        <v>1099</v>
      </c>
      <c r="J397" s="3" t="s">
        <v>1100</v>
      </c>
      <c r="K397" s="3" t="s">
        <v>1101</v>
      </c>
      <c r="L397" s="3" t="s">
        <v>1102</v>
      </c>
      <c r="M397" s="3" t="s">
        <v>1103</v>
      </c>
      <c r="N397" s="3" t="s">
        <v>1104</v>
      </c>
    </row>
    <row r="398">
      <c r="A398" s="3">
        <v>376.0</v>
      </c>
      <c r="B398" s="3" t="s">
        <v>189</v>
      </c>
      <c r="C398" s="3" t="s">
        <v>190</v>
      </c>
      <c r="D398" s="3" t="s">
        <v>1105</v>
      </c>
      <c r="E398" s="3" t="s">
        <v>1106</v>
      </c>
      <c r="F398" s="3" t="s">
        <v>1107</v>
      </c>
      <c r="G398" s="3" t="str">
        <f>IFERROR(__xludf.DUMMYFUNCTION("GOOGLETRANSLATE(D398,""fr"",""es"")"),"carro")</f>
        <v>carro</v>
      </c>
    </row>
    <row r="399">
      <c r="A399" s="3">
        <v>377.0</v>
      </c>
      <c r="B399" s="3" t="s">
        <v>189</v>
      </c>
      <c r="C399" s="3" t="s">
        <v>190</v>
      </c>
      <c r="D399" s="3" t="s">
        <v>1108</v>
      </c>
      <c r="E399" s="3" t="s">
        <v>1106</v>
      </c>
      <c r="F399" s="3" t="s">
        <v>1107</v>
      </c>
      <c r="G399" s="3" t="str">
        <f>IFERROR(__xludf.DUMMYFUNCTION("GOOGLETRANSLATE(D399,""fr"",""es"")"),"carro")</f>
        <v>carro</v>
      </c>
    </row>
    <row r="400">
      <c r="A400" s="3">
        <v>378.0</v>
      </c>
      <c r="B400" s="3" t="s">
        <v>189</v>
      </c>
      <c r="C400" s="3" t="s">
        <v>190</v>
      </c>
      <c r="D400" s="3" t="s">
        <v>1109</v>
      </c>
      <c r="E400" s="3" t="s">
        <v>1073</v>
      </c>
      <c r="F400" s="3" t="s">
        <v>1074</v>
      </c>
      <c r="G400" s="3" t="str">
        <f>IFERROR(__xludf.DUMMYFUNCTION("GOOGLETRANSLATE(D400,""fr"",""es"")"),"parar")</f>
        <v>parar</v>
      </c>
    </row>
    <row r="401">
      <c r="A401" s="3">
        <v>379.0</v>
      </c>
      <c r="B401" s="3" t="s">
        <v>189</v>
      </c>
      <c r="C401" s="3" t="s">
        <v>190</v>
      </c>
      <c r="D401" s="3" t="s">
        <v>1110</v>
      </c>
      <c r="E401" s="3" t="s">
        <v>1073</v>
      </c>
      <c r="F401" s="3" t="s">
        <v>1074</v>
      </c>
      <c r="G401" s="3" t="str">
        <f>IFERROR(__xludf.DUMMYFUNCTION("GOOGLETRANSLATE(D401,""fr"",""es"")"),"agujeros")</f>
        <v>agujeros</v>
      </c>
    </row>
    <row r="402">
      <c r="A402" s="3">
        <v>380.0</v>
      </c>
      <c r="B402" s="3" t="s">
        <v>189</v>
      </c>
      <c r="C402" s="3" t="s">
        <v>190</v>
      </c>
      <c r="D402" s="3" t="s">
        <v>1111</v>
      </c>
      <c r="E402" s="3" t="s">
        <v>1112</v>
      </c>
      <c r="F402" s="3" t="s">
        <v>1113</v>
      </c>
      <c r="G402" s="3" t="str">
        <f>IFERROR(__xludf.DUMMYFUNCTION("GOOGLETRANSLATE(D402,""fr"",""es"")"),"cáliz")</f>
        <v>cáliz</v>
      </c>
      <c r="H402" s="3" t="s">
        <v>1114</v>
      </c>
      <c r="I402" s="3" t="s">
        <v>1115</v>
      </c>
      <c r="J402" s="3" t="s">
        <v>1116</v>
      </c>
    </row>
    <row r="403">
      <c r="A403" s="3">
        <v>381.0</v>
      </c>
      <c r="B403" s="3" t="s">
        <v>189</v>
      </c>
      <c r="C403" s="3" t="s">
        <v>190</v>
      </c>
      <c r="D403" s="3" t="s">
        <v>1117</v>
      </c>
      <c r="E403" s="3" t="s">
        <v>1112</v>
      </c>
      <c r="F403" s="3" t="s">
        <v>1113</v>
      </c>
      <c r="G403" s="3" t="str">
        <f>IFERROR(__xludf.DUMMYFUNCTION("GOOGLETRANSLATE(D403,""fr"",""es"")"),"cálculo")</f>
        <v>cálculo</v>
      </c>
    </row>
    <row r="404">
      <c r="A404" s="3">
        <v>382.0</v>
      </c>
      <c r="B404" s="3" t="s">
        <v>189</v>
      </c>
      <c r="C404" s="3" t="s">
        <v>190</v>
      </c>
      <c r="D404" s="3" t="s">
        <v>1118</v>
      </c>
      <c r="E404" s="3" t="s">
        <v>1119</v>
      </c>
      <c r="F404" s="3" t="s">
        <v>1120</v>
      </c>
      <c r="G404" s="3" t="str">
        <f>IFERROR(__xludf.DUMMYFUNCTION("GOOGLETRANSLATE(D404,""fr"",""es"")"),"mimoso")</f>
        <v>mimoso</v>
      </c>
    </row>
    <row r="405">
      <c r="A405" s="3">
        <v>383.0</v>
      </c>
      <c r="B405" s="3" t="s">
        <v>189</v>
      </c>
      <c r="C405" s="3" t="s">
        <v>190</v>
      </c>
      <c r="D405" s="3" t="s">
        <v>1121</v>
      </c>
      <c r="E405" s="3" t="s">
        <v>1119</v>
      </c>
      <c r="F405" s="3" t="s">
        <v>1120</v>
      </c>
      <c r="G405" s="3" t="str">
        <f>IFERROR(__xludf.DUMMYFUNCTION("GOOGLETRANSLATE(D405,""fr"",""es"")"),"estaban acurrucados")</f>
        <v>estaban acurrucados</v>
      </c>
    </row>
    <row r="406">
      <c r="A406" s="3">
        <v>384.0</v>
      </c>
      <c r="B406" s="3" t="s">
        <v>189</v>
      </c>
      <c r="C406" s="3" t="s">
        <v>190</v>
      </c>
      <c r="D406" s="3" t="s">
        <v>1122</v>
      </c>
      <c r="E406" s="3" t="s">
        <v>1119</v>
      </c>
      <c r="F406" s="3" t="s">
        <v>1120</v>
      </c>
      <c r="G406" s="3" t="str">
        <f>IFERROR(__xludf.DUMMYFUNCTION("GOOGLETRANSLATE(D406,""fr"",""es"")"),"mimoso")</f>
        <v>mimoso</v>
      </c>
    </row>
    <row r="407">
      <c r="A407" s="3">
        <v>385.0</v>
      </c>
      <c r="B407" s="3" t="s">
        <v>189</v>
      </c>
      <c r="C407" s="3" t="s">
        <v>190</v>
      </c>
      <c r="D407" s="3" t="s">
        <v>1123</v>
      </c>
      <c r="E407" s="3" t="s">
        <v>1119</v>
      </c>
      <c r="F407" s="3" t="s">
        <v>1120</v>
      </c>
      <c r="G407" s="3" t="str">
        <f>IFERROR(__xludf.DUMMYFUNCTION("GOOGLETRANSLATE(D407,""fr"",""es"")"),"acurrucado")</f>
        <v>acurrucado</v>
      </c>
    </row>
    <row r="408">
      <c r="A408" s="3">
        <v>386.0</v>
      </c>
      <c r="B408" s="3" t="s">
        <v>189</v>
      </c>
      <c r="C408" s="3" t="s">
        <v>190</v>
      </c>
      <c r="D408" s="3" t="s">
        <v>1124</v>
      </c>
      <c r="E408" s="3" t="s">
        <v>1125</v>
      </c>
      <c r="F408" s="3" t="s">
        <v>1126</v>
      </c>
      <c r="G408" s="3" t="str">
        <f>IFERROR(__xludf.DUMMYFUNCTION("GOOGLETRANSLATE(D408,""fr"",""es"")"),"abrazo")</f>
        <v>abrazo</v>
      </c>
    </row>
    <row r="409">
      <c r="A409" s="3">
        <v>387.0</v>
      </c>
      <c r="B409" s="3" t="s">
        <v>189</v>
      </c>
      <c r="C409" s="3" t="s">
        <v>190</v>
      </c>
      <c r="D409" s="3" t="s">
        <v>1127</v>
      </c>
      <c r="E409" s="3" t="s">
        <v>1128</v>
      </c>
      <c r="F409" s="3" t="s">
        <v>1129</v>
      </c>
      <c r="G409" s="3" t="str">
        <f>IFERROR(__xludf.DUMMYFUNCTION("GOOGLETRANSLATE(D409,""fr"",""es"")"),"abrazadera")</f>
        <v>abrazadera</v>
      </c>
    </row>
    <row r="410">
      <c r="A410" s="3">
        <v>388.0</v>
      </c>
      <c r="B410" s="3" t="s">
        <v>189</v>
      </c>
      <c r="C410" s="3" t="s">
        <v>190</v>
      </c>
      <c r="D410" s="3" t="s">
        <v>1130</v>
      </c>
      <c r="E410" s="3" t="s">
        <v>1128</v>
      </c>
      <c r="F410" s="3" t="s">
        <v>1129</v>
      </c>
      <c r="G410" s="3" t="str">
        <f>IFERROR(__xludf.DUMMYFUNCTION("GOOGLETRANSLATE(D410,""fr"",""es"")"),"abrazo")</f>
        <v>abrazo</v>
      </c>
    </row>
    <row r="411">
      <c r="A411" s="3">
        <v>389.0</v>
      </c>
      <c r="B411" s="3" t="s">
        <v>189</v>
      </c>
      <c r="C411" s="3" t="s">
        <v>190</v>
      </c>
      <c r="D411" s="3" t="s">
        <v>1131</v>
      </c>
      <c r="E411" s="3" t="s">
        <v>1128</v>
      </c>
      <c r="F411" s="3" t="s">
        <v>1129</v>
      </c>
      <c r="G411" s="3" t="str">
        <f>IFERROR(__xludf.DUMMYFUNCTION("GOOGLETRANSLATE(D411,""fr"",""es"")"),"mimoso")</f>
        <v>mimoso</v>
      </c>
    </row>
    <row r="412">
      <c r="A412" s="3">
        <v>390.0</v>
      </c>
      <c r="B412" s="3" t="s">
        <v>189</v>
      </c>
      <c r="C412" s="3" t="s">
        <v>190</v>
      </c>
      <c r="D412" s="3" t="s">
        <v>1132</v>
      </c>
      <c r="E412" s="3" t="s">
        <v>1133</v>
      </c>
      <c r="F412" s="3" t="s">
        <v>1134</v>
      </c>
      <c r="G412" s="3" t="str">
        <f>IFERROR(__xludf.DUMMYFUNCTION("GOOGLETRANSLATE(D412,""fr"",""es"")"),"mimoso")</f>
        <v>mimoso</v>
      </c>
    </row>
    <row r="413">
      <c r="A413" s="3">
        <v>391.0</v>
      </c>
      <c r="B413" s="3" t="s">
        <v>189</v>
      </c>
      <c r="C413" s="3" t="s">
        <v>190</v>
      </c>
      <c r="D413" s="3" t="s">
        <v>1135</v>
      </c>
      <c r="E413" s="3" t="s">
        <v>1133</v>
      </c>
      <c r="F413" s="3" t="s">
        <v>1134</v>
      </c>
      <c r="G413" s="3" t="str">
        <f>IFERROR(__xludf.DUMMYFUNCTION("GOOGLETRANSLATE(D413,""fr"",""es"")"),"abrazo")</f>
        <v>abrazo</v>
      </c>
    </row>
    <row r="414">
      <c r="A414" s="3">
        <v>392.0</v>
      </c>
      <c r="B414" s="3" t="s">
        <v>189</v>
      </c>
      <c r="C414" s="3" t="s">
        <v>190</v>
      </c>
      <c r="D414" s="3" t="s">
        <v>1136</v>
      </c>
      <c r="E414" s="3" t="s">
        <v>1133</v>
      </c>
      <c r="F414" s="3" t="s">
        <v>1134</v>
      </c>
      <c r="G414" s="3" t="str">
        <f>IFERROR(__xludf.DUMMYFUNCTION("GOOGLETRANSLATE(D414,""fr"",""es"")"),"mimoso")</f>
        <v>mimoso</v>
      </c>
    </row>
    <row r="415">
      <c r="A415" s="3">
        <v>393.0</v>
      </c>
      <c r="B415" s="3" t="s">
        <v>189</v>
      </c>
      <c r="C415" s="3" t="s">
        <v>190</v>
      </c>
      <c r="D415" s="3" t="s">
        <v>1137</v>
      </c>
      <c r="E415" s="3" t="s">
        <v>1073</v>
      </c>
      <c r="F415" s="3" t="s">
        <v>1074</v>
      </c>
      <c r="G415" s="3" t="str">
        <f>IFERROR(__xludf.DUMMYFUNCTION("GOOGLETRANSLATE(D415,""fr"",""es"")"),"llamadas")</f>
        <v>llamadas</v>
      </c>
    </row>
    <row r="416">
      <c r="A416" s="3">
        <v>394.0</v>
      </c>
      <c r="B416" s="3" t="s">
        <v>189</v>
      </c>
      <c r="C416" s="3" t="s">
        <v>190</v>
      </c>
      <c r="D416" s="3" t="s">
        <v>1138</v>
      </c>
      <c r="E416" s="3" t="s">
        <v>1139</v>
      </c>
      <c r="F416" s="3" t="s">
        <v>1140</v>
      </c>
      <c r="G416" s="3" t="str">
        <f>IFERROR(__xludf.DUMMYFUNCTION("GOOGLETRANSLATE(D416,""fr"",""es"")"),"Camai")</f>
        <v>Camai</v>
      </c>
    </row>
    <row r="417">
      <c r="A417" s="3">
        <v>395.0</v>
      </c>
      <c r="B417" s="3" t="s">
        <v>189</v>
      </c>
      <c r="C417" s="3" t="s">
        <v>190</v>
      </c>
      <c r="D417" s="3" t="s">
        <v>1141</v>
      </c>
      <c r="E417" s="3" t="s">
        <v>1139</v>
      </c>
      <c r="F417" s="3" t="s">
        <v>1140</v>
      </c>
      <c r="G417" s="3" t="str">
        <f>IFERROR(__xludf.DUMMYFUNCTION("GOOGLETRANSLATE(D417,""fr"",""es"")"),"De camión")</f>
        <v>De camión</v>
      </c>
    </row>
    <row r="418">
      <c r="A418" s="3">
        <v>396.0</v>
      </c>
      <c r="B418" s="3" t="s">
        <v>189</v>
      </c>
      <c r="C418" s="3" t="s">
        <v>190</v>
      </c>
      <c r="D418" s="3" t="s">
        <v>1142</v>
      </c>
      <c r="E418" s="3" t="s">
        <v>1139</v>
      </c>
      <c r="F418" s="3" t="s">
        <v>1140</v>
      </c>
      <c r="G418" s="3" t="str">
        <f>IFERROR(__xludf.DUMMYFUNCTION("GOOGLETRANSLATE(D418,""fr"",""es"")"),"caislar")</f>
        <v>caislar</v>
      </c>
    </row>
    <row r="419">
      <c r="A419" s="3">
        <v>397.0</v>
      </c>
      <c r="B419" s="3" t="s">
        <v>189</v>
      </c>
      <c r="C419" s="3" t="s">
        <v>190</v>
      </c>
      <c r="D419" s="3" t="s">
        <v>1143</v>
      </c>
      <c r="E419" s="3" t="s">
        <v>1139</v>
      </c>
      <c r="F419" s="3" t="s">
        <v>1140</v>
      </c>
      <c r="G419" s="3" t="str">
        <f>IFERROR(__xludf.DUMMYFUNCTION("GOOGLETRANSLATE(D419,""fr"",""es"")"),"sombra")</f>
        <v>sombra</v>
      </c>
    </row>
    <row r="420">
      <c r="A420" s="3">
        <v>398.0</v>
      </c>
      <c r="B420" s="3" t="s">
        <v>189</v>
      </c>
      <c r="C420" s="3" t="s">
        <v>190</v>
      </c>
      <c r="D420" s="3" t="s">
        <v>1144</v>
      </c>
      <c r="E420" s="3" t="s">
        <v>1145</v>
      </c>
      <c r="F420" s="3" t="s">
        <v>1146</v>
      </c>
      <c r="G420" s="3" t="str">
        <f>IFERROR(__xludf.DUMMYFUNCTION("GOOGLETRANSLATE(D420,""fr"",""es"")"),"cam a")</f>
        <v>cam a</v>
      </c>
    </row>
    <row r="421">
      <c r="A421" s="3">
        <v>399.0</v>
      </c>
      <c r="B421" s="3" t="s">
        <v>189</v>
      </c>
      <c r="C421" s="3" t="s">
        <v>190</v>
      </c>
      <c r="D421" s="3" t="s">
        <v>1147</v>
      </c>
      <c r="E421" s="3" t="s">
        <v>1148</v>
      </c>
      <c r="F421" s="3" t="s">
        <v>1149</v>
      </c>
      <c r="G421" s="3" t="str">
        <f>IFERROR(__xludf.DUMMYFUNCTION("GOOGLETRANSLATE(D421,""fr"",""es"")"),"sombra")</f>
        <v>sombra</v>
      </c>
    </row>
    <row r="422">
      <c r="A422" s="3">
        <v>400.0</v>
      </c>
      <c r="B422" s="3" t="s">
        <v>189</v>
      </c>
      <c r="C422" s="3" t="s">
        <v>190</v>
      </c>
      <c r="D422" s="3" t="s">
        <v>1150</v>
      </c>
      <c r="E422" s="3" t="s">
        <v>1148</v>
      </c>
      <c r="F422" s="3" t="s">
        <v>1149</v>
      </c>
      <c r="G422" s="3" t="str">
        <f>IFERROR(__xludf.DUMMYFUNCTION("GOOGLETRANSLATE(D422,""fr"",""es"")"),"sombra")</f>
        <v>sombra</v>
      </c>
    </row>
    <row r="423">
      <c r="A423" s="3">
        <v>401.0</v>
      </c>
      <c r="B423" s="3" t="s">
        <v>189</v>
      </c>
      <c r="C423" s="3" t="s">
        <v>190</v>
      </c>
      <c r="D423" s="3" t="s">
        <v>1151</v>
      </c>
      <c r="E423" s="3" t="s">
        <v>1148</v>
      </c>
      <c r="F423" s="3" t="s">
        <v>1149</v>
      </c>
      <c r="G423" s="3" t="str">
        <f>IFERROR(__xludf.DUMMYFUNCTION("GOOGLETRANSLATE(D423,""fr"",""es"")"),"sombras")</f>
        <v>sombras</v>
      </c>
    </row>
    <row r="424">
      <c r="A424" s="3">
        <v>402.0</v>
      </c>
      <c r="B424" s="3" t="s">
        <v>189</v>
      </c>
      <c r="C424" s="3" t="s">
        <v>190</v>
      </c>
      <c r="D424" s="3" t="s">
        <v>1152</v>
      </c>
      <c r="E424" s="3" t="s">
        <v>1153</v>
      </c>
      <c r="F424" s="3" t="s">
        <v>1154</v>
      </c>
      <c r="G424" s="3" t="str">
        <f>IFERROR(__xludf.DUMMYFUNCTION("GOOGLETRANSLATE(D424,""fr"",""es"")"),"leva")</f>
        <v>leva</v>
      </c>
      <c r="H424" s="3" t="s">
        <v>1155</v>
      </c>
      <c r="I424" s="3" t="s">
        <v>1156</v>
      </c>
      <c r="J424" s="3" t="s">
        <v>1157</v>
      </c>
      <c r="K424" s="3" t="s">
        <v>1158</v>
      </c>
    </row>
    <row r="425">
      <c r="A425" s="3">
        <v>403.0</v>
      </c>
      <c r="B425" s="3" t="s">
        <v>189</v>
      </c>
      <c r="C425" s="3" t="s">
        <v>190</v>
      </c>
      <c r="D425" s="3" t="s">
        <v>1159</v>
      </c>
      <c r="E425" s="3" t="s">
        <v>1153</v>
      </c>
      <c r="F425" s="3" t="s">
        <v>1154</v>
      </c>
      <c r="G425" s="3" t="str">
        <f>IFERROR(__xludf.DUMMYFUNCTION("GOOGLETRANSLATE(D425,""fr"",""es"")"),"este")</f>
        <v>este</v>
      </c>
    </row>
    <row r="426">
      <c r="A426" s="3">
        <v>404.0</v>
      </c>
      <c r="B426" s="3" t="s">
        <v>189</v>
      </c>
      <c r="C426" s="3" t="s">
        <v>190</v>
      </c>
      <c r="D426" s="3" t="s">
        <v>1160</v>
      </c>
      <c r="E426" s="3" t="s">
        <v>1153</v>
      </c>
      <c r="F426" s="3" t="s">
        <v>1154</v>
      </c>
      <c r="G426" s="3" t="str">
        <f>IFERROR(__xludf.DUMMYFUNCTION("GOOGLETRANSLATE(D426,""fr"",""es"")"),"árbol de levas")</f>
        <v>árbol de levas</v>
      </c>
    </row>
    <row r="427">
      <c r="A427" s="3">
        <v>405.0</v>
      </c>
      <c r="B427" s="3" t="s">
        <v>189</v>
      </c>
      <c r="C427" s="3" t="s">
        <v>190</v>
      </c>
      <c r="D427" s="3" t="s">
        <v>1161</v>
      </c>
      <c r="E427" s="3" t="s">
        <v>1162</v>
      </c>
      <c r="F427" s="3" t="s">
        <v>1163</v>
      </c>
      <c r="G427" s="3" t="str">
        <f>IFERROR(__xludf.DUMMYFUNCTION("GOOGLETRANSLATE(D427,""fr"",""es"")"),"canai")</f>
        <v>canai</v>
      </c>
    </row>
    <row r="428">
      <c r="A428" s="3">
        <v>406.0</v>
      </c>
      <c r="B428" s="3" t="s">
        <v>189</v>
      </c>
      <c r="C428" s="3" t="s">
        <v>190</v>
      </c>
      <c r="D428" s="3" t="s">
        <v>1164</v>
      </c>
      <c r="E428" s="3" t="s">
        <v>1162</v>
      </c>
      <c r="F428" s="3" t="s">
        <v>1163</v>
      </c>
      <c r="G428" s="3" t="str">
        <f>IFERROR(__xludf.DUMMYFUNCTION("GOOGLETRANSLATE(D428,""fr"",""es"")"),"canait")</f>
        <v>canait</v>
      </c>
    </row>
    <row r="429">
      <c r="A429" s="3">
        <v>407.0</v>
      </c>
      <c r="B429" s="3" t="s">
        <v>189</v>
      </c>
      <c r="C429" s="3" t="s">
        <v>190</v>
      </c>
      <c r="D429" s="3" t="s">
        <v>1165</v>
      </c>
      <c r="E429" s="3" t="s">
        <v>1166</v>
      </c>
      <c r="F429" s="3" t="s">
        <v>1167</v>
      </c>
      <c r="G429" s="3" t="str">
        <f>IFERROR(__xludf.DUMMYFUNCTION("GOOGLETRANSLATE(D429,""fr"",""es"")"),"sinvergüenza")</f>
        <v>sinvergüenza</v>
      </c>
      <c r="H429" s="3" t="s">
        <v>1168</v>
      </c>
      <c r="I429" s="3" t="s">
        <v>1169</v>
      </c>
      <c r="J429" s="3" t="s">
        <v>1170</v>
      </c>
      <c r="K429" s="3" t="s">
        <v>1171</v>
      </c>
      <c r="L429" s="3" t="s">
        <v>1172</v>
      </c>
      <c r="M429" s="3" t="s">
        <v>1173</v>
      </c>
      <c r="N429" s="3" t="s">
        <v>1174</v>
      </c>
      <c r="O429" s="3" t="s">
        <v>1175</v>
      </c>
      <c r="P429" s="3" t="s">
        <v>1176</v>
      </c>
    </row>
    <row r="430">
      <c r="A430" s="3">
        <v>408.0</v>
      </c>
      <c r="B430" s="3" t="s">
        <v>189</v>
      </c>
      <c r="C430" s="3" t="s">
        <v>190</v>
      </c>
      <c r="D430" s="3" t="s">
        <v>1177</v>
      </c>
      <c r="E430" s="3" t="s">
        <v>1166</v>
      </c>
      <c r="F430" s="3" t="s">
        <v>1167</v>
      </c>
      <c r="G430" s="3" t="str">
        <f>IFERROR(__xludf.DUMMYFUNCTION("GOOGLETRANSLATE(D430,""fr"",""es"")"),"escamas")</f>
        <v>escamas</v>
      </c>
    </row>
    <row r="431">
      <c r="A431" s="3">
        <v>409.0</v>
      </c>
      <c r="B431" s="3" t="s">
        <v>189</v>
      </c>
      <c r="C431" s="3" t="s">
        <v>190</v>
      </c>
      <c r="D431" s="3" t="s">
        <v>1178</v>
      </c>
      <c r="E431" s="3" t="s">
        <v>1162</v>
      </c>
      <c r="F431" s="3" t="s">
        <v>1163</v>
      </c>
      <c r="G431" s="3" t="str">
        <f>IFERROR(__xludf.DUMMYFUNCTION("GOOGLETRANSLATE(D431,""fr"",""es"")"),"sinvergüenza")</f>
        <v>sinvergüenza</v>
      </c>
    </row>
    <row r="432">
      <c r="A432" s="3">
        <v>410.0</v>
      </c>
      <c r="B432" s="3" t="s">
        <v>189</v>
      </c>
      <c r="C432" s="3" t="s">
        <v>190</v>
      </c>
      <c r="D432" s="3" t="s">
        <v>1179</v>
      </c>
      <c r="E432" s="3" t="s">
        <v>1162</v>
      </c>
      <c r="F432" s="3" t="s">
        <v>1163</v>
      </c>
      <c r="G432" s="3" t="str">
        <f>IFERROR(__xludf.DUMMYFUNCTION("GOOGLETRANSLATE(D432,""fr"",""es"")"),"canait")</f>
        <v>canait</v>
      </c>
    </row>
    <row r="433">
      <c r="A433" s="3">
        <v>411.0</v>
      </c>
      <c r="B433" s="3" t="s">
        <v>189</v>
      </c>
      <c r="C433" s="3" t="s">
        <v>190</v>
      </c>
      <c r="D433" s="3" t="s">
        <v>1180</v>
      </c>
      <c r="E433" s="3" t="s">
        <v>1181</v>
      </c>
      <c r="F433" s="3" t="s">
        <v>1182</v>
      </c>
      <c r="G433" s="3" t="str">
        <f>IFERROR(__xludf.DUMMYFUNCTION("GOOGLETRANSLATE(D433,""fr"",""es"")"),"canal")</f>
        <v>canal</v>
      </c>
      <c r="H433" s="3" t="s">
        <v>1180</v>
      </c>
      <c r="I433" s="3" t="s">
        <v>1183</v>
      </c>
      <c r="J433" s="3" t="s">
        <v>1184</v>
      </c>
      <c r="K433" s="3" t="s">
        <v>1180</v>
      </c>
      <c r="L433" s="3" t="s">
        <v>1185</v>
      </c>
      <c r="M433" s="3" t="s">
        <v>1186</v>
      </c>
      <c r="N433" s="3" t="s">
        <v>1180</v>
      </c>
      <c r="O433" s="3" t="s">
        <v>1187</v>
      </c>
      <c r="P433" s="3" t="s">
        <v>1180</v>
      </c>
    </row>
    <row r="434">
      <c r="A434" s="3">
        <v>412.0</v>
      </c>
      <c r="B434" s="3" t="s">
        <v>189</v>
      </c>
      <c r="C434" s="3" t="s">
        <v>190</v>
      </c>
      <c r="D434" s="3" t="s">
        <v>1188</v>
      </c>
      <c r="E434" s="3" t="s">
        <v>1189</v>
      </c>
      <c r="F434" s="3" t="s">
        <v>1190</v>
      </c>
      <c r="G434" s="3" t="str">
        <f>IFERROR(__xludf.DUMMYFUNCTION("GOOGLETRANSLATE(D434,""fr"",""es"")"),"lata")</f>
        <v>lata</v>
      </c>
    </row>
    <row r="435">
      <c r="A435" s="3">
        <v>413.0</v>
      </c>
      <c r="B435" s="3" t="s">
        <v>189</v>
      </c>
      <c r="C435" s="3" t="s">
        <v>190</v>
      </c>
      <c r="D435" s="3" t="s">
        <v>1191</v>
      </c>
      <c r="E435" s="3" t="s">
        <v>1192</v>
      </c>
      <c r="F435" s="3" t="s">
        <v>1193</v>
      </c>
      <c r="G435" s="3" t="str">
        <f>IFERROR(__xludf.DUMMYFUNCTION("GOOGLETRANSLATE(D435,""fr"",""es"")"),"canaco")</f>
        <v>canaco</v>
      </c>
    </row>
    <row r="436">
      <c r="A436" s="3">
        <v>414.0</v>
      </c>
      <c r="B436" s="3" t="s">
        <v>189</v>
      </c>
      <c r="C436" s="3" t="s">
        <v>190</v>
      </c>
      <c r="D436" s="3" t="s">
        <v>1194</v>
      </c>
      <c r="E436" s="3" t="s">
        <v>1195</v>
      </c>
      <c r="F436" s="3" t="s">
        <v>1196</v>
      </c>
      <c r="G436" s="3" t="str">
        <f>IFERROR(__xludf.DUMMYFUNCTION("GOOGLETRANSLATE(D436,""fr"",""es"")"),"varilla")</f>
        <v>varilla</v>
      </c>
    </row>
    <row r="437">
      <c r="A437" s="3">
        <v>415.0</v>
      </c>
      <c r="B437" s="3" t="s">
        <v>189</v>
      </c>
      <c r="C437" s="3" t="s">
        <v>190</v>
      </c>
      <c r="D437" s="3" t="s">
        <v>1197</v>
      </c>
      <c r="E437" s="3" t="s">
        <v>1195</v>
      </c>
      <c r="F437" s="3" t="s">
        <v>1196</v>
      </c>
      <c r="G437" s="3" t="str">
        <f>IFERROR(__xludf.DUMMYFUNCTION("GOOGLETRANSLATE(D437,""fr"",""es"")"),"morder")</f>
        <v>morder</v>
      </c>
    </row>
    <row r="438">
      <c r="A438" s="3">
        <v>416.0</v>
      </c>
      <c r="B438" s="3" t="s">
        <v>189</v>
      </c>
      <c r="C438" s="3" t="s">
        <v>190</v>
      </c>
      <c r="D438" s="3" t="s">
        <v>1198</v>
      </c>
      <c r="E438" s="3" t="s">
        <v>1195</v>
      </c>
      <c r="F438" s="3" t="s">
        <v>1196</v>
      </c>
      <c r="G438" s="3" t="str">
        <f>IFERROR(__xludf.DUMMYFUNCTION("GOOGLETRANSLATE(D438,""fr"",""es"")"),"cañas")</f>
        <v>cañas</v>
      </c>
    </row>
    <row r="439">
      <c r="A439" s="3">
        <v>417.0</v>
      </c>
      <c r="B439" s="3" t="s">
        <v>189</v>
      </c>
      <c r="C439" s="3" t="s">
        <v>190</v>
      </c>
      <c r="D439" s="3" t="s">
        <v>1199</v>
      </c>
      <c r="E439" s="3" t="s">
        <v>1200</v>
      </c>
      <c r="F439" s="3" t="s">
        <v>1201</v>
      </c>
      <c r="G439" s="3" t="str">
        <f>IFERROR(__xludf.DUMMYFUNCTION("GOOGLETRANSLATE(D439,""fr"",""es"")"),"Canayenne")</f>
        <v>Canayenne</v>
      </c>
    </row>
    <row r="440">
      <c r="A440" s="3">
        <v>418.0</v>
      </c>
      <c r="B440" s="3" t="s">
        <v>189</v>
      </c>
      <c r="C440" s="3" t="s">
        <v>190</v>
      </c>
      <c r="D440" s="3" t="s">
        <v>1202</v>
      </c>
      <c r="E440" s="3" t="s">
        <v>1200</v>
      </c>
      <c r="F440" s="3" t="s">
        <v>1201</v>
      </c>
      <c r="G440" s="3" t="str">
        <f>IFERROR(__xludf.DUMMYFUNCTION("GOOGLETRANSLATE(D440,""fr"",""es"")"),"Canayano")</f>
        <v>Canayano</v>
      </c>
    </row>
    <row r="441">
      <c r="A441" s="3">
        <v>419.0</v>
      </c>
      <c r="B441" s="3" t="s">
        <v>189</v>
      </c>
      <c r="C441" s="3" t="s">
        <v>190</v>
      </c>
      <c r="D441" s="3" t="s">
        <v>1203</v>
      </c>
      <c r="E441" s="3" t="s">
        <v>1204</v>
      </c>
      <c r="F441" s="3" t="s">
        <v>1205</v>
      </c>
      <c r="G441" s="3" t="str">
        <f>IFERROR(__xludf.DUMMYFUNCTION("GOOGLETRANSLATE(D441,""fr"",""es"")"),"caña")</f>
        <v>caña</v>
      </c>
      <c r="H441" s="3" t="s">
        <v>1206</v>
      </c>
      <c r="I441" s="3" t="s">
        <v>1206</v>
      </c>
      <c r="J441" s="3" t="s">
        <v>1206</v>
      </c>
      <c r="K441" s="3" t="s">
        <v>1207</v>
      </c>
      <c r="L441" s="3" t="s">
        <v>1208</v>
      </c>
      <c r="M441" s="3" t="s">
        <v>1206</v>
      </c>
      <c r="N441" s="3" t="s">
        <v>1206</v>
      </c>
      <c r="O441" s="3" t="s">
        <v>1206</v>
      </c>
      <c r="P441" s="3" t="s">
        <v>1206</v>
      </c>
      <c r="Q441" s="3" t="s">
        <v>1209</v>
      </c>
    </row>
    <row r="442">
      <c r="A442" s="3">
        <v>420.0</v>
      </c>
      <c r="B442" s="3" t="s">
        <v>189</v>
      </c>
      <c r="C442" s="3" t="s">
        <v>190</v>
      </c>
      <c r="D442" s="3" t="s">
        <v>1210</v>
      </c>
      <c r="E442" s="3" t="s">
        <v>1204</v>
      </c>
      <c r="F442" s="3" t="s">
        <v>1205</v>
      </c>
      <c r="G442" s="3" t="str">
        <f>IFERROR(__xludf.DUMMYFUNCTION("GOOGLETRANSLATE(D442,""fr"",""es"")"),"pato")</f>
        <v>pato</v>
      </c>
    </row>
    <row r="443">
      <c r="A443" s="3">
        <v>421.0</v>
      </c>
      <c r="B443" s="3" t="s">
        <v>189</v>
      </c>
      <c r="C443" s="3" t="s">
        <v>190</v>
      </c>
      <c r="D443" s="3" t="s">
        <v>1211</v>
      </c>
      <c r="E443" s="3" t="s">
        <v>1204</v>
      </c>
      <c r="F443" s="3" t="s">
        <v>1205</v>
      </c>
      <c r="G443" s="3" t="str">
        <f>IFERROR(__xludf.DUMMYFUNCTION("GOOGLETRANSLATE(D443,""fr"",""es"")"),"bastón")</f>
        <v>bastón</v>
      </c>
    </row>
    <row r="444">
      <c r="A444" s="3">
        <v>422.0</v>
      </c>
      <c r="B444" s="3" t="s">
        <v>189</v>
      </c>
      <c r="C444" s="3" t="s">
        <v>190</v>
      </c>
      <c r="D444" s="3" t="s">
        <v>1212</v>
      </c>
      <c r="E444" s="3" t="s">
        <v>1213</v>
      </c>
      <c r="F444" s="3" t="s">
        <v>1214</v>
      </c>
      <c r="G444" s="3" t="str">
        <f>IFERROR(__xludf.DUMMYFUNCTION("GOOGLETRANSLATE(D444,""fr"",""es"")"),"caniche")</f>
        <v>caniche</v>
      </c>
      <c r="H444" s="3" t="s">
        <v>1215</v>
      </c>
      <c r="I444" s="3" t="s">
        <v>1216</v>
      </c>
    </row>
    <row r="445">
      <c r="A445" s="3">
        <v>423.0</v>
      </c>
      <c r="B445" s="3" t="s">
        <v>189</v>
      </c>
      <c r="C445" s="3" t="s">
        <v>190</v>
      </c>
      <c r="D445" s="3" t="s">
        <v>1217</v>
      </c>
      <c r="E445" s="3" t="s">
        <v>1213</v>
      </c>
      <c r="F445" s="3" t="s">
        <v>1214</v>
      </c>
      <c r="G445" s="3" t="str">
        <f>IFERROR(__xludf.DUMMYFUNCTION("GOOGLETRANSLATE(D445,""fr"",""es"")"),"caniche")</f>
        <v>caniche</v>
      </c>
    </row>
    <row r="446">
      <c r="A446" s="3">
        <v>424.0</v>
      </c>
      <c r="B446" s="3" t="s">
        <v>189</v>
      </c>
      <c r="C446" s="3" t="s">
        <v>190</v>
      </c>
      <c r="D446" s="3" t="s">
        <v>1218</v>
      </c>
      <c r="E446" s="3" t="s">
        <v>1219</v>
      </c>
      <c r="F446" s="3" t="s">
        <v>1220</v>
      </c>
      <c r="G446" s="3" t="str">
        <f>IFERROR(__xludf.DUMMYFUNCTION("GOOGLETRANSLATE(D446,""fr"",""es"")"),"canino")</f>
        <v>canino</v>
      </c>
      <c r="H446" s="3" t="s">
        <v>1218</v>
      </c>
      <c r="I446" s="3" t="s">
        <v>1221</v>
      </c>
      <c r="J446" s="3" t="s">
        <v>1218</v>
      </c>
      <c r="K446" s="3" t="s">
        <v>1218</v>
      </c>
      <c r="L446" s="3" t="s">
        <v>1222</v>
      </c>
      <c r="M446" s="3" t="s">
        <v>1218</v>
      </c>
      <c r="N446" s="3" t="s">
        <v>1223</v>
      </c>
      <c r="O446" s="3" t="s">
        <v>1224</v>
      </c>
      <c r="P446" s="3" t="s">
        <v>1225</v>
      </c>
      <c r="Q446" s="3" t="s">
        <v>1226</v>
      </c>
      <c r="R446" s="3" t="s">
        <v>1227</v>
      </c>
    </row>
    <row r="447">
      <c r="A447" s="3">
        <v>425.0</v>
      </c>
      <c r="B447" s="3" t="s">
        <v>189</v>
      </c>
      <c r="C447" s="3" t="s">
        <v>190</v>
      </c>
      <c r="D447" s="3" t="s">
        <v>1228</v>
      </c>
      <c r="E447" s="3" t="s">
        <v>1219</v>
      </c>
      <c r="F447" s="3" t="s">
        <v>1220</v>
      </c>
      <c r="G447" s="3" t="str">
        <f>IFERROR(__xludf.DUMMYFUNCTION("GOOGLETRANSLATE(D447,""fr"",""es"")"),"caninos")</f>
        <v>caninos</v>
      </c>
    </row>
    <row r="448">
      <c r="A448" s="3">
        <v>426.0</v>
      </c>
      <c r="B448" s="3" t="s">
        <v>189</v>
      </c>
      <c r="C448" s="3" t="s">
        <v>190</v>
      </c>
      <c r="D448" s="3" t="s">
        <v>1229</v>
      </c>
      <c r="E448" s="3" t="s">
        <v>1230</v>
      </c>
      <c r="F448" s="3" t="s">
        <v>1231</v>
      </c>
      <c r="G448" s="3" t="str">
        <f>IFERROR(__xludf.DUMMYFUNCTION("GOOGLETRANSLATE(D448,""fr"",""es"")"),"canisse")</f>
        <v>canisse</v>
      </c>
    </row>
    <row r="449">
      <c r="A449" s="3">
        <v>427.0</v>
      </c>
      <c r="B449" s="3" t="s">
        <v>189</v>
      </c>
      <c r="C449" s="3" t="s">
        <v>190</v>
      </c>
      <c r="D449" s="3" t="s">
        <v>1232</v>
      </c>
      <c r="E449" s="3" t="s">
        <v>1230</v>
      </c>
      <c r="F449" s="3" t="s">
        <v>1231</v>
      </c>
      <c r="G449" s="3" t="str">
        <f>IFERROR(__xludf.DUMMYFUNCTION("GOOGLETRANSLATE(D449,""fr"",""es"")"),"Canisses")</f>
        <v>Canisses</v>
      </c>
    </row>
    <row r="450">
      <c r="A450" s="3">
        <v>428.0</v>
      </c>
      <c r="B450" s="3" t="s">
        <v>189</v>
      </c>
      <c r="C450" s="3" t="s">
        <v>190</v>
      </c>
      <c r="D450" s="3" t="s">
        <v>1233</v>
      </c>
      <c r="E450" s="3" t="s">
        <v>1162</v>
      </c>
      <c r="F450" s="3" t="s">
        <v>1163</v>
      </c>
      <c r="G450" s="3" t="str">
        <f>IFERROR(__xludf.DUMMYFUNCTION("GOOGLETRANSLATE(D450,""fr"",""es"")"),"cannai")</f>
        <v>cannai</v>
      </c>
    </row>
    <row r="451">
      <c r="A451" s="3">
        <v>429.0</v>
      </c>
      <c r="B451" s="3" t="s">
        <v>189</v>
      </c>
      <c r="C451" s="3" t="s">
        <v>190</v>
      </c>
      <c r="D451" s="3" t="s">
        <v>1234</v>
      </c>
      <c r="E451" s="3" t="s">
        <v>1162</v>
      </c>
      <c r="F451" s="3" t="s">
        <v>1163</v>
      </c>
      <c r="G451" s="3" t="str">
        <f>IFERROR(__xludf.DUMMYFUNCTION("GOOGLETRANSLATE(D451,""fr"",""es"")"),"pudo")</f>
        <v>pudo</v>
      </c>
    </row>
    <row r="452">
      <c r="A452" s="3">
        <v>430.0</v>
      </c>
      <c r="B452" s="3" t="s">
        <v>189</v>
      </c>
      <c r="C452" s="3" t="s">
        <v>190</v>
      </c>
      <c r="D452" s="3" t="s">
        <v>1235</v>
      </c>
      <c r="E452" s="3" t="s">
        <v>1162</v>
      </c>
      <c r="F452" s="3" t="s">
        <v>1163</v>
      </c>
      <c r="G452" s="3" t="str">
        <f>IFERROR(__xludf.DUMMYFUNCTION("GOOGLETRANSLATE(D452,""fr"",""es"")"),"cánneres")</f>
        <v>cánneres</v>
      </c>
    </row>
    <row r="453">
      <c r="A453" s="3">
        <v>431.0</v>
      </c>
      <c r="B453" s="3" t="s">
        <v>189</v>
      </c>
      <c r="C453" s="3" t="s">
        <v>190</v>
      </c>
      <c r="D453" s="3" t="s">
        <v>1236</v>
      </c>
      <c r="E453" s="3" t="s">
        <v>1162</v>
      </c>
      <c r="F453" s="3" t="s">
        <v>1163</v>
      </c>
      <c r="G453" s="3" t="str">
        <f>IFERROR(__xludf.DUMMYFUNCTION("GOOGLETRANSLATE(D453,""fr"",""es"")"),"pudo")</f>
        <v>pudo</v>
      </c>
    </row>
    <row r="454">
      <c r="A454" s="3">
        <v>432.0</v>
      </c>
      <c r="B454" s="3" t="s">
        <v>189</v>
      </c>
      <c r="C454" s="3" t="s">
        <v>190</v>
      </c>
      <c r="D454" s="3" t="s">
        <v>1237</v>
      </c>
      <c r="E454" s="3" t="s">
        <v>1189</v>
      </c>
      <c r="F454" s="3" t="s">
        <v>1190</v>
      </c>
      <c r="G454" s="3" t="str">
        <f>IFERROR(__xludf.DUMMYFUNCTION("GOOGLETRANSLATE(D454,""fr"",""es"")"),"cann.")</f>
        <v>cann.</v>
      </c>
    </row>
    <row r="455">
      <c r="A455" s="3">
        <v>433.0</v>
      </c>
      <c r="B455" s="3" t="s">
        <v>189</v>
      </c>
      <c r="C455" s="3" t="s">
        <v>190</v>
      </c>
      <c r="D455" s="3" t="s">
        <v>1238</v>
      </c>
      <c r="E455" s="3" t="s">
        <v>1195</v>
      </c>
      <c r="F455" s="3" t="s">
        <v>1196</v>
      </c>
      <c r="G455" s="3" t="str">
        <f>IFERROR(__xludf.DUMMYFUNCTION("GOOGLETRANSLATE(D455,""fr"",""es"")"),"canata")</f>
        <v>canata</v>
      </c>
    </row>
    <row r="456">
      <c r="A456" s="3">
        <v>434.0</v>
      </c>
      <c r="B456" s="3" t="s">
        <v>189</v>
      </c>
      <c r="C456" s="3" t="s">
        <v>190</v>
      </c>
      <c r="D456" s="3" t="s">
        <v>1239</v>
      </c>
      <c r="E456" s="3" t="s">
        <v>1195</v>
      </c>
      <c r="F456" s="3" t="s">
        <v>1196</v>
      </c>
      <c r="G456" s="3" t="str">
        <f>IFERROR(__xludf.DUMMYFUNCTION("GOOGLETRANSLATE(D456,""fr"",""es"")"),"canata")</f>
        <v>canata</v>
      </c>
    </row>
    <row r="457">
      <c r="A457" s="3">
        <v>435.0</v>
      </c>
      <c r="B457" s="3" t="s">
        <v>189</v>
      </c>
      <c r="C457" s="3" t="s">
        <v>190</v>
      </c>
      <c r="D457" s="3" t="s">
        <v>1240</v>
      </c>
      <c r="E457" s="3" t="s">
        <v>1195</v>
      </c>
      <c r="F457" s="3" t="s">
        <v>1196</v>
      </c>
      <c r="G457" s="3" t="str">
        <f>IFERROR(__xludf.DUMMYFUNCTION("GOOGLETRANSLATE(D457,""fr"",""es"")"),"cañón")</f>
        <v>cañón</v>
      </c>
    </row>
    <row r="458">
      <c r="A458" s="3">
        <v>436.0</v>
      </c>
      <c r="B458" s="3" t="s">
        <v>189</v>
      </c>
      <c r="C458" s="3" t="s">
        <v>190</v>
      </c>
      <c r="D458" s="3" t="s">
        <v>1241</v>
      </c>
      <c r="E458" s="3" t="s">
        <v>1204</v>
      </c>
      <c r="F458" s="3" t="s">
        <v>1205</v>
      </c>
      <c r="G458" s="3" t="str">
        <f>IFERROR(__xludf.DUMMYFUNCTION("GOOGLETRANSLATE(D458,""fr"",""es"")"),"caña")</f>
        <v>caña</v>
      </c>
      <c r="H458" s="3" t="s">
        <v>1242</v>
      </c>
      <c r="I458" s="3" t="s">
        <v>1243</v>
      </c>
      <c r="J458" s="3" t="s">
        <v>1244</v>
      </c>
      <c r="K458" s="3" t="s">
        <v>1245</v>
      </c>
      <c r="L458" s="3" t="s">
        <v>1246</v>
      </c>
      <c r="M458" s="3" t="s">
        <v>1203</v>
      </c>
      <c r="N458" s="3" t="s">
        <v>1203</v>
      </c>
      <c r="O458" s="3" t="s">
        <v>1247</v>
      </c>
      <c r="P458" s="3" t="s">
        <v>1248</v>
      </c>
      <c r="Q458" s="3" t="s">
        <v>1242</v>
      </c>
      <c r="R458" s="3" t="s">
        <v>1203</v>
      </c>
      <c r="S458" s="3" t="s">
        <v>1249</v>
      </c>
    </row>
    <row r="459">
      <c r="A459" s="3">
        <v>437.0</v>
      </c>
      <c r="B459" s="3" t="s">
        <v>189</v>
      </c>
      <c r="C459" s="3" t="s">
        <v>190</v>
      </c>
      <c r="D459" s="3" t="s">
        <v>1250</v>
      </c>
      <c r="E459" s="3" t="s">
        <v>1251</v>
      </c>
      <c r="F459" s="3" t="s">
        <v>1252</v>
      </c>
      <c r="G459" s="3" t="str">
        <f>IFERROR(__xludf.DUMMYFUNCTION("GOOGLETRANSLATE(D459,""fr"",""es"")"),"cannelâme")</f>
        <v>cannelâme</v>
      </c>
    </row>
    <row r="460">
      <c r="A460" s="3">
        <v>438.0</v>
      </c>
      <c r="B460" s="3" t="s">
        <v>189</v>
      </c>
      <c r="C460" s="3" t="s">
        <v>190</v>
      </c>
      <c r="D460" s="3" t="s">
        <v>1253</v>
      </c>
      <c r="E460" s="3" t="s">
        <v>1181</v>
      </c>
      <c r="F460" s="3" t="s">
        <v>1182</v>
      </c>
      <c r="G460" s="3" t="str">
        <f>IFERROR(__xludf.DUMMYFUNCTION("GOOGLETRANSLATE(D460,""fr"",""es"")"),"canela")</f>
        <v>canela</v>
      </c>
      <c r="H460" s="3" t="s">
        <v>1254</v>
      </c>
      <c r="I460" s="3" t="s">
        <v>1254</v>
      </c>
      <c r="J460" s="3" t="s">
        <v>1255</v>
      </c>
      <c r="K460" s="3" t="s">
        <v>1256</v>
      </c>
      <c r="L460" s="3" t="s">
        <v>1257</v>
      </c>
      <c r="M460" s="3" t="s">
        <v>1254</v>
      </c>
      <c r="N460" s="3" t="s">
        <v>1258</v>
      </c>
    </row>
    <row r="461">
      <c r="A461" s="3">
        <v>439.0</v>
      </c>
      <c r="B461" s="3" t="s">
        <v>189</v>
      </c>
      <c r="C461" s="3" t="s">
        <v>190</v>
      </c>
      <c r="D461" s="3" t="s">
        <v>1259</v>
      </c>
      <c r="E461" s="3" t="s">
        <v>1181</v>
      </c>
      <c r="F461" s="3" t="s">
        <v>1182</v>
      </c>
      <c r="G461" s="3" t="str">
        <f>IFERROR(__xludf.DUMMYFUNCTION("GOOGLETRANSLATE(D461,""fr"",""es"")"),"canela")</f>
        <v>canela</v>
      </c>
    </row>
    <row r="462">
      <c r="A462" s="3">
        <v>440.0</v>
      </c>
      <c r="B462" s="3" t="s">
        <v>189</v>
      </c>
      <c r="C462" s="3" t="s">
        <v>190</v>
      </c>
      <c r="D462" s="3" t="s">
        <v>1260</v>
      </c>
      <c r="E462" s="3" t="s">
        <v>1181</v>
      </c>
      <c r="F462" s="3" t="s">
        <v>1182</v>
      </c>
      <c r="G462" s="3" t="str">
        <f>IFERROR(__xludf.DUMMYFUNCTION("GOOGLETRANSLATE(D462,""fr"",""es"")"),"cañas")</f>
        <v>cañas</v>
      </c>
    </row>
    <row r="463">
      <c r="A463" s="3">
        <v>441.0</v>
      </c>
      <c r="B463" s="3" t="s">
        <v>189</v>
      </c>
      <c r="C463" s="3" t="s">
        <v>190</v>
      </c>
      <c r="D463" s="3" t="s">
        <v>1261</v>
      </c>
      <c r="E463" s="3" t="s">
        <v>1204</v>
      </c>
      <c r="F463" s="3" t="s">
        <v>1205</v>
      </c>
      <c r="G463" s="3" t="str">
        <f>IFERROR(__xludf.DUMMYFUNCTION("GOOGLETRANSLATE(D463,""fr"",""es"")"),"correr")</f>
        <v>correr</v>
      </c>
    </row>
    <row r="464">
      <c r="A464" s="3">
        <v>442.0</v>
      </c>
      <c r="B464" s="3" t="s">
        <v>189</v>
      </c>
      <c r="C464" s="3" t="s">
        <v>190</v>
      </c>
      <c r="D464" s="3" t="s">
        <v>1262</v>
      </c>
      <c r="E464" s="3" t="s">
        <v>1204</v>
      </c>
      <c r="F464" s="3" t="s">
        <v>1205</v>
      </c>
      <c r="G464" s="3" t="str">
        <f>IFERROR(__xludf.DUMMYFUNCTION("GOOGLETRANSLATE(D464,""fr"",""es"")"),"bastón")</f>
        <v>bastón</v>
      </c>
      <c r="H464" s="3" t="s">
        <v>1263</v>
      </c>
    </row>
    <row r="465">
      <c r="A465" s="3">
        <v>443.0</v>
      </c>
      <c r="B465" s="3" t="s">
        <v>189</v>
      </c>
      <c r="C465" s="3" t="s">
        <v>190</v>
      </c>
      <c r="D465" s="3" t="s">
        <v>1263</v>
      </c>
      <c r="E465" s="3" t="s">
        <v>1204</v>
      </c>
      <c r="F465" s="3" t="s">
        <v>1205</v>
      </c>
      <c r="G465" s="3" t="str">
        <f>IFERROR(__xludf.DUMMYFUNCTION("GOOGLETRANSLATE(D465,""fr"",""es"")"),"Bastón")</f>
        <v>Bastón</v>
      </c>
      <c r="H465" s="3" t="s">
        <v>1263</v>
      </c>
    </row>
    <row r="466">
      <c r="A466" s="3">
        <v>444.0</v>
      </c>
      <c r="B466" s="3" t="s">
        <v>189</v>
      </c>
      <c r="C466" s="3" t="s">
        <v>190</v>
      </c>
      <c r="D466" s="3" t="s">
        <v>1264</v>
      </c>
      <c r="E466" s="3" t="s">
        <v>1230</v>
      </c>
      <c r="F466" s="3" t="s">
        <v>1231</v>
      </c>
      <c r="G466" s="3" t="str">
        <f>IFERROR(__xludf.DUMMYFUNCTION("GOOGLETRANSLATE(D466,""fr"",""es"")"),"cannisse")</f>
        <v>cannisse</v>
      </c>
    </row>
    <row r="467">
      <c r="A467" s="3">
        <v>445.0</v>
      </c>
      <c r="B467" s="3" t="s">
        <v>189</v>
      </c>
      <c r="C467" s="3" t="s">
        <v>190</v>
      </c>
      <c r="D467" s="3" t="s">
        <v>1265</v>
      </c>
      <c r="E467" s="3" t="s">
        <v>1230</v>
      </c>
      <c r="F467" s="3" t="s">
        <v>1231</v>
      </c>
      <c r="G467" s="3" t="str">
        <f>IFERROR(__xludf.DUMMYFUNCTION("GOOGLETRANSLATE(D467,""fr"",""es"")"),"cannisses")</f>
        <v>cannisses</v>
      </c>
    </row>
    <row r="468">
      <c r="A468" s="3">
        <v>446.0</v>
      </c>
      <c r="B468" s="3" t="s">
        <v>189</v>
      </c>
      <c r="C468" s="3" t="s">
        <v>190</v>
      </c>
      <c r="D468" s="3" t="s">
        <v>1266</v>
      </c>
      <c r="E468" s="3" t="s">
        <v>1267</v>
      </c>
      <c r="F468" s="3" t="s">
        <v>1268</v>
      </c>
      <c r="G468" s="3" t="str">
        <f>IFERROR(__xludf.DUMMYFUNCTION("GOOGLETRANSLATE(D468,""fr"",""es"")"),"gorra")</f>
        <v>gorra</v>
      </c>
      <c r="H468" s="3" t="s">
        <v>1269</v>
      </c>
      <c r="I468" s="3" t="s">
        <v>1270</v>
      </c>
      <c r="J468" s="3" t="s">
        <v>1269</v>
      </c>
      <c r="K468" s="3" t="s">
        <v>1271</v>
      </c>
      <c r="L468" s="3" t="s">
        <v>1272</v>
      </c>
      <c r="M468" s="3" t="s">
        <v>1273</v>
      </c>
      <c r="N468" s="3" t="s">
        <v>1274</v>
      </c>
      <c r="O468" s="3" t="s">
        <v>1275</v>
      </c>
    </row>
    <row r="469">
      <c r="A469" s="3">
        <v>447.0</v>
      </c>
      <c r="B469" s="3" t="s">
        <v>189</v>
      </c>
      <c r="C469" s="3" t="s">
        <v>190</v>
      </c>
      <c r="D469" s="3" t="s">
        <v>1276</v>
      </c>
      <c r="E469" s="3" t="s">
        <v>1267</v>
      </c>
      <c r="F469" s="3" t="s">
        <v>1268</v>
      </c>
      <c r="G469" s="3" t="str">
        <f>IFERROR(__xludf.DUMMYFUNCTION("GOOGLETRANSLATE(D469,""fr"",""es"")"),"Gorra")</f>
        <v>Gorra</v>
      </c>
      <c r="H469" s="3" t="s">
        <v>1269</v>
      </c>
      <c r="I469" s="3" t="s">
        <v>1270</v>
      </c>
      <c r="J469" s="3" t="s">
        <v>1269</v>
      </c>
      <c r="K469" s="3" t="s">
        <v>1271</v>
      </c>
      <c r="L469" s="3" t="s">
        <v>1272</v>
      </c>
      <c r="M469" s="3" t="s">
        <v>1273</v>
      </c>
      <c r="N469" s="3" t="s">
        <v>1274</v>
      </c>
      <c r="O469" s="3" t="s">
        <v>1275</v>
      </c>
    </row>
    <row r="470">
      <c r="A470" s="3">
        <v>448.0</v>
      </c>
      <c r="B470" s="3" t="s">
        <v>189</v>
      </c>
      <c r="C470" s="3" t="s">
        <v>190</v>
      </c>
      <c r="D470" s="3" t="s">
        <v>1269</v>
      </c>
      <c r="E470" s="3" t="s">
        <v>1267</v>
      </c>
      <c r="F470" s="3" t="s">
        <v>1268</v>
      </c>
      <c r="G470" s="3" t="str">
        <f>IFERROR(__xludf.DUMMYFUNCTION("GOOGLETRANSLATE(D470,""fr"",""es"")"),"capa")</f>
        <v>capa</v>
      </c>
      <c r="H470" s="3" t="s">
        <v>1269</v>
      </c>
      <c r="I470" s="3" t="s">
        <v>1270</v>
      </c>
      <c r="J470" s="3" t="s">
        <v>1269</v>
      </c>
      <c r="K470" s="3" t="s">
        <v>1271</v>
      </c>
    </row>
    <row r="471">
      <c r="A471" s="3">
        <v>449.0</v>
      </c>
      <c r="B471" s="3" t="s">
        <v>189</v>
      </c>
      <c r="C471" s="3" t="s">
        <v>190</v>
      </c>
      <c r="D471" s="3" t="s">
        <v>1277</v>
      </c>
      <c r="E471" s="3" t="s">
        <v>1267</v>
      </c>
      <c r="F471" s="3" t="s">
        <v>1268</v>
      </c>
      <c r="G471" s="3" t="str">
        <f>IFERROR(__xludf.DUMMYFUNCTION("GOOGLETRANSLATE(D471,""fr"",""es"")"),"capas")</f>
        <v>capas</v>
      </c>
    </row>
    <row r="472">
      <c r="A472" s="3">
        <v>450.0</v>
      </c>
      <c r="B472" s="3" t="s">
        <v>189</v>
      </c>
      <c r="C472" s="3" t="s">
        <v>190</v>
      </c>
      <c r="D472" s="3" t="s">
        <v>1278</v>
      </c>
      <c r="E472" s="3" t="s">
        <v>1279</v>
      </c>
      <c r="F472" s="3" t="s">
        <v>1280</v>
      </c>
      <c r="G472" s="3" t="str">
        <f>IFERROR(__xludf.DUMMYFUNCTION("GOOGLETRANSLATE(D472,""fr"",""es"")"),"Capas")</f>
        <v>Capas</v>
      </c>
    </row>
    <row r="473">
      <c r="A473" s="3">
        <v>451.0</v>
      </c>
      <c r="B473" s="3" t="s">
        <v>189</v>
      </c>
      <c r="C473" s="3" t="s">
        <v>190</v>
      </c>
      <c r="D473" s="3" t="s">
        <v>1281</v>
      </c>
      <c r="E473" s="3" t="s">
        <v>1282</v>
      </c>
      <c r="F473" s="3" t="s">
        <v>1283</v>
      </c>
      <c r="G473" s="3" t="str">
        <f>IFERROR(__xludf.DUMMYFUNCTION("GOOGLETRANSLATE(D473,""fr"",""es"")"),"Capetio")</f>
        <v>Capetio</v>
      </c>
    </row>
    <row r="474">
      <c r="A474" s="3">
        <v>452.0</v>
      </c>
      <c r="B474" s="3" t="s">
        <v>189</v>
      </c>
      <c r="C474" s="3" t="s">
        <v>190</v>
      </c>
      <c r="D474" s="3" t="s">
        <v>1284</v>
      </c>
      <c r="E474" s="3" t="s">
        <v>1282</v>
      </c>
      <c r="F474" s="3" t="s">
        <v>1283</v>
      </c>
      <c r="G474" s="3" t="str">
        <f>IFERROR(__xludf.DUMMYFUNCTION("GOOGLETRANSLATE(D474,""fr"",""es"")"),"Capetio")</f>
        <v>Capetio</v>
      </c>
    </row>
    <row r="475">
      <c r="A475" s="3">
        <v>453.0</v>
      </c>
      <c r="B475" s="3" t="s">
        <v>189</v>
      </c>
      <c r="C475" s="3" t="s">
        <v>190</v>
      </c>
      <c r="D475" s="3" t="s">
        <v>1285</v>
      </c>
      <c r="E475" s="3" t="s">
        <v>1286</v>
      </c>
      <c r="F475" s="3" t="s">
        <v>1287</v>
      </c>
      <c r="G475" s="3" t="str">
        <f>IFERROR(__xludf.DUMMYFUNCTION("GOOGLETRANSLATE(D475,""fr"",""es"")"),"capitán")</f>
        <v>capitán</v>
      </c>
      <c r="H475" s="3" t="s">
        <v>1288</v>
      </c>
      <c r="I475" s="3" t="s">
        <v>1288</v>
      </c>
      <c r="J475" s="3" t="s">
        <v>1289</v>
      </c>
      <c r="K475" s="3" t="s">
        <v>1290</v>
      </c>
      <c r="L475" s="3" t="s">
        <v>1291</v>
      </c>
      <c r="M475" s="3" t="s">
        <v>1288</v>
      </c>
      <c r="N475" s="3" t="s">
        <v>1292</v>
      </c>
      <c r="O475" s="3" t="s">
        <v>1288</v>
      </c>
      <c r="P475" s="3" t="s">
        <v>1293</v>
      </c>
      <c r="Q475" s="3" t="s">
        <v>1288</v>
      </c>
      <c r="R475" s="3" t="s">
        <v>1294</v>
      </c>
      <c r="S475" s="3" t="s">
        <v>1295</v>
      </c>
      <c r="T475" s="3" t="s">
        <v>1288</v>
      </c>
      <c r="U475" s="3" t="s">
        <v>1288</v>
      </c>
      <c r="V475" s="3" t="s">
        <v>1296</v>
      </c>
      <c r="W475" s="3" t="s">
        <v>1297</v>
      </c>
      <c r="X475" s="3" t="s">
        <v>1288</v>
      </c>
      <c r="Y475" s="3" t="s">
        <v>1298</v>
      </c>
      <c r="Z475" s="3" t="s">
        <v>1293</v>
      </c>
      <c r="AA475" s="3" t="s">
        <v>1299</v>
      </c>
      <c r="AB475" s="3" t="s">
        <v>1297</v>
      </c>
      <c r="AC475" s="3" t="s">
        <v>1300</v>
      </c>
    </row>
    <row r="476">
      <c r="A476" s="3">
        <v>454.0</v>
      </c>
      <c r="B476" s="3" t="s">
        <v>189</v>
      </c>
      <c r="C476" s="3" t="s">
        <v>190</v>
      </c>
      <c r="D476" s="3" t="s">
        <v>1301</v>
      </c>
      <c r="E476" s="3" t="s">
        <v>1286</v>
      </c>
      <c r="F476" s="3" t="s">
        <v>1287</v>
      </c>
      <c r="G476" s="3" t="str">
        <f>IFERROR(__xludf.DUMMYFUNCTION("GOOGLETRANSLATE(D476,""fr"",""es"")"),"capitanes")</f>
        <v>capitanes</v>
      </c>
    </row>
    <row r="477">
      <c r="A477" s="3">
        <v>455.0</v>
      </c>
      <c r="B477" s="3" t="s">
        <v>189</v>
      </c>
      <c r="C477" s="3" t="s">
        <v>190</v>
      </c>
      <c r="D477" s="3" t="s">
        <v>1302</v>
      </c>
      <c r="E477" s="3" t="s">
        <v>1303</v>
      </c>
      <c r="F477" s="3" t="s">
        <v>1304</v>
      </c>
      <c r="G477" s="3" t="str">
        <f>IFERROR(__xludf.DUMMYFUNCTION("GOOGLETRANSLATE(D477,""fr"",""es"")"),"capital")</f>
        <v>capital</v>
      </c>
      <c r="H477" s="3" t="s">
        <v>1305</v>
      </c>
      <c r="I477" s="3" t="s">
        <v>1306</v>
      </c>
      <c r="J477" s="3" t="s">
        <v>1305</v>
      </c>
      <c r="K477" s="3" t="s">
        <v>1306</v>
      </c>
      <c r="L477" s="3" t="s">
        <v>1305</v>
      </c>
      <c r="M477" s="3" t="s">
        <v>1306</v>
      </c>
      <c r="N477" s="3" t="s">
        <v>1307</v>
      </c>
      <c r="O477" s="3" t="s">
        <v>1308</v>
      </c>
      <c r="P477" s="3" t="s">
        <v>1309</v>
      </c>
      <c r="Q477" s="3" t="s">
        <v>1310</v>
      </c>
      <c r="R477" s="3" t="s">
        <v>1297</v>
      </c>
      <c r="S477" s="3" t="s">
        <v>1311</v>
      </c>
      <c r="T477" s="3" t="s">
        <v>1302</v>
      </c>
      <c r="U477" s="3" t="s">
        <v>1312</v>
      </c>
      <c r="V477" s="3" t="s">
        <v>1266</v>
      </c>
      <c r="W477" s="3" t="s">
        <v>1313</v>
      </c>
      <c r="X477" s="3" t="s">
        <v>1314</v>
      </c>
      <c r="Y477" s="3" t="s">
        <v>1302</v>
      </c>
      <c r="Z477" s="3" t="s">
        <v>1302</v>
      </c>
      <c r="AA477" s="3" t="s">
        <v>1302</v>
      </c>
      <c r="AB477" s="3" t="s">
        <v>1315</v>
      </c>
    </row>
    <row r="478">
      <c r="A478" s="3">
        <v>456.0</v>
      </c>
      <c r="B478" s="3" t="s">
        <v>189</v>
      </c>
      <c r="C478" s="3" t="s">
        <v>190</v>
      </c>
      <c r="D478" s="3" t="s">
        <v>1316</v>
      </c>
      <c r="E478" s="3" t="s">
        <v>1303</v>
      </c>
      <c r="F478" s="3" t="s">
        <v>1304</v>
      </c>
      <c r="G478" s="3" t="str">
        <f>IFERROR(__xludf.DUMMYFUNCTION("GOOGLETRANSLATE(D478,""fr"",""es"")"),"ciudad capital")</f>
        <v>ciudad capital</v>
      </c>
      <c r="H478" s="3" t="s">
        <v>1302</v>
      </c>
      <c r="I478" s="3" t="s">
        <v>1317</v>
      </c>
      <c r="J478" s="3" t="s">
        <v>1318</v>
      </c>
      <c r="K478" s="3" t="s">
        <v>1302</v>
      </c>
      <c r="L478" s="3" t="s">
        <v>1302</v>
      </c>
      <c r="M478" s="3" t="s">
        <v>1302</v>
      </c>
      <c r="N478" s="3" t="s">
        <v>1312</v>
      </c>
      <c r="O478" s="3" t="s">
        <v>1266</v>
      </c>
      <c r="P478" s="3" t="s">
        <v>1302</v>
      </c>
      <c r="Q478" s="3" t="s">
        <v>1319</v>
      </c>
      <c r="R478" s="3" t="s">
        <v>1320</v>
      </c>
      <c r="S478" s="3" t="s">
        <v>1321</v>
      </c>
      <c r="T478" s="3" t="s">
        <v>1318</v>
      </c>
      <c r="U478" s="3" t="s">
        <v>1313</v>
      </c>
      <c r="V478" s="3" t="s">
        <v>1314</v>
      </c>
      <c r="W478" s="3" t="s">
        <v>1302</v>
      </c>
    </row>
    <row r="479">
      <c r="A479" s="3">
        <v>457.0</v>
      </c>
      <c r="B479" s="3" t="s">
        <v>189</v>
      </c>
      <c r="C479" s="3" t="s">
        <v>190</v>
      </c>
      <c r="D479" s="3" t="s">
        <v>1322</v>
      </c>
      <c r="E479" s="3" t="s">
        <v>1303</v>
      </c>
      <c r="F479" s="3" t="s">
        <v>1304</v>
      </c>
      <c r="G479" s="3" t="str">
        <f>IFERROR(__xludf.DUMMYFUNCTION("GOOGLETRANSLATE(D479,""fr"",""es"")"),"letras mayúsculas")</f>
        <v>letras mayúsculas</v>
      </c>
    </row>
    <row r="480">
      <c r="A480" s="3">
        <v>458.0</v>
      </c>
      <c r="B480" s="3" t="s">
        <v>189</v>
      </c>
      <c r="C480" s="3" t="s">
        <v>190</v>
      </c>
      <c r="D480" s="3" t="s">
        <v>1323</v>
      </c>
      <c r="E480" s="3" t="s">
        <v>1324</v>
      </c>
      <c r="F480" s="3" t="s">
        <v>1325</v>
      </c>
      <c r="G480" s="3" t="str">
        <f>IFERROR(__xludf.DUMMYFUNCTION("GOOGLETRANSLATE(D480,""fr"",""es"")"),"capitalismo")</f>
        <v>capitalismo</v>
      </c>
      <c r="H480" s="3" t="s">
        <v>1326</v>
      </c>
      <c r="I480" s="3" t="s">
        <v>1327</v>
      </c>
      <c r="J480" s="3" t="s">
        <v>1326</v>
      </c>
      <c r="K480" s="3" t="s">
        <v>1327</v>
      </c>
    </row>
    <row r="481">
      <c r="A481" s="3">
        <v>459.0</v>
      </c>
      <c r="B481" s="3" t="s">
        <v>189</v>
      </c>
      <c r="C481" s="3" t="s">
        <v>190</v>
      </c>
      <c r="D481" s="3" t="s">
        <v>1328</v>
      </c>
      <c r="E481" s="3" t="s">
        <v>1324</v>
      </c>
      <c r="F481" s="3" t="s">
        <v>1325</v>
      </c>
      <c r="G481" s="3" t="str">
        <f>IFERROR(__xludf.DUMMYFUNCTION("GOOGLETRANSLATE(D481,""fr"",""es"")"),"capitalismo")</f>
        <v>capitalismo</v>
      </c>
    </row>
    <row r="482">
      <c r="A482" s="3">
        <v>460.0</v>
      </c>
      <c r="B482" s="3" t="s">
        <v>189</v>
      </c>
      <c r="C482" s="3" t="s">
        <v>190</v>
      </c>
      <c r="D482" s="3" t="s">
        <v>1329</v>
      </c>
      <c r="E482" s="3" t="s">
        <v>1324</v>
      </c>
      <c r="F482" s="3" t="s">
        <v>1325</v>
      </c>
      <c r="G482" s="3" t="str">
        <f>IFERROR(__xludf.DUMMYFUNCTION("GOOGLETRANSLATE(D482,""fr"",""es"")"),"capitalista")</f>
        <v>capitalista</v>
      </c>
      <c r="H482" s="3" t="s">
        <v>1330</v>
      </c>
      <c r="I482" s="3" t="s">
        <v>1331</v>
      </c>
      <c r="J482" s="3" t="s">
        <v>1331</v>
      </c>
      <c r="K482" s="3" t="s">
        <v>1330</v>
      </c>
      <c r="L482" s="3" t="s">
        <v>1331</v>
      </c>
      <c r="M482" s="3" t="s">
        <v>1331</v>
      </c>
    </row>
    <row r="483">
      <c r="A483" s="3">
        <v>461.0</v>
      </c>
      <c r="B483" s="3" t="s">
        <v>189</v>
      </c>
      <c r="C483" s="3" t="s">
        <v>190</v>
      </c>
      <c r="D483" s="3" t="s">
        <v>1332</v>
      </c>
      <c r="E483" s="3" t="s">
        <v>1324</v>
      </c>
      <c r="F483" s="3" t="s">
        <v>1325</v>
      </c>
      <c r="G483" s="3" t="str">
        <f>IFERROR(__xludf.DUMMYFUNCTION("GOOGLETRANSLATE(D483,""fr"",""es"")"),"capitalista")</f>
        <v>capitalista</v>
      </c>
    </row>
    <row r="484">
      <c r="A484" s="3">
        <v>462.0</v>
      </c>
      <c r="B484" s="3" t="s">
        <v>189</v>
      </c>
      <c r="C484" s="3" t="s">
        <v>190</v>
      </c>
      <c r="D484" s="3" t="s">
        <v>1333</v>
      </c>
      <c r="E484" s="3" t="s">
        <v>1267</v>
      </c>
      <c r="F484" s="3" t="s">
        <v>1268</v>
      </c>
      <c r="G484" s="3" t="str">
        <f>IFERROR(__xludf.DUMMYFUNCTION("GOOGLETRANSLATE(D484,""fr"",""es"")"),"tapas")</f>
        <v>tapas</v>
      </c>
    </row>
    <row r="485">
      <c r="A485" s="3">
        <v>463.0</v>
      </c>
      <c r="B485" s="3" t="s">
        <v>189</v>
      </c>
      <c r="C485" s="3" t="s">
        <v>190</v>
      </c>
      <c r="D485" s="3" t="s">
        <v>1334</v>
      </c>
      <c r="E485" s="3" t="s">
        <v>1267</v>
      </c>
      <c r="F485" s="3" t="s">
        <v>1268</v>
      </c>
      <c r="G485" s="3" t="str">
        <f>IFERROR(__xludf.DUMMYFUNCTION("GOOGLETRANSLATE(D485,""fr"",""es"")"),"captura")</f>
        <v>captura</v>
      </c>
    </row>
    <row r="486">
      <c r="A486" s="3">
        <v>464.0</v>
      </c>
      <c r="B486" s="3" t="s">
        <v>189</v>
      </c>
      <c r="C486" s="3" t="s">
        <v>190</v>
      </c>
      <c r="D486" s="3" t="s">
        <v>1335</v>
      </c>
      <c r="E486" s="3" t="s">
        <v>1267</v>
      </c>
      <c r="F486" s="3" t="s">
        <v>1268</v>
      </c>
      <c r="G486" s="3" t="str">
        <f>IFERROR(__xludf.DUMMYFUNCTION("GOOGLETRANSLATE(D486,""fr"",""es"")"),"captura")</f>
        <v>captura</v>
      </c>
    </row>
    <row r="487">
      <c r="A487" s="3">
        <v>465.0</v>
      </c>
      <c r="B487" s="3" t="s">
        <v>189</v>
      </c>
      <c r="C487" s="3" t="s">
        <v>190</v>
      </c>
      <c r="D487" s="3" t="s">
        <v>1336</v>
      </c>
      <c r="E487" s="3" t="s">
        <v>1267</v>
      </c>
      <c r="F487" s="3" t="s">
        <v>1268</v>
      </c>
      <c r="G487" s="3" t="str">
        <f>IFERROR(__xludf.DUMMYFUNCTION("GOOGLETRANSLATE(D487,""fr"",""es"")"),"capturas")</f>
        <v>capturas</v>
      </c>
    </row>
    <row r="488">
      <c r="A488" s="3">
        <v>466.0</v>
      </c>
      <c r="B488" s="3" t="s">
        <v>189</v>
      </c>
      <c r="C488" s="3" t="s">
        <v>190</v>
      </c>
      <c r="D488" s="3" t="s">
        <v>1337</v>
      </c>
      <c r="E488" s="3" t="s">
        <v>968</v>
      </c>
      <c r="F488" s="3" t="s">
        <v>969</v>
      </c>
      <c r="G488" s="3" t="str">
        <f>IFERROR(__xludf.DUMMYFUNCTION("GOOGLETRANSLATE(D488,""fr"",""es"")"),"cajón")</f>
        <v>cajón</v>
      </c>
    </row>
    <row r="489">
      <c r="A489" s="3">
        <v>467.0</v>
      </c>
      <c r="B489" s="3" t="s">
        <v>189</v>
      </c>
      <c r="C489" s="3" t="s">
        <v>190</v>
      </c>
      <c r="D489" s="3" t="s">
        <v>1338</v>
      </c>
      <c r="E489" s="3" t="s">
        <v>968</v>
      </c>
      <c r="F489" s="3" t="s">
        <v>969</v>
      </c>
      <c r="G489" s="3" t="str">
        <f>IFERROR(__xludf.DUMMYFUNCTION("GOOGLETRANSLATE(D489,""fr"",""es"")"),"caudal")</f>
        <v>caudal</v>
      </c>
    </row>
    <row r="490">
      <c r="A490" s="3">
        <v>468.0</v>
      </c>
      <c r="B490" s="3" t="s">
        <v>189</v>
      </c>
      <c r="C490" s="3" t="s">
        <v>190</v>
      </c>
      <c r="D490" s="3" t="s">
        <v>1058</v>
      </c>
      <c r="E490" s="3" t="s">
        <v>985</v>
      </c>
      <c r="F490" s="3" t="s">
        <v>986</v>
      </c>
      <c r="G490" s="3" t="str">
        <f>IFERROR(__xludf.DUMMYFUNCTION("GOOGLETRANSLATE(D490,""fr"",""es"")"),"dinero")</f>
        <v>dinero</v>
      </c>
    </row>
    <row r="491">
      <c r="A491" s="3">
        <v>469.0</v>
      </c>
      <c r="B491" s="3" t="s">
        <v>189</v>
      </c>
      <c r="C491" s="3" t="s">
        <v>190</v>
      </c>
      <c r="D491" s="3" t="s">
        <v>1339</v>
      </c>
      <c r="E491" s="3" t="s">
        <v>1048</v>
      </c>
      <c r="F491" s="3" t="s">
        <v>127</v>
      </c>
      <c r="G491" s="3" t="str">
        <f>IFERROR(__xludf.DUMMYFUNCTION("GOOGLETRANSLATE(D491,""fr"",""es"")"),"casco")</f>
        <v>casco</v>
      </c>
      <c r="H491" s="3" t="s">
        <v>1339</v>
      </c>
      <c r="I491" s="3" t="s">
        <v>1340</v>
      </c>
      <c r="J491" s="3" t="s">
        <v>1340</v>
      </c>
      <c r="K491" s="3" t="s">
        <v>1341</v>
      </c>
    </row>
    <row r="492">
      <c r="A492" s="3">
        <v>470.0</v>
      </c>
      <c r="B492" s="3" t="s">
        <v>189</v>
      </c>
      <c r="C492" s="3" t="s">
        <v>190</v>
      </c>
      <c r="D492" s="3" t="s">
        <v>1342</v>
      </c>
      <c r="E492" s="3" t="s">
        <v>1048</v>
      </c>
      <c r="F492" s="3" t="s">
        <v>127</v>
      </c>
      <c r="G492" s="3" t="str">
        <f>IFERROR(__xludf.DUMMYFUNCTION("GOOGLETRANSLATE(D492,""fr"",""es"")"),"casco")</f>
        <v>casco</v>
      </c>
    </row>
    <row r="493">
      <c r="A493" s="3">
        <v>471.0</v>
      </c>
      <c r="B493" s="3" t="s">
        <v>189</v>
      </c>
      <c r="C493" s="3" t="s">
        <v>190</v>
      </c>
      <c r="D493" s="3" t="s">
        <v>1343</v>
      </c>
      <c r="E493" s="3" t="s">
        <v>1048</v>
      </c>
      <c r="F493" s="3" t="s">
        <v>127</v>
      </c>
      <c r="G493" s="3" t="str">
        <f>IFERROR(__xludf.DUMMYFUNCTION("GOOGLETRANSLATE(D493,""fr"",""es"")"),"cascos")</f>
        <v>cascos</v>
      </c>
    </row>
    <row r="494">
      <c r="A494" s="3">
        <v>472.0</v>
      </c>
      <c r="B494" s="3" t="s">
        <v>189</v>
      </c>
      <c r="C494" s="3" t="s">
        <v>190</v>
      </c>
      <c r="D494" s="3" t="s">
        <v>1344</v>
      </c>
      <c r="E494" s="3" t="s">
        <v>1345</v>
      </c>
      <c r="F494" s="3" t="s">
        <v>1346</v>
      </c>
      <c r="G494" s="3" t="str">
        <f>IFERROR(__xludf.DUMMYFUNCTION("GOOGLETRANSLATE(D494,""fr"",""es"")"),"Cassai")</f>
        <v>Cassai</v>
      </c>
    </row>
    <row r="495">
      <c r="A495" s="3">
        <v>473.0</v>
      </c>
      <c r="B495" s="3" t="s">
        <v>189</v>
      </c>
      <c r="C495" s="3" t="s">
        <v>190</v>
      </c>
      <c r="D495" s="3" t="s">
        <v>1347</v>
      </c>
      <c r="E495" s="3" t="s">
        <v>1345</v>
      </c>
      <c r="F495" s="3" t="s">
        <v>1346</v>
      </c>
      <c r="G495" s="3" t="str">
        <f>IFERROR(__xludf.DUMMYFUNCTION("GOOGLETRANSLATE(D495,""fr"",""es"")"),"rompió")</f>
        <v>rompió</v>
      </c>
    </row>
    <row r="496">
      <c r="A496" s="3">
        <v>474.0</v>
      </c>
      <c r="B496" s="3" t="s">
        <v>189</v>
      </c>
      <c r="C496" s="3" t="s">
        <v>190</v>
      </c>
      <c r="D496" s="3" t="s">
        <v>1348</v>
      </c>
      <c r="E496" s="3" t="s">
        <v>1345</v>
      </c>
      <c r="F496" s="3" t="s">
        <v>1346</v>
      </c>
      <c r="G496" s="3" t="str">
        <f>IFERROR(__xludf.DUMMYFUNCTION("GOOGLETRANSLATE(D496,""fr"",""es"")"),"córneo")</f>
        <v>córneo</v>
      </c>
    </row>
    <row r="497">
      <c r="A497" s="3">
        <v>475.0</v>
      </c>
      <c r="B497" s="3" t="s">
        <v>189</v>
      </c>
      <c r="C497" s="3" t="s">
        <v>190</v>
      </c>
      <c r="D497" s="3" t="s">
        <v>1349</v>
      </c>
      <c r="E497" s="3" t="s">
        <v>1345</v>
      </c>
      <c r="F497" s="3" t="s">
        <v>1346</v>
      </c>
      <c r="G497" s="3" t="str">
        <f>IFERROR(__xludf.DUMMYFUNCTION("GOOGLETRANSLATE(D497,""fr"",""es"")"),"roto")</f>
        <v>roto</v>
      </c>
    </row>
    <row r="498">
      <c r="A498" s="3">
        <v>476.0</v>
      </c>
      <c r="B498" s="3" t="s">
        <v>189</v>
      </c>
      <c r="C498" s="3" t="s">
        <v>190</v>
      </c>
      <c r="D498" s="3" t="s">
        <v>1350</v>
      </c>
      <c r="E498" s="3" t="s">
        <v>1351</v>
      </c>
      <c r="F498" s="3" t="s">
        <v>1352</v>
      </c>
      <c r="G498" s="3" t="str">
        <f>IFERROR(__xludf.DUMMYFUNCTION("GOOGLETRANSLATE(D498,""fr"",""es"")"),"cassâme")</f>
        <v>cassâme</v>
      </c>
    </row>
    <row r="499">
      <c r="A499" s="3">
        <v>477.0</v>
      </c>
      <c r="B499" s="3" t="s">
        <v>189</v>
      </c>
      <c r="C499" s="3" t="s">
        <v>190</v>
      </c>
      <c r="D499" s="3" t="s">
        <v>1353</v>
      </c>
      <c r="E499" s="3" t="s">
        <v>1354</v>
      </c>
      <c r="F499" s="3" t="s">
        <v>1355</v>
      </c>
      <c r="G499" s="3" t="str">
        <f>IFERROR(__xludf.DUMMYFUNCTION("GOOGLETRANSLATE(D499,""fr"",""es"")"),"rotura")</f>
        <v>rotura</v>
      </c>
    </row>
    <row r="500">
      <c r="A500" s="3">
        <v>478.0</v>
      </c>
      <c r="B500" s="3" t="s">
        <v>189</v>
      </c>
      <c r="C500" s="3" t="s">
        <v>190</v>
      </c>
      <c r="D500" s="3" t="s">
        <v>1356</v>
      </c>
      <c r="E500" s="3" t="s">
        <v>1354</v>
      </c>
      <c r="F500" s="3" t="s">
        <v>1355</v>
      </c>
      <c r="G500" s="3" t="str">
        <f>IFERROR(__xludf.DUMMYFUNCTION("GOOGLETRANSLATE(D500,""fr"",""es"")"),"elaborado")</f>
        <v>elaborado</v>
      </c>
    </row>
    <row r="501">
      <c r="A501" s="3">
        <v>479.0</v>
      </c>
      <c r="B501" s="3" t="s">
        <v>189</v>
      </c>
      <c r="C501" s="3" t="s">
        <v>190</v>
      </c>
      <c r="D501" s="3" t="s">
        <v>1357</v>
      </c>
      <c r="E501" s="3" t="s">
        <v>1354</v>
      </c>
      <c r="F501" s="3" t="s">
        <v>1355</v>
      </c>
      <c r="G501" s="3" t="str">
        <f>IFERROR(__xludf.DUMMYFUNCTION("GOOGLETRANSLATE(D501,""fr"",""es"")"),"brote")</f>
        <v>brote</v>
      </c>
    </row>
    <row r="502">
      <c r="A502" s="3">
        <v>480.0</v>
      </c>
      <c r="B502" s="3" t="s">
        <v>189</v>
      </c>
      <c r="C502" s="3" t="s">
        <v>190</v>
      </c>
      <c r="D502" s="3" t="s">
        <v>1358</v>
      </c>
      <c r="E502" s="3" t="s">
        <v>1048</v>
      </c>
      <c r="F502" s="3" t="s">
        <v>127</v>
      </c>
      <c r="G502" s="3" t="str">
        <f>IFERROR(__xludf.DUMMYFUNCTION("GOOGLETRANSLATE(D502,""fr"",""es"")"),"roto")</f>
        <v>roto</v>
      </c>
      <c r="H502" s="3" t="s">
        <v>1359</v>
      </c>
    </row>
    <row r="503">
      <c r="A503" s="3">
        <v>481.0</v>
      </c>
      <c r="B503" s="3" t="s">
        <v>189</v>
      </c>
      <c r="C503" s="3" t="s">
        <v>190</v>
      </c>
      <c r="D503" s="3" t="s">
        <v>1360</v>
      </c>
      <c r="E503" s="3" t="s">
        <v>1048</v>
      </c>
      <c r="F503" s="3" t="s">
        <v>127</v>
      </c>
      <c r="G503" s="3" t="str">
        <f>IFERROR(__xludf.DUMMYFUNCTION("GOOGLETRANSLATE(D503,""fr"",""es"")"),"descanso")</f>
        <v>descanso</v>
      </c>
    </row>
    <row r="504">
      <c r="A504" s="3">
        <v>482.0</v>
      </c>
      <c r="B504" s="3" t="s">
        <v>189</v>
      </c>
      <c r="C504" s="3" t="s">
        <v>190</v>
      </c>
      <c r="D504" s="3" t="s">
        <v>1361</v>
      </c>
      <c r="E504" s="3" t="s">
        <v>1048</v>
      </c>
      <c r="F504" s="3" t="s">
        <v>127</v>
      </c>
      <c r="G504" s="3" t="str">
        <f>IFERROR(__xludf.DUMMYFUNCTION("GOOGLETRANSLATE(D504,""fr"",""es"")"),"descanso")</f>
        <v>descanso</v>
      </c>
    </row>
    <row r="505">
      <c r="A505" s="3">
        <v>483.0</v>
      </c>
      <c r="B505" s="3" t="s">
        <v>189</v>
      </c>
      <c r="C505" s="3" t="s">
        <v>190</v>
      </c>
      <c r="D505" s="3" t="s">
        <v>1362</v>
      </c>
      <c r="E505" s="3" t="s">
        <v>1363</v>
      </c>
      <c r="F505" s="3" t="s">
        <v>1364</v>
      </c>
      <c r="G505" s="3" t="str">
        <f>IFERROR(__xludf.DUMMYFUNCTION("GOOGLETRANSLATE(D505,""fr"",""es"")"),"Cassis")</f>
        <v>Cassis</v>
      </c>
      <c r="H505" s="3" t="s">
        <v>1365</v>
      </c>
    </row>
    <row r="506">
      <c r="A506" s="3">
        <v>484.0</v>
      </c>
      <c r="B506" s="3" t="s">
        <v>189</v>
      </c>
      <c r="C506" s="3" t="s">
        <v>190</v>
      </c>
      <c r="D506" s="3" t="s">
        <v>1366</v>
      </c>
      <c r="E506" s="3" t="s">
        <v>1367</v>
      </c>
      <c r="F506" s="3" t="s">
        <v>1368</v>
      </c>
      <c r="G506" s="3" t="str">
        <f>IFERROR(__xludf.DUMMYFUNCTION("GOOGLETRANSLATE(D506,""fr"",""es"")"),"caspeón")</f>
        <v>caspeón</v>
      </c>
    </row>
    <row r="507">
      <c r="A507" s="3">
        <v>485.0</v>
      </c>
      <c r="B507" s="3" t="s">
        <v>189</v>
      </c>
      <c r="C507" s="3" t="s">
        <v>190</v>
      </c>
      <c r="D507" s="3" t="s">
        <v>1369</v>
      </c>
      <c r="E507" s="3" t="s">
        <v>1367</v>
      </c>
      <c r="F507" s="3" t="s">
        <v>1368</v>
      </c>
      <c r="G507" s="3" t="str">
        <f>IFERROR(__xludf.DUMMYFUNCTION("GOOGLETRANSLATE(D507,""fr"",""es"")"),"cassolets")</f>
        <v>cassolets</v>
      </c>
    </row>
    <row r="508">
      <c r="A508" s="3">
        <v>486.0</v>
      </c>
      <c r="B508" s="3" t="s">
        <v>189</v>
      </c>
      <c r="C508" s="3" t="s">
        <v>190</v>
      </c>
      <c r="D508" s="3" t="s">
        <v>1370</v>
      </c>
      <c r="E508" s="3" t="s">
        <v>1048</v>
      </c>
      <c r="F508" s="3" t="s">
        <v>127</v>
      </c>
      <c r="G508" s="3" t="str">
        <f>IFERROR(__xludf.DUMMYFUNCTION("GOOGLETRANSLATE(D508,""fr"",""es"")"),"casta")</f>
        <v>casta</v>
      </c>
      <c r="H508" s="3" t="s">
        <v>1370</v>
      </c>
      <c r="I508" s="3" t="s">
        <v>1370</v>
      </c>
      <c r="J508" s="3" t="s">
        <v>1370</v>
      </c>
    </row>
    <row r="509">
      <c r="A509" s="3">
        <v>487.0</v>
      </c>
      <c r="B509" s="3" t="s">
        <v>189</v>
      </c>
      <c r="C509" s="3" t="s">
        <v>190</v>
      </c>
      <c r="D509" s="3" t="s">
        <v>1371</v>
      </c>
      <c r="E509" s="3" t="s">
        <v>1048</v>
      </c>
      <c r="F509" s="3" t="s">
        <v>127</v>
      </c>
      <c r="G509" s="3" t="str">
        <f>IFERROR(__xludf.DUMMYFUNCTION("GOOGLETRANSLATE(D509,""fr"",""es"")"),"casta")</f>
        <v>casta</v>
      </c>
    </row>
    <row r="510">
      <c r="A510" s="3">
        <v>488.0</v>
      </c>
      <c r="B510" s="3" t="s">
        <v>189</v>
      </c>
      <c r="C510" s="3" t="s">
        <v>190</v>
      </c>
      <c r="D510" s="3" t="s">
        <v>1372</v>
      </c>
      <c r="E510" s="3" t="s">
        <v>1048</v>
      </c>
      <c r="F510" s="3" t="s">
        <v>127</v>
      </c>
      <c r="G510" s="3" t="str">
        <f>IFERROR(__xludf.DUMMYFUNCTION("GOOGLETRANSLATE(D510,""fr"",""es"")"),"castrado")</f>
        <v>castrado</v>
      </c>
    </row>
    <row r="511">
      <c r="A511" s="3">
        <v>489.0</v>
      </c>
      <c r="B511" s="3" t="s">
        <v>189</v>
      </c>
      <c r="C511" s="3" t="s">
        <v>190</v>
      </c>
      <c r="D511" s="3" t="s">
        <v>1373</v>
      </c>
      <c r="E511" s="3" t="s">
        <v>1048</v>
      </c>
      <c r="F511" s="3" t="s">
        <v>127</v>
      </c>
      <c r="G511" s="3" t="str">
        <f>IFERROR(__xludf.DUMMYFUNCTION("GOOGLETRANSLATE(D511,""fr"",""es"")"),"castrar")</f>
        <v>castrar</v>
      </c>
    </row>
    <row r="512">
      <c r="A512" s="3">
        <v>490.0</v>
      </c>
      <c r="B512" s="3" t="s">
        <v>189</v>
      </c>
      <c r="C512" s="3" t="s">
        <v>190</v>
      </c>
      <c r="D512" s="3" t="s">
        <v>1374</v>
      </c>
      <c r="E512" s="3" t="s">
        <v>1048</v>
      </c>
      <c r="F512" s="3" t="s">
        <v>127</v>
      </c>
      <c r="G512" s="3" t="str">
        <f>IFERROR(__xludf.DUMMYFUNCTION("GOOGLETRANSLATE(D512,""fr"",""es"")"),"Castrés")</f>
        <v>Castrés</v>
      </c>
    </row>
    <row r="513">
      <c r="A513" s="3">
        <v>491.0</v>
      </c>
      <c r="B513" s="3" t="s">
        <v>189</v>
      </c>
      <c r="C513" s="3" t="s">
        <v>190</v>
      </c>
      <c r="D513" s="3" t="s">
        <v>1375</v>
      </c>
      <c r="E513" s="3" t="s">
        <v>1376</v>
      </c>
      <c r="F513" s="3" t="s">
        <v>1377</v>
      </c>
      <c r="G513" s="3" t="str">
        <f>IFERROR(__xludf.DUMMYFUNCTION("GOOGLETRANSLATE(D513,""fr"",""es"")"),"catalán")</f>
        <v>catalán</v>
      </c>
    </row>
    <row r="514">
      <c r="A514" s="3">
        <v>492.0</v>
      </c>
      <c r="B514" s="3" t="s">
        <v>189</v>
      </c>
      <c r="C514" s="3" t="s">
        <v>190</v>
      </c>
      <c r="D514" s="3" t="s">
        <v>1378</v>
      </c>
      <c r="E514" s="3" t="s">
        <v>1376</v>
      </c>
      <c r="F514" s="3" t="s">
        <v>1377</v>
      </c>
      <c r="G514" s="3" t="str">
        <f>IFERROR(__xludf.DUMMYFUNCTION("GOOGLETRANSLATE(D514,""fr"",""es"")"),"catalán")</f>
        <v>catalán</v>
      </c>
    </row>
    <row r="515">
      <c r="A515" s="3">
        <v>493.0</v>
      </c>
      <c r="B515" s="3" t="s">
        <v>189</v>
      </c>
      <c r="C515" s="3" t="s">
        <v>190</v>
      </c>
      <c r="D515" s="3" t="s">
        <v>1379</v>
      </c>
      <c r="E515" s="3" t="s">
        <v>1380</v>
      </c>
      <c r="F515" s="3" t="s">
        <v>1381</v>
      </c>
      <c r="G515" s="3" t="str">
        <f>IFERROR(__xludf.DUMMYFUNCTION("GOOGLETRANSLATE(D515,""fr"",""es"")"),"Catela")</f>
        <v>Catela</v>
      </c>
      <c r="H515" s="3" t="s">
        <v>1382</v>
      </c>
      <c r="I515" s="3" t="s">
        <v>1383</v>
      </c>
    </row>
    <row r="516">
      <c r="A516" s="3">
        <v>494.0</v>
      </c>
      <c r="B516" s="3" t="s">
        <v>189</v>
      </c>
      <c r="C516" s="3" t="s">
        <v>190</v>
      </c>
      <c r="D516" s="3" t="s">
        <v>1384</v>
      </c>
      <c r="E516" s="3" t="s">
        <v>1385</v>
      </c>
      <c r="F516" s="3" t="s">
        <v>1386</v>
      </c>
      <c r="G516" s="3" t="str">
        <f>IFERROR(__xludf.DUMMYFUNCTION("GOOGLETRANSLATE(D516,""fr"",""es"")"),"pimentón")</f>
        <v>pimentón</v>
      </c>
    </row>
    <row r="517">
      <c r="A517" s="3">
        <v>495.0</v>
      </c>
      <c r="B517" s="3" t="s">
        <v>189</v>
      </c>
      <c r="C517" s="3" t="s">
        <v>190</v>
      </c>
      <c r="D517" s="3" t="s">
        <v>1387</v>
      </c>
      <c r="E517" s="3" t="s">
        <v>1388</v>
      </c>
      <c r="F517" s="3" t="s">
        <v>1389</v>
      </c>
      <c r="G517" s="3" t="str">
        <f>IFERROR(__xludf.DUMMYFUNCTION("GOOGLETRANSLATE(D517,""fr"",""es"")"),"golpeado")</f>
        <v>golpeado</v>
      </c>
    </row>
    <row r="518">
      <c r="A518" s="3">
        <v>496.0</v>
      </c>
      <c r="B518" s="3" t="s">
        <v>189</v>
      </c>
      <c r="C518" s="3" t="s">
        <v>190</v>
      </c>
      <c r="D518" s="3" t="s">
        <v>1390</v>
      </c>
      <c r="E518" s="3" t="s">
        <v>1388</v>
      </c>
      <c r="F518" s="3" t="s">
        <v>1389</v>
      </c>
      <c r="G518" s="3" t="str">
        <f>IFERROR(__xludf.DUMMYFUNCTION("GOOGLETRANSLATE(D518,""fr"",""es"")"),"Ceignais")</f>
        <v>Ceignais</v>
      </c>
    </row>
    <row r="519">
      <c r="A519" s="3">
        <v>497.0</v>
      </c>
      <c r="B519" s="3" t="s">
        <v>189</v>
      </c>
      <c r="C519" s="3" t="s">
        <v>190</v>
      </c>
      <c r="D519" s="3" t="s">
        <v>1391</v>
      </c>
      <c r="E519" s="3" t="s">
        <v>1388</v>
      </c>
      <c r="F519" s="3" t="s">
        <v>1389</v>
      </c>
      <c r="G519" s="3" t="str">
        <f>IFERROR(__xludf.DUMMYFUNCTION("GOOGLETRANSLATE(D519,""fr"",""es"")"),"levantaban")</f>
        <v>levantaban</v>
      </c>
    </row>
    <row r="520">
      <c r="A520" s="3">
        <v>498.0</v>
      </c>
      <c r="B520" s="3" t="s">
        <v>189</v>
      </c>
      <c r="C520" s="3" t="s">
        <v>190</v>
      </c>
      <c r="D520" s="3" t="s">
        <v>1392</v>
      </c>
      <c r="E520" s="3" t="s">
        <v>1393</v>
      </c>
      <c r="F520" s="3" t="s">
        <v>1394</v>
      </c>
      <c r="G520" s="3" t="str">
        <f>IFERROR(__xludf.DUMMYFUNCTION("GOOGLETRANSLATE(D520,""fr"",""es"")"),"cava")</f>
        <v>cava</v>
      </c>
    </row>
    <row r="521">
      <c r="A521" s="3">
        <v>499.0</v>
      </c>
      <c r="B521" s="3" t="s">
        <v>189</v>
      </c>
      <c r="C521" s="3" t="s">
        <v>190</v>
      </c>
      <c r="D521" s="3" t="s">
        <v>1395</v>
      </c>
      <c r="E521" s="3" t="s">
        <v>1393</v>
      </c>
      <c r="F521" s="3" t="s">
        <v>1394</v>
      </c>
      <c r="G521" s="3" t="str">
        <f>IFERROR(__xludf.DUMMYFUNCTION("GOOGLETRANSLATE(D521,""fr"",""es"")"),"rey")</f>
        <v>rey</v>
      </c>
    </row>
    <row r="522">
      <c r="A522" s="3">
        <v>500.0</v>
      </c>
      <c r="B522" s="3" t="s">
        <v>189</v>
      </c>
      <c r="C522" s="3" t="s">
        <v>190</v>
      </c>
      <c r="D522" s="3" t="s">
        <v>1396</v>
      </c>
      <c r="E522" s="3" t="s">
        <v>1393</v>
      </c>
      <c r="F522" s="3" t="s">
        <v>1394</v>
      </c>
      <c r="G522" s="3" t="str">
        <f>IFERROR(__xludf.DUMMYFUNCTION("GOOGLETRANSLATE(D522,""fr"",""es"")"),"celiarios")</f>
        <v>celiarios</v>
      </c>
    </row>
    <row r="523">
      <c r="A523" s="3">
        <v>501.0</v>
      </c>
      <c r="B523" s="3" t="s">
        <v>189</v>
      </c>
      <c r="C523" s="3" t="s">
        <v>190</v>
      </c>
      <c r="D523" s="3" t="s">
        <v>1397</v>
      </c>
      <c r="E523" s="3" t="s">
        <v>1398</v>
      </c>
      <c r="F523" s="3" t="s">
        <v>1399</v>
      </c>
      <c r="G523" s="3" t="str">
        <f>IFERROR(__xludf.DUMMYFUNCTION("GOOGLETRANSLATE(D523,""fr"",""es"")"),"ceignîmes")</f>
        <v>ceignîmes</v>
      </c>
    </row>
    <row r="524">
      <c r="A524" s="3">
        <v>502.0</v>
      </c>
      <c r="B524" s="3" t="s">
        <v>189</v>
      </c>
      <c r="C524" s="3" t="s">
        <v>190</v>
      </c>
      <c r="D524" s="3" t="s">
        <v>1400</v>
      </c>
      <c r="E524" s="3" t="s">
        <v>1401</v>
      </c>
      <c r="F524" s="3" t="s">
        <v>1402</v>
      </c>
      <c r="G524" s="3" t="str">
        <f>IFERROR(__xludf.DUMMYFUNCTION("GOOGLETRANSLATE(D524,""fr"",""es"")"),"ceignis")</f>
        <v>ceignis</v>
      </c>
    </row>
    <row r="525">
      <c r="A525" s="3">
        <v>503.0</v>
      </c>
      <c r="B525" s="3" t="s">
        <v>189</v>
      </c>
      <c r="C525" s="3" t="s">
        <v>190</v>
      </c>
      <c r="D525" s="3" t="s">
        <v>1403</v>
      </c>
      <c r="E525" s="3" t="s">
        <v>1404</v>
      </c>
      <c r="F525" s="3" t="s">
        <v>1405</v>
      </c>
      <c r="G525" s="3" t="str">
        <f>IFERROR(__xludf.DUMMYFUNCTION("GOOGLETRANSLATE(D525,""fr"",""es"")"),"destello")</f>
        <v>destello</v>
      </c>
    </row>
    <row r="526">
      <c r="A526" s="3">
        <v>504.0</v>
      </c>
      <c r="B526" s="3" t="s">
        <v>189</v>
      </c>
      <c r="C526" s="3" t="s">
        <v>190</v>
      </c>
      <c r="D526" s="3" t="s">
        <v>1406</v>
      </c>
      <c r="E526" s="3" t="s">
        <v>1404</v>
      </c>
      <c r="F526" s="3" t="s">
        <v>1405</v>
      </c>
      <c r="G526" s="3" t="str">
        <f>IFERROR(__xludf.DUMMYFUNCTION("GOOGLETRANSLATE(D526,""fr"",""es"")"),"amamantar")</f>
        <v>amamantar</v>
      </c>
    </row>
    <row r="527">
      <c r="A527" s="3">
        <v>505.0</v>
      </c>
      <c r="B527" s="3" t="s">
        <v>189</v>
      </c>
      <c r="C527" s="3" t="s">
        <v>190</v>
      </c>
      <c r="D527" s="3" t="s">
        <v>1407</v>
      </c>
      <c r="E527" s="3" t="s">
        <v>1404</v>
      </c>
      <c r="F527" s="3" t="s">
        <v>1405</v>
      </c>
      <c r="G527" s="3" t="str">
        <f>IFERROR(__xludf.DUMMYFUNCTION("GOOGLETRANSLATE(D527,""fr"",""es"")"),"cemero")</f>
        <v>cemero</v>
      </c>
    </row>
    <row r="528">
      <c r="A528" s="3">
        <v>506.0</v>
      </c>
      <c r="B528" s="3" t="s">
        <v>189</v>
      </c>
      <c r="C528" s="3" t="s">
        <v>190</v>
      </c>
      <c r="D528" s="3" t="s">
        <v>1408</v>
      </c>
      <c r="E528" s="3" t="s">
        <v>1401</v>
      </c>
      <c r="F528" s="3" t="s">
        <v>1402</v>
      </c>
      <c r="G528" s="3" t="str">
        <f>IFERROR(__xludf.DUMMYFUNCTION("GOOGLETRANSLATE(D528,""fr"",""es"")"),"ceignit")</f>
        <v>ceignit</v>
      </c>
    </row>
    <row r="529">
      <c r="A529" s="3">
        <v>507.0</v>
      </c>
      <c r="B529" s="3" t="s">
        <v>189</v>
      </c>
      <c r="C529" s="3" t="s">
        <v>190</v>
      </c>
      <c r="D529" s="3" t="s">
        <v>1409</v>
      </c>
      <c r="E529" s="3" t="s">
        <v>1401</v>
      </c>
      <c r="F529" s="3" t="s">
        <v>1402</v>
      </c>
      <c r="G529" s="3" t="str">
        <f>IFERROR(__xludf.DUMMYFUNCTION("GOOGLETRANSLATE(D529,""fr"",""es"")"),"supremo")</f>
        <v>supremo</v>
      </c>
    </row>
    <row r="530">
      <c r="A530" s="3">
        <v>508.0</v>
      </c>
      <c r="B530" s="3" t="s">
        <v>189</v>
      </c>
      <c r="C530" s="3" t="s">
        <v>190</v>
      </c>
      <c r="D530" s="3" t="s">
        <v>1410</v>
      </c>
      <c r="E530" s="3" t="s">
        <v>1411</v>
      </c>
      <c r="F530" s="3" t="s">
        <v>1412</v>
      </c>
      <c r="G530" s="3" t="str">
        <f>IFERROR(__xludf.DUMMYFUNCTION("GOOGLETRANSLATE(D530,""fr"",""es"")"),"cela")</f>
        <v>cela</v>
      </c>
    </row>
    <row r="531">
      <c r="A531" s="3">
        <v>509.0</v>
      </c>
      <c r="B531" s="3" t="s">
        <v>189</v>
      </c>
      <c r="C531" s="3" t="s">
        <v>190</v>
      </c>
      <c r="D531" s="3" t="s">
        <v>1413</v>
      </c>
      <c r="E531" s="3" t="s">
        <v>1411</v>
      </c>
      <c r="F531" s="3" t="s">
        <v>1412</v>
      </c>
      <c r="G531" s="3" t="str">
        <f>IFERROR(__xludf.DUMMYFUNCTION("GOOGLETRANSLATE(D531,""fr"",""es"")"),"cela")</f>
        <v>cela</v>
      </c>
    </row>
    <row r="532">
      <c r="A532" s="3">
        <v>510.0</v>
      </c>
      <c r="B532" s="3" t="s">
        <v>189</v>
      </c>
      <c r="C532" s="3" t="s">
        <v>190</v>
      </c>
      <c r="D532" s="3" t="s">
        <v>1414</v>
      </c>
      <c r="E532" s="3" t="s">
        <v>1411</v>
      </c>
      <c r="F532" s="3" t="s">
        <v>1412</v>
      </c>
      <c r="G532" s="3" t="str">
        <f>IFERROR(__xludf.DUMMYFUNCTION("GOOGLETRANSLATE(D532,""fr"",""es"")"),"pagles")</f>
        <v>pagles</v>
      </c>
    </row>
    <row r="533">
      <c r="A533" s="3">
        <v>511.0</v>
      </c>
      <c r="B533" s="3" t="s">
        <v>189</v>
      </c>
      <c r="C533" s="3" t="s">
        <v>190</v>
      </c>
      <c r="D533" s="3" t="s">
        <v>1415</v>
      </c>
      <c r="E533" s="3" t="s">
        <v>1411</v>
      </c>
      <c r="F533" s="3" t="s">
        <v>1412</v>
      </c>
      <c r="G533" s="3" t="str">
        <f>IFERROR(__xludf.DUMMYFUNCTION("GOOGLETRANSLATE(D533,""fr"",""es"")"),"que")</f>
        <v>que</v>
      </c>
    </row>
    <row r="534">
      <c r="A534" s="3">
        <v>512.0</v>
      </c>
      <c r="B534" s="3" t="s">
        <v>189</v>
      </c>
      <c r="C534" s="3" t="s">
        <v>190</v>
      </c>
      <c r="D534" s="3" t="s">
        <v>1416</v>
      </c>
      <c r="E534" s="3" t="s">
        <v>1411</v>
      </c>
      <c r="F534" s="3" t="s">
        <v>1412</v>
      </c>
      <c r="G534" s="3" t="str">
        <f>IFERROR(__xludf.DUMMYFUNCTION("GOOGLETRANSLATE(D534,""fr"",""es"")"),"esas")</f>
        <v>esas</v>
      </c>
    </row>
    <row r="535">
      <c r="A535" s="3">
        <v>513.0</v>
      </c>
      <c r="B535" s="3" t="s">
        <v>189</v>
      </c>
      <c r="C535" s="3" t="s">
        <v>190</v>
      </c>
      <c r="D535" s="3" t="s">
        <v>1417</v>
      </c>
      <c r="E535" s="3" t="s">
        <v>1418</v>
      </c>
      <c r="F535" s="3" t="s">
        <v>1419</v>
      </c>
      <c r="G535" s="3" t="str">
        <f>IFERROR(__xludf.DUMMYFUNCTION("GOOGLETRANSLATE(D535,""fr"",""es"")"),"sel")</f>
        <v>sel</v>
      </c>
      <c r="H535" s="3" t="s">
        <v>1420</v>
      </c>
      <c r="I535" s="3" t="s">
        <v>1421</v>
      </c>
    </row>
    <row r="536">
      <c r="A536" s="3">
        <v>514.0</v>
      </c>
      <c r="B536" s="3" t="s">
        <v>189</v>
      </c>
      <c r="C536" s="3" t="s">
        <v>190</v>
      </c>
      <c r="D536" s="3" t="s">
        <v>1422</v>
      </c>
      <c r="E536" s="3" t="s">
        <v>1418</v>
      </c>
      <c r="F536" s="3" t="s">
        <v>1419</v>
      </c>
      <c r="G536" s="3" t="str">
        <f>IFERROR(__xludf.DUMMYFUNCTION("GOOGLETRANSLATE(D536,""fr"",""es"")"),"no es")</f>
        <v>no es</v>
      </c>
    </row>
    <row r="537">
      <c r="A537" s="3">
        <v>515.0</v>
      </c>
      <c r="B537" s="3" t="s">
        <v>189</v>
      </c>
      <c r="C537" s="3" t="s">
        <v>190</v>
      </c>
      <c r="D537" s="3" t="s">
        <v>1423</v>
      </c>
      <c r="E537" s="3" t="s">
        <v>1418</v>
      </c>
      <c r="F537" s="3" t="s">
        <v>1419</v>
      </c>
      <c r="G537" s="3" t="str">
        <f>IFERROR(__xludf.DUMMYFUNCTION("GOOGLETRANSLATE(D537,""fr"",""es"")"),"cenne")</f>
        <v>cenne</v>
      </c>
    </row>
    <row r="538">
      <c r="A538" s="3">
        <v>516.0</v>
      </c>
      <c r="B538" s="3" t="s">
        <v>189</v>
      </c>
      <c r="C538" s="3" t="s">
        <v>190</v>
      </c>
      <c r="D538" s="3" t="s">
        <v>1424</v>
      </c>
      <c r="E538" s="3" t="s">
        <v>1418</v>
      </c>
      <c r="F538" s="3" t="s">
        <v>1419</v>
      </c>
      <c r="G538" s="3" t="str">
        <f>IFERROR(__xludf.DUMMYFUNCTION("GOOGLETRANSLATE(D538,""fr"",""es"")"),"Cennés")</f>
        <v>Cennés</v>
      </c>
    </row>
    <row r="539">
      <c r="A539" s="3">
        <v>517.0</v>
      </c>
      <c r="B539" s="3" t="s">
        <v>189</v>
      </c>
      <c r="C539" s="3" t="s">
        <v>190</v>
      </c>
      <c r="D539" s="3" t="s">
        <v>1425</v>
      </c>
      <c r="E539" s="3" t="s">
        <v>1426</v>
      </c>
      <c r="F539" s="3" t="s">
        <v>1427</v>
      </c>
      <c r="G539" s="3" t="str">
        <f>IFERROR(__xludf.DUMMYFUNCTION("GOOGLETRANSLATE(D539,""fr"",""es"")"),"CEP")</f>
        <v>CEP</v>
      </c>
      <c r="H539" s="3" t="s">
        <v>1428</v>
      </c>
    </row>
    <row r="540">
      <c r="A540" s="3">
        <v>518.0</v>
      </c>
      <c r="B540" s="3" t="s">
        <v>189</v>
      </c>
      <c r="C540" s="3" t="s">
        <v>190</v>
      </c>
      <c r="D540" s="3" t="s">
        <v>1429</v>
      </c>
      <c r="E540" s="3" t="s">
        <v>1426</v>
      </c>
      <c r="F540" s="3" t="s">
        <v>1427</v>
      </c>
      <c r="G540" s="3" t="str">
        <f>IFERROR(__xludf.DUMMYFUNCTION("GOOGLETRANSLATE(D540,""fr"",""es"")"),"porcini")</f>
        <v>porcini</v>
      </c>
      <c r="H540" s="3" t="s">
        <v>1430</v>
      </c>
      <c r="I540" s="3" t="s">
        <v>1431</v>
      </c>
    </row>
    <row r="541">
      <c r="A541" s="3">
        <v>519.0</v>
      </c>
      <c r="B541" s="3" t="s">
        <v>189</v>
      </c>
      <c r="C541" s="3" t="s">
        <v>190</v>
      </c>
      <c r="D541" s="3" t="s">
        <v>1432</v>
      </c>
      <c r="E541" s="3" t="s">
        <v>1426</v>
      </c>
      <c r="F541" s="3" t="s">
        <v>1427</v>
      </c>
      <c r="G541" s="3" t="str">
        <f>IFERROR(__xludf.DUMMYFUNCTION("GOOGLETRANSLATE(D541,""fr"",""es"")"),"hongos porcini")</f>
        <v>hongos porcini</v>
      </c>
    </row>
    <row r="542">
      <c r="A542" s="3">
        <v>520.0</v>
      </c>
      <c r="B542" s="3" t="s">
        <v>189</v>
      </c>
      <c r="C542" s="3" t="s">
        <v>190</v>
      </c>
      <c r="D542" s="3" t="s">
        <v>1433</v>
      </c>
      <c r="E542" s="3" t="s">
        <v>1426</v>
      </c>
      <c r="F542" s="3" t="s">
        <v>1427</v>
      </c>
      <c r="G542" s="3" t="str">
        <f>IFERROR(__xludf.DUMMYFUNCTION("GOOGLETRANSLATE(D542,""fr"",""es"")"),"vides")</f>
        <v>vides</v>
      </c>
    </row>
    <row r="543">
      <c r="A543" s="3">
        <v>521.0</v>
      </c>
      <c r="B543" s="3" t="s">
        <v>189</v>
      </c>
      <c r="C543" s="3" t="s">
        <v>190</v>
      </c>
      <c r="D543" s="3" t="s">
        <v>1434</v>
      </c>
      <c r="E543" s="3" t="s">
        <v>1435</v>
      </c>
      <c r="F543" s="3" t="s">
        <v>178</v>
      </c>
      <c r="G543" s="3" t="str">
        <f>IFERROR(__xludf.DUMMYFUNCTION("GOOGLETRANSLATE(D543,""fr"",""es"")"),"estas")</f>
        <v>estas</v>
      </c>
    </row>
    <row r="544">
      <c r="A544" s="3">
        <v>522.0</v>
      </c>
      <c r="B544" s="3" t="s">
        <v>189</v>
      </c>
      <c r="C544" s="3" t="s">
        <v>190</v>
      </c>
      <c r="D544" s="3" t="s">
        <v>1436</v>
      </c>
      <c r="E544" s="3" t="s">
        <v>1437</v>
      </c>
      <c r="F544" s="3" t="s">
        <v>1438</v>
      </c>
      <c r="G544" s="3" t="str">
        <f>IFERROR(__xludf.DUMMYFUNCTION("GOOGLETRANSLATE(D544,""fr"",""es"")"),"detenido")</f>
        <v>detenido</v>
      </c>
    </row>
    <row r="545">
      <c r="A545" s="3">
        <v>523.0</v>
      </c>
      <c r="B545" s="3" t="s">
        <v>189</v>
      </c>
      <c r="C545" s="3" t="s">
        <v>190</v>
      </c>
      <c r="D545" s="3" t="s">
        <v>1439</v>
      </c>
      <c r="E545" s="3" t="s">
        <v>1437</v>
      </c>
      <c r="F545" s="3" t="s">
        <v>1438</v>
      </c>
      <c r="G545" s="3" t="str">
        <f>IFERROR(__xludf.DUMMYFUNCTION("GOOGLETRANSLATE(D545,""fr"",""es"")"),"detenido")</f>
        <v>detenido</v>
      </c>
    </row>
    <row r="546">
      <c r="A546" s="3">
        <v>524.0</v>
      </c>
      <c r="B546" s="3" t="s">
        <v>189</v>
      </c>
      <c r="C546" s="3" t="s">
        <v>190</v>
      </c>
      <c r="D546" s="3" t="s">
        <v>1440</v>
      </c>
      <c r="E546" s="3" t="s">
        <v>1437</v>
      </c>
      <c r="F546" s="3" t="s">
        <v>1438</v>
      </c>
      <c r="G546" s="3" t="str">
        <f>IFERROR(__xludf.DUMMYFUNCTION("GOOGLETRANSLATE(D546,""fr"",""es"")"),"detenido")</f>
        <v>detenido</v>
      </c>
    </row>
    <row r="547">
      <c r="A547" s="3">
        <v>525.0</v>
      </c>
      <c r="B547" s="3" t="s">
        <v>189</v>
      </c>
      <c r="C547" s="3" t="s">
        <v>190</v>
      </c>
      <c r="D547" s="3" t="s">
        <v>1441</v>
      </c>
      <c r="E547" s="3" t="s">
        <v>1437</v>
      </c>
      <c r="F547" s="3" t="s">
        <v>1438</v>
      </c>
      <c r="G547" s="3" t="str">
        <f>IFERROR(__xludf.DUMMYFUNCTION("GOOGLETRANSLATE(D547,""fr"",""es"")"),"detenido")</f>
        <v>detenido</v>
      </c>
    </row>
    <row r="548">
      <c r="A548" s="3">
        <v>526.0</v>
      </c>
      <c r="B548" s="3" t="s">
        <v>189</v>
      </c>
      <c r="C548" s="3" t="s">
        <v>190</v>
      </c>
      <c r="D548" s="3" t="s">
        <v>1442</v>
      </c>
      <c r="E548" s="3" t="s">
        <v>1443</v>
      </c>
      <c r="F548" s="3" t="s">
        <v>1444</v>
      </c>
      <c r="G548" s="3" t="str">
        <f>IFERROR(__xludf.DUMMYFUNCTION("GOOGLETRANSLATE(D548,""fr"",""es"")"),"detenido")</f>
        <v>detenido</v>
      </c>
    </row>
    <row r="549">
      <c r="A549" s="3">
        <v>527.0</v>
      </c>
      <c r="B549" s="3" t="s">
        <v>189</v>
      </c>
      <c r="C549" s="3" t="s">
        <v>190</v>
      </c>
      <c r="D549" s="3" t="s">
        <v>1445</v>
      </c>
      <c r="E549" s="3" t="s">
        <v>1446</v>
      </c>
      <c r="F549" s="3" t="s">
        <v>1447</v>
      </c>
      <c r="G549" s="3" t="str">
        <f>IFERROR(__xludf.DUMMYFUNCTION("GOOGLETRANSLATE(D549,""fr"",""es"")"),"cesación")</f>
        <v>cesación</v>
      </c>
    </row>
    <row r="550">
      <c r="A550" s="3">
        <v>528.0</v>
      </c>
      <c r="B550" s="3" t="s">
        <v>189</v>
      </c>
      <c r="C550" s="3" t="s">
        <v>190</v>
      </c>
      <c r="D550" s="3" t="s">
        <v>1448</v>
      </c>
      <c r="E550" s="3" t="s">
        <v>1446</v>
      </c>
      <c r="F550" s="3" t="s">
        <v>1447</v>
      </c>
      <c r="G550" s="3" t="str">
        <f>IFERROR(__xludf.DUMMYFUNCTION("GOOGLETRANSLATE(D550,""fr"",""es"")"),"deténgase")</f>
        <v>deténgase</v>
      </c>
    </row>
    <row r="551">
      <c r="A551" s="3">
        <v>529.0</v>
      </c>
      <c r="B551" s="3" t="s">
        <v>189</v>
      </c>
      <c r="C551" s="3" t="s">
        <v>190</v>
      </c>
      <c r="D551" s="3" t="s">
        <v>1449</v>
      </c>
      <c r="E551" s="3" t="s">
        <v>1446</v>
      </c>
      <c r="F551" s="3" t="s">
        <v>1447</v>
      </c>
      <c r="G551" s="3" t="str">
        <f>IFERROR(__xludf.DUMMYFUNCTION("GOOGLETRANSLATE(D551,""fr"",""es"")"),"deténgase")</f>
        <v>deténgase</v>
      </c>
    </row>
    <row r="552">
      <c r="A552" s="3">
        <v>530.0</v>
      </c>
      <c r="B552" s="3" t="s">
        <v>189</v>
      </c>
      <c r="C552" s="3" t="s">
        <v>190</v>
      </c>
      <c r="D552" s="3" t="s">
        <v>1450</v>
      </c>
      <c r="E552" s="3" t="s">
        <v>1451</v>
      </c>
      <c r="F552" s="3" t="s">
        <v>1452</v>
      </c>
      <c r="G552" s="3" t="str">
        <f>IFERROR(__xludf.DUMMYFUNCTION("GOOGLETRANSLATE(D552,""fr"",""es"")"),"deténgase")</f>
        <v>deténgase</v>
      </c>
    </row>
    <row r="553">
      <c r="A553" s="3">
        <v>531.0</v>
      </c>
      <c r="B553" s="3" t="s">
        <v>189</v>
      </c>
      <c r="C553" s="3" t="s">
        <v>190</v>
      </c>
      <c r="D553" s="3" t="s">
        <v>1453</v>
      </c>
      <c r="E553" s="3" t="s">
        <v>1451</v>
      </c>
      <c r="F553" s="3" t="s">
        <v>1452</v>
      </c>
      <c r="G553" s="3" t="str">
        <f>IFERROR(__xludf.DUMMYFUNCTION("GOOGLETRANSLATE(D553,""fr"",""es"")"),"cesar")</f>
        <v>cesar</v>
      </c>
    </row>
    <row r="554">
      <c r="A554" s="3">
        <v>532.0</v>
      </c>
      <c r="B554" s="3" t="s">
        <v>189</v>
      </c>
      <c r="C554" s="3" t="s">
        <v>190</v>
      </c>
      <c r="D554" s="3" t="s">
        <v>1454</v>
      </c>
      <c r="E554" s="3" t="s">
        <v>1451</v>
      </c>
      <c r="F554" s="3" t="s">
        <v>1452</v>
      </c>
      <c r="G554" s="3" t="str">
        <f>IFERROR(__xludf.DUMMYFUNCTION("GOOGLETRANSLATE(D554,""fr"",""es"")"),"impuesto")</f>
        <v>impuesto</v>
      </c>
    </row>
    <row r="555">
      <c r="A555" s="3">
        <v>533.0</v>
      </c>
      <c r="B555" s="3" t="s">
        <v>189</v>
      </c>
      <c r="C555" s="3" t="s">
        <v>190</v>
      </c>
      <c r="D555" s="3" t="s">
        <v>1455</v>
      </c>
      <c r="E555" s="3" t="s">
        <v>1456</v>
      </c>
      <c r="F555" s="3" t="s">
        <v>1457</v>
      </c>
      <c r="G555" s="3" t="str">
        <f>IFERROR(__xludf.DUMMYFUNCTION("GOOGLETRANSLATE(D555,""fr"",""es"")"),"chacal")</f>
        <v>chacal</v>
      </c>
      <c r="H555" s="3" t="s">
        <v>1458</v>
      </c>
      <c r="I555" s="3" t="s">
        <v>1459</v>
      </c>
      <c r="J555" s="3" t="s">
        <v>1460</v>
      </c>
      <c r="K555" s="3" t="s">
        <v>1461</v>
      </c>
      <c r="L555" s="3" t="s">
        <v>1462</v>
      </c>
      <c r="M555" s="3" t="s">
        <v>1463</v>
      </c>
      <c r="N555" s="3" t="s">
        <v>1464</v>
      </c>
      <c r="O555" s="3" t="s">
        <v>1465</v>
      </c>
      <c r="P555" s="3" t="s">
        <v>1466</v>
      </c>
      <c r="Q555" s="3" t="s">
        <v>1467</v>
      </c>
      <c r="R555" s="3" t="s">
        <v>1468</v>
      </c>
      <c r="S555" s="3" t="s">
        <v>1469</v>
      </c>
      <c r="T555" s="3" t="s">
        <v>1470</v>
      </c>
    </row>
    <row r="556">
      <c r="A556" s="3">
        <v>534.0</v>
      </c>
      <c r="B556" s="3" t="s">
        <v>189</v>
      </c>
      <c r="C556" s="3" t="s">
        <v>190</v>
      </c>
      <c r="D556" s="3" t="s">
        <v>1471</v>
      </c>
      <c r="E556" s="3" t="s">
        <v>1456</v>
      </c>
      <c r="F556" s="3" t="s">
        <v>1457</v>
      </c>
      <c r="G556" s="3" t="str">
        <f>IFERROR(__xludf.DUMMYFUNCTION("GOOGLETRANSLATE(D556,""fr"",""es"")"),"chacal")</f>
        <v>chacal</v>
      </c>
    </row>
    <row r="557">
      <c r="A557" s="3">
        <v>535.0</v>
      </c>
      <c r="B557" s="3" t="s">
        <v>189</v>
      </c>
      <c r="C557" s="3" t="s">
        <v>190</v>
      </c>
      <c r="D557" s="3" t="s">
        <v>1472</v>
      </c>
      <c r="E557" s="3" t="s">
        <v>1473</v>
      </c>
      <c r="F557" s="3" t="s">
        <v>1474</v>
      </c>
      <c r="G557" s="3" t="str">
        <f>IFERROR(__xludf.DUMMYFUNCTION("GOOGLETRANSLATE(D557,""fr"",""es"")"),"Chai")</f>
        <v>Chai</v>
      </c>
    </row>
    <row r="558">
      <c r="A558" s="3">
        <v>536.0</v>
      </c>
      <c r="B558" s="3" t="s">
        <v>189</v>
      </c>
      <c r="C558" s="3" t="s">
        <v>190</v>
      </c>
      <c r="D558" s="3" t="s">
        <v>1475</v>
      </c>
      <c r="E558" s="3" t="s">
        <v>1476</v>
      </c>
      <c r="F558" s="3" t="s">
        <v>1477</v>
      </c>
      <c r="G558" s="3" t="str">
        <f>IFERROR(__xludf.DUMMYFUNCTION("GOOGLETRANSLATE(D558,""fr"",""es"")"),"cadena")</f>
        <v>cadena</v>
      </c>
    </row>
    <row r="559">
      <c r="A559" s="3">
        <v>537.0</v>
      </c>
      <c r="B559" s="3" t="s">
        <v>189</v>
      </c>
      <c r="C559" s="3" t="s">
        <v>190</v>
      </c>
      <c r="D559" s="3" t="s">
        <v>1478</v>
      </c>
      <c r="E559" s="3" t="s">
        <v>1476</v>
      </c>
      <c r="F559" s="3" t="s">
        <v>1477</v>
      </c>
      <c r="G559" s="3" t="str">
        <f>IFERROR(__xludf.DUMMYFUNCTION("GOOGLETRANSLATE(D559,""fr"",""es"")"),"encadenado")</f>
        <v>encadenado</v>
      </c>
    </row>
    <row r="560">
      <c r="A560" s="3">
        <v>538.0</v>
      </c>
      <c r="B560" s="3" t="s">
        <v>189</v>
      </c>
      <c r="C560" s="3" t="s">
        <v>190</v>
      </c>
      <c r="D560" s="3" t="s">
        <v>1479</v>
      </c>
      <c r="E560" s="3" t="s">
        <v>1476</v>
      </c>
      <c r="F560" s="3" t="s">
        <v>1477</v>
      </c>
      <c r="G560" s="3" t="str">
        <f>IFERROR(__xludf.DUMMYFUNCTION("GOOGLETRANSLATE(D560,""fr"",""es"")"),"cadena")</f>
        <v>cadena</v>
      </c>
    </row>
    <row r="561">
      <c r="A561" s="3">
        <v>539.0</v>
      </c>
      <c r="B561" s="3" t="s">
        <v>189</v>
      </c>
      <c r="C561" s="3" t="s">
        <v>190</v>
      </c>
      <c r="D561" s="3" t="s">
        <v>1480</v>
      </c>
      <c r="E561" s="3" t="s">
        <v>1476</v>
      </c>
      <c r="F561" s="3" t="s">
        <v>1477</v>
      </c>
      <c r="G561" s="3" t="str">
        <f>IFERROR(__xludf.DUMMYFUNCTION("GOOGLETRANSLATE(D561,""fr"",""es"")"),"era cadena")</f>
        <v>era cadena</v>
      </c>
    </row>
    <row r="562">
      <c r="A562" s="3">
        <v>540.0</v>
      </c>
      <c r="B562" s="3" t="s">
        <v>189</v>
      </c>
      <c r="C562" s="3" t="s">
        <v>190</v>
      </c>
      <c r="D562" s="3" t="s">
        <v>1481</v>
      </c>
      <c r="E562" s="3" t="s">
        <v>1482</v>
      </c>
      <c r="F562" s="3" t="s">
        <v>1483</v>
      </c>
      <c r="G562" s="3" t="str">
        <f>IFERROR(__xludf.DUMMYFUNCTION("GOOGLETRANSLATE(D562,""fr"",""es"")"),"cadena")</f>
        <v>cadena</v>
      </c>
    </row>
    <row r="563">
      <c r="A563" s="3">
        <v>541.0</v>
      </c>
      <c r="B563" s="3" t="s">
        <v>189</v>
      </c>
      <c r="C563" s="3" t="s">
        <v>190</v>
      </c>
      <c r="D563" s="3" t="s">
        <v>1484</v>
      </c>
      <c r="E563" s="3" t="s">
        <v>1485</v>
      </c>
      <c r="F563" s="3" t="s">
        <v>1486</v>
      </c>
      <c r="G563" s="3" t="str">
        <f>IFERROR(__xludf.DUMMYFUNCTION("GOOGLETRANSLATE(D563,""fr"",""es"")"),"cadenas")</f>
        <v>cadenas</v>
      </c>
    </row>
    <row r="564">
      <c r="A564" s="3">
        <v>542.0</v>
      </c>
      <c r="B564" s="3" t="s">
        <v>189</v>
      </c>
      <c r="C564" s="3" t="s">
        <v>190</v>
      </c>
      <c r="D564" s="3" t="s">
        <v>1487</v>
      </c>
      <c r="E564" s="3" t="s">
        <v>1485</v>
      </c>
      <c r="F564" s="3" t="s">
        <v>1486</v>
      </c>
      <c r="G564" s="3" t="str">
        <f>IFERROR(__xludf.DUMMYFUNCTION("GOOGLETRANSLATE(D564,""fr"",""es"")"),"cadena")</f>
        <v>cadena</v>
      </c>
    </row>
    <row r="565">
      <c r="A565" s="3">
        <v>543.0</v>
      </c>
      <c r="B565" s="3" t="s">
        <v>189</v>
      </c>
      <c r="C565" s="3" t="s">
        <v>190</v>
      </c>
      <c r="D565" s="3" t="s">
        <v>1488</v>
      </c>
      <c r="E565" s="3" t="s">
        <v>1485</v>
      </c>
      <c r="F565" s="3" t="s">
        <v>1486</v>
      </c>
      <c r="G565" s="3" t="str">
        <f>IFERROR(__xludf.DUMMYFUNCTION("GOOGLETRANSLATE(D565,""fr"",""es"")"),"cadenas")</f>
        <v>cadenas</v>
      </c>
    </row>
    <row r="566">
      <c r="A566" s="3">
        <v>544.0</v>
      </c>
      <c r="B566" s="3" t="s">
        <v>189</v>
      </c>
      <c r="C566" s="3" t="s">
        <v>190</v>
      </c>
      <c r="D566" s="3" t="s">
        <v>1489</v>
      </c>
      <c r="E566" s="3" t="s">
        <v>1490</v>
      </c>
      <c r="F566" s="3" t="s">
        <v>1491</v>
      </c>
      <c r="G566" s="3" t="str">
        <f>IFERROR(__xludf.DUMMYFUNCTION("GOOGLETRANSLATE(D566,""fr"",""es"")"),"cadena")</f>
        <v>cadena</v>
      </c>
      <c r="H566" s="3" t="s">
        <v>1492</v>
      </c>
      <c r="I566" s="3" t="s">
        <v>1492</v>
      </c>
      <c r="J566" s="3" t="s">
        <v>1492</v>
      </c>
      <c r="K566" s="3" t="s">
        <v>1492</v>
      </c>
      <c r="L566" s="3" t="s">
        <v>1493</v>
      </c>
      <c r="M566" s="3" t="s">
        <v>1494</v>
      </c>
      <c r="N566" s="3" t="s">
        <v>1492</v>
      </c>
      <c r="O566" s="3" t="s">
        <v>1187</v>
      </c>
      <c r="P566" s="3" t="s">
        <v>1187</v>
      </c>
      <c r="Q566" s="3" t="s">
        <v>1495</v>
      </c>
      <c r="R566" s="3" t="s">
        <v>1496</v>
      </c>
      <c r="S566" s="3" t="s">
        <v>1497</v>
      </c>
      <c r="T566" s="3" t="s">
        <v>1498</v>
      </c>
      <c r="U566" s="3" t="s">
        <v>1499</v>
      </c>
      <c r="V566" s="3" t="s">
        <v>1185</v>
      </c>
      <c r="W566" s="3" t="s">
        <v>1186</v>
      </c>
      <c r="X566" s="3" t="s">
        <v>1180</v>
      </c>
      <c r="Y566" s="3" t="s">
        <v>1187</v>
      </c>
      <c r="Z566" s="3" t="s">
        <v>1187</v>
      </c>
      <c r="AA566" s="3" t="s">
        <v>1500</v>
      </c>
      <c r="AB566" s="3" t="s">
        <v>1499</v>
      </c>
      <c r="AC566" s="3" t="s">
        <v>1492</v>
      </c>
      <c r="AD566" s="3" t="s">
        <v>1492</v>
      </c>
      <c r="AE566" s="3" t="s">
        <v>1501</v>
      </c>
      <c r="AF566" s="3" t="s">
        <v>1492</v>
      </c>
      <c r="AG566" s="3" t="s">
        <v>1502</v>
      </c>
      <c r="AH566" s="3" t="s">
        <v>1187</v>
      </c>
      <c r="AI566" s="3" t="s">
        <v>1503</v>
      </c>
      <c r="AJ566" s="3" t="s">
        <v>1504</v>
      </c>
      <c r="AK566" s="3" t="s">
        <v>1505</v>
      </c>
      <c r="AL566" s="3" t="s">
        <v>1492</v>
      </c>
    </row>
    <row r="567">
      <c r="A567" s="3">
        <v>545.0</v>
      </c>
      <c r="B567" s="3" t="s">
        <v>189</v>
      </c>
      <c r="C567" s="3" t="s">
        <v>190</v>
      </c>
      <c r="D567" s="3" t="s">
        <v>1506</v>
      </c>
      <c r="E567" s="3" t="s">
        <v>1490</v>
      </c>
      <c r="F567" s="3" t="s">
        <v>1491</v>
      </c>
      <c r="G567" s="3" t="str">
        <f>IFERROR(__xludf.DUMMYFUNCTION("GOOGLETRANSLATE(D567,""fr"",""es"")"),"cadena")</f>
        <v>cadena</v>
      </c>
    </row>
    <row r="568">
      <c r="A568" s="3">
        <v>546.0</v>
      </c>
      <c r="B568" s="3" t="s">
        <v>189</v>
      </c>
      <c r="C568" s="3" t="s">
        <v>190</v>
      </c>
      <c r="D568" s="3" t="s">
        <v>1507</v>
      </c>
      <c r="E568" s="3" t="s">
        <v>1490</v>
      </c>
      <c r="F568" s="3" t="s">
        <v>1491</v>
      </c>
      <c r="G568" s="3" t="str">
        <f>IFERROR(__xludf.DUMMYFUNCTION("GOOGLETRANSLATE(D568,""fr"",""es"")"),"cadenas")</f>
        <v>cadenas</v>
      </c>
    </row>
    <row r="569">
      <c r="A569" s="3">
        <v>547.0</v>
      </c>
      <c r="B569" s="3" t="s">
        <v>189</v>
      </c>
      <c r="C569" s="3" t="s">
        <v>190</v>
      </c>
      <c r="D569" s="3" t="s">
        <v>1508</v>
      </c>
      <c r="E569" s="3" t="s">
        <v>1473</v>
      </c>
      <c r="F569" s="3" t="s">
        <v>1474</v>
      </c>
      <c r="G569" s="3" t="str">
        <f>IFERROR(__xludf.DUMMYFUNCTION("GOOGLETRANSLATE(D569,""fr"",""es"")"),"cava")</f>
        <v>cava</v>
      </c>
    </row>
    <row r="570">
      <c r="A570" s="3">
        <v>548.0</v>
      </c>
      <c r="B570" s="3" t="s">
        <v>189</v>
      </c>
      <c r="C570" s="3" t="s">
        <v>190</v>
      </c>
      <c r="D570" s="3" t="s">
        <v>1509</v>
      </c>
      <c r="E570" s="3" t="s">
        <v>1510</v>
      </c>
      <c r="F570" s="3" t="s">
        <v>1511</v>
      </c>
      <c r="G570" s="3" t="str">
        <f>IFERROR(__xludf.DUMMYFUNCTION("GOOGLETRANSLATE(D570,""fr"",""es"")"),"chal")</f>
        <v>chal</v>
      </c>
      <c r="H570" s="3" t="s">
        <v>1512</v>
      </c>
    </row>
    <row r="571">
      <c r="A571" s="3">
        <v>549.0</v>
      </c>
      <c r="B571" s="3" t="s">
        <v>189</v>
      </c>
      <c r="C571" s="3" t="s">
        <v>190</v>
      </c>
      <c r="D571" s="3" t="s">
        <v>1513</v>
      </c>
      <c r="E571" s="3" t="s">
        <v>1510</v>
      </c>
      <c r="F571" s="3" t="s">
        <v>1511</v>
      </c>
      <c r="G571" s="3" t="str">
        <f>IFERROR(__xludf.DUMMYFUNCTION("GOOGLETRANSLATE(D571,""fr"",""es"")"),"chales")</f>
        <v>chales</v>
      </c>
    </row>
    <row r="572">
      <c r="A572" s="3">
        <v>550.0</v>
      </c>
      <c r="B572" s="3" t="s">
        <v>189</v>
      </c>
      <c r="C572" s="3" t="s">
        <v>190</v>
      </c>
      <c r="D572" s="3" t="s">
        <v>1514</v>
      </c>
      <c r="E572" s="3" t="s">
        <v>1515</v>
      </c>
      <c r="F572" s="3" t="s">
        <v>1516</v>
      </c>
      <c r="G572" s="3" t="str">
        <f>IFERROR(__xludf.DUMMYFUNCTION("GOOGLETRANSLATE(D572,""fr"",""es"")"),"cabaña")</f>
        <v>cabaña</v>
      </c>
      <c r="H572" s="3" t="s">
        <v>1514</v>
      </c>
    </row>
    <row r="573">
      <c r="A573" s="3">
        <v>551.0</v>
      </c>
      <c r="B573" s="3" t="s">
        <v>189</v>
      </c>
      <c r="C573" s="3" t="s">
        <v>190</v>
      </c>
      <c r="D573" s="3" t="s">
        <v>1517</v>
      </c>
      <c r="E573" s="3" t="s">
        <v>1515</v>
      </c>
      <c r="F573" s="3" t="s">
        <v>1516</v>
      </c>
      <c r="G573" s="3" t="str">
        <f>IFERROR(__xludf.DUMMYFUNCTION("GOOGLETRANSLATE(D573,""fr"",""es"")"),"chalets")</f>
        <v>chalets</v>
      </c>
    </row>
    <row r="574">
      <c r="A574" s="3">
        <v>552.0</v>
      </c>
      <c r="B574" s="3" t="s">
        <v>189</v>
      </c>
      <c r="C574" s="3" t="s">
        <v>190</v>
      </c>
      <c r="D574" s="3" t="s">
        <v>1518</v>
      </c>
      <c r="E574" s="3" t="s">
        <v>1519</v>
      </c>
      <c r="F574" s="3" t="s">
        <v>1520</v>
      </c>
      <c r="G574" s="3" t="str">
        <f>IFERROR(__xludf.DUMMYFUNCTION("GOOGLETRANSLATE(D574,""fr"",""es"")"),"marco de la cama")</f>
        <v>marco de la cama</v>
      </c>
      <c r="H574" s="3" t="s">
        <v>1521</v>
      </c>
      <c r="I574" s="3" t="s">
        <v>1522</v>
      </c>
    </row>
    <row r="575">
      <c r="A575" s="3">
        <v>553.0</v>
      </c>
      <c r="B575" s="3" t="s">
        <v>189</v>
      </c>
      <c r="C575" s="3" t="s">
        <v>190</v>
      </c>
      <c r="D575" s="3" t="s">
        <v>1523</v>
      </c>
      <c r="E575" s="3" t="s">
        <v>1519</v>
      </c>
      <c r="F575" s="3" t="s">
        <v>1520</v>
      </c>
      <c r="G575" s="3" t="str">
        <f>IFERROR(__xludf.DUMMYFUNCTION("GOOGLETRANSLATE(D575,""fr"",""es"")"),"castillo")</f>
        <v>castillo</v>
      </c>
    </row>
    <row r="576">
      <c r="A576" s="3">
        <v>554.0</v>
      </c>
      <c r="B576" s="3" t="s">
        <v>189</v>
      </c>
      <c r="C576" s="3" t="s">
        <v>190</v>
      </c>
      <c r="D576" s="3" t="s">
        <v>1524</v>
      </c>
      <c r="E576" s="3" t="s">
        <v>1525</v>
      </c>
      <c r="F576" s="3" t="s">
        <v>1526</v>
      </c>
      <c r="G576" s="3" t="str">
        <f>IFERROR(__xludf.DUMMYFUNCTION("GOOGLETRANSLATE(D576,""fr"",""es"")"),"columna")</f>
        <v>columna</v>
      </c>
    </row>
    <row r="577">
      <c r="A577" s="3">
        <v>555.0</v>
      </c>
      <c r="B577" s="3" t="s">
        <v>189</v>
      </c>
      <c r="C577" s="3" t="s">
        <v>190</v>
      </c>
      <c r="D577" s="3" t="s">
        <v>1527</v>
      </c>
      <c r="E577" s="3" t="s">
        <v>1525</v>
      </c>
      <c r="F577" s="3" t="s">
        <v>1526</v>
      </c>
      <c r="G577" s="3" t="str">
        <f>IFERROR(__xludf.DUMMYFUNCTION("GOOGLETRANSLATE(D577,""fr"",""es"")"),"aturdido")</f>
        <v>aturdido</v>
      </c>
    </row>
    <row r="578">
      <c r="A578" s="3">
        <v>556.0</v>
      </c>
      <c r="B578" s="3" t="s">
        <v>189</v>
      </c>
      <c r="C578" s="3" t="s">
        <v>190</v>
      </c>
      <c r="D578" s="3" t="s">
        <v>1528</v>
      </c>
      <c r="E578" s="3" t="s">
        <v>1525</v>
      </c>
      <c r="F578" s="3" t="s">
        <v>1526</v>
      </c>
      <c r="G578" s="3" t="str">
        <f>IFERROR(__xludf.DUMMYFUNCTION("GOOGLETRANSLATE(D578,""fr"",""es"")"),"chaloupais")</f>
        <v>chaloupais</v>
      </c>
    </row>
    <row r="579">
      <c r="A579" s="3">
        <v>557.0</v>
      </c>
      <c r="B579" s="3" t="s">
        <v>189</v>
      </c>
      <c r="C579" s="3" t="s">
        <v>190</v>
      </c>
      <c r="D579" s="3" t="s">
        <v>1529</v>
      </c>
      <c r="E579" s="3" t="s">
        <v>1525</v>
      </c>
      <c r="F579" s="3" t="s">
        <v>1526</v>
      </c>
      <c r="G579" s="3" t="str">
        <f>IFERROR(__xludf.DUMMYFUNCTION("GOOGLETRANSLATE(D579,""fr"",""es"")"),"Chaloupe fue")</f>
        <v>Chaloupe fue</v>
      </c>
    </row>
    <row r="580">
      <c r="A580" s="3">
        <v>558.0</v>
      </c>
      <c r="B580" s="3" t="s">
        <v>189</v>
      </c>
      <c r="C580" s="3" t="s">
        <v>190</v>
      </c>
      <c r="D580" s="3" t="s">
        <v>1530</v>
      </c>
      <c r="E580" s="3" t="s">
        <v>1531</v>
      </c>
      <c r="F580" s="3" t="s">
        <v>1532</v>
      </c>
      <c r="G580" s="3" t="str">
        <f>IFERROR(__xludf.DUMMYFUNCTION("GOOGLETRANSLATE(D580,""fr"",""es"")"),"chaloupâme")</f>
        <v>chaloupâme</v>
      </c>
    </row>
    <row r="581">
      <c r="A581" s="3">
        <v>559.0</v>
      </c>
      <c r="B581" s="3" t="s">
        <v>189</v>
      </c>
      <c r="C581" s="3" t="s">
        <v>190</v>
      </c>
      <c r="D581" s="3" t="s">
        <v>1533</v>
      </c>
      <c r="E581" s="3" t="s">
        <v>1534</v>
      </c>
      <c r="F581" s="3" t="s">
        <v>1535</v>
      </c>
      <c r="G581" s="3" t="str">
        <f>IFERROR(__xludf.DUMMYFUNCTION("GOOGLETRANSLATE(D581,""fr"",""es"")"),"montañismo")</f>
        <v>montañismo</v>
      </c>
    </row>
    <row r="582">
      <c r="A582" s="3">
        <v>560.0</v>
      </c>
      <c r="B582" s="3" t="s">
        <v>189</v>
      </c>
      <c r="C582" s="3" t="s">
        <v>190</v>
      </c>
      <c r="D582" s="3" t="s">
        <v>1536</v>
      </c>
      <c r="E582" s="3" t="s">
        <v>1534</v>
      </c>
      <c r="F582" s="3" t="s">
        <v>1535</v>
      </c>
      <c r="G582" s="3" t="str">
        <f>IFERROR(__xludf.DUMMYFUNCTION("GOOGLETRANSLATE(D582,""fr"",""es"")"),"Chaloupass")</f>
        <v>Chaloupass</v>
      </c>
    </row>
    <row r="583">
      <c r="A583" s="3">
        <v>561.0</v>
      </c>
      <c r="B583" s="3" t="s">
        <v>189</v>
      </c>
      <c r="C583" s="3" t="s">
        <v>190</v>
      </c>
      <c r="D583" s="3" t="s">
        <v>1537</v>
      </c>
      <c r="E583" s="3" t="s">
        <v>1534</v>
      </c>
      <c r="F583" s="3" t="s">
        <v>1535</v>
      </c>
      <c r="G583" s="3" t="str">
        <f>IFERROR(__xludf.DUMMYFUNCTION("GOOGLETRANSLATE(D583,""fr"",""es"")"),"chaloupales")</f>
        <v>chaloupales</v>
      </c>
    </row>
    <row r="584">
      <c r="A584" s="3">
        <v>562.0</v>
      </c>
      <c r="B584" s="3" t="s">
        <v>189</v>
      </c>
      <c r="C584" s="3" t="s">
        <v>190</v>
      </c>
      <c r="D584" s="3" t="s">
        <v>1538</v>
      </c>
      <c r="E584" s="3" t="s">
        <v>1539</v>
      </c>
      <c r="F584" s="3" t="s">
        <v>1540</v>
      </c>
      <c r="G584" s="3" t="str">
        <f>IFERROR(__xludf.DUMMYFUNCTION("GOOGLETRANSLATE(D584,""fr"",""es"")"),"barco")</f>
        <v>barco</v>
      </c>
      <c r="H584" s="3" t="s">
        <v>1541</v>
      </c>
    </row>
    <row r="585">
      <c r="A585" s="3">
        <v>563.0</v>
      </c>
      <c r="B585" s="3" t="s">
        <v>189</v>
      </c>
      <c r="C585" s="3" t="s">
        <v>190</v>
      </c>
      <c r="D585" s="3" t="s">
        <v>1542</v>
      </c>
      <c r="E585" s="3" t="s">
        <v>1539</v>
      </c>
      <c r="F585" s="3" t="s">
        <v>1540</v>
      </c>
      <c r="G585" s="3" t="str">
        <f>IFERROR(__xludf.DUMMYFUNCTION("GOOGLETRANSLATE(D585,""fr"",""es"")"),"chaloupent")</f>
        <v>chaloupent</v>
      </c>
    </row>
    <row r="586">
      <c r="A586" s="3">
        <v>564.0</v>
      </c>
      <c r="B586" s="3" t="s">
        <v>189</v>
      </c>
      <c r="C586" s="3" t="s">
        <v>190</v>
      </c>
      <c r="D586" s="3" t="s">
        <v>1543</v>
      </c>
      <c r="E586" s="3" t="s">
        <v>1539</v>
      </c>
      <c r="F586" s="3" t="s">
        <v>1540</v>
      </c>
      <c r="G586" s="3" t="str">
        <f>IFERROR(__xludf.DUMMYFUNCTION("GOOGLETRANSLATE(D586,""fr"",""es"")"),"cañas")</f>
        <v>cañas</v>
      </c>
    </row>
    <row r="587">
      <c r="A587" s="3">
        <v>565.0</v>
      </c>
      <c r="B587" s="3" t="s">
        <v>189</v>
      </c>
      <c r="C587" s="3" t="s">
        <v>190</v>
      </c>
      <c r="D587" s="3" t="s">
        <v>1544</v>
      </c>
      <c r="E587" s="3" t="s">
        <v>1545</v>
      </c>
      <c r="F587" s="3" t="s">
        <v>1546</v>
      </c>
      <c r="G587" s="3" t="str">
        <f>IFERROR(__xludf.DUMMYFUNCTION("GOOGLETRANSLATE(D587,""fr"",""es"")"),"vago")</f>
        <v>vago</v>
      </c>
    </row>
    <row r="588">
      <c r="A588" s="3">
        <v>566.0</v>
      </c>
      <c r="B588" s="3" t="s">
        <v>189</v>
      </c>
      <c r="C588" s="3" t="s">
        <v>190</v>
      </c>
      <c r="D588" s="3" t="s">
        <v>1547</v>
      </c>
      <c r="E588" s="3" t="s">
        <v>1545</v>
      </c>
      <c r="F588" s="3" t="s">
        <v>1546</v>
      </c>
      <c r="G588" s="3" t="str">
        <f>IFERROR(__xludf.DUMMYFUNCTION("GOOGLETRANSLATE(D588,""fr"",""es"")"),"enloquecido")</f>
        <v>enloquecido</v>
      </c>
    </row>
    <row r="589">
      <c r="A589" s="3">
        <v>567.0</v>
      </c>
      <c r="B589" s="3" t="s">
        <v>189</v>
      </c>
      <c r="C589" s="3" t="s">
        <v>190</v>
      </c>
      <c r="D589" s="3" t="s">
        <v>1548</v>
      </c>
      <c r="E589" s="3" t="s">
        <v>1545</v>
      </c>
      <c r="F589" s="3" t="s">
        <v>1546</v>
      </c>
      <c r="G589" s="3" t="str">
        <f>IFERROR(__xludf.DUMMYFUNCTION("GOOGLETRANSLATE(D589,""fr"",""es"")"),"Chamaillais")</f>
        <v>Chamaillais</v>
      </c>
    </row>
    <row r="590">
      <c r="A590" s="3">
        <v>568.0</v>
      </c>
      <c r="B590" s="3" t="s">
        <v>189</v>
      </c>
      <c r="C590" s="3" t="s">
        <v>190</v>
      </c>
      <c r="D590" s="3" t="s">
        <v>1549</v>
      </c>
      <c r="E590" s="3" t="s">
        <v>1545</v>
      </c>
      <c r="F590" s="3" t="s">
        <v>1546</v>
      </c>
      <c r="G590" s="3" t="str">
        <f>IFERROR(__xludf.DUMMYFUNCTION("GOOGLETRANSLATE(D590,""fr"",""es"")"),"enloquecido")</f>
        <v>enloquecido</v>
      </c>
    </row>
    <row r="591">
      <c r="A591" s="3">
        <v>569.0</v>
      </c>
      <c r="B591" s="3" t="s">
        <v>189</v>
      </c>
      <c r="C591" s="3" t="s">
        <v>190</v>
      </c>
      <c r="D591" s="3" t="s">
        <v>1550</v>
      </c>
      <c r="E591" s="3" t="s">
        <v>1551</v>
      </c>
      <c r="F591" s="3" t="s">
        <v>1552</v>
      </c>
      <c r="G591" s="3" t="str">
        <f>IFERROR(__xludf.DUMMYFUNCTION("GOOGLETRANSLATE(D591,""fr"",""es"")"),"desvergonzado")</f>
        <v>desvergonzado</v>
      </c>
    </row>
    <row r="592">
      <c r="A592" s="3">
        <v>570.0</v>
      </c>
      <c r="B592" s="3" t="s">
        <v>189</v>
      </c>
      <c r="C592" s="3" t="s">
        <v>190</v>
      </c>
      <c r="D592" s="3" t="s">
        <v>1553</v>
      </c>
      <c r="E592" s="3" t="s">
        <v>1554</v>
      </c>
      <c r="F592" s="3" t="s">
        <v>1555</v>
      </c>
      <c r="G592" s="3" t="str">
        <f>IFERROR(__xludf.DUMMYFUNCTION("GOOGLETRANSLATE(D592,""fr"",""es"")"),"dimes y diretes")</f>
        <v>dimes y diretes</v>
      </c>
    </row>
    <row r="593">
      <c r="A593" s="3">
        <v>571.0</v>
      </c>
      <c r="B593" s="3" t="s">
        <v>189</v>
      </c>
      <c r="C593" s="3" t="s">
        <v>190</v>
      </c>
      <c r="D593" s="3" t="s">
        <v>1556</v>
      </c>
      <c r="E593" s="3" t="s">
        <v>1554</v>
      </c>
      <c r="F593" s="3" t="s">
        <v>1555</v>
      </c>
      <c r="G593" s="3" t="str">
        <f>IFERROR(__xludf.DUMMYFUNCTION("GOOGLETRANSLATE(D593,""fr"",""es"")"),"persiguiendo")</f>
        <v>persiguiendo</v>
      </c>
    </row>
    <row r="594">
      <c r="A594" s="3">
        <v>572.0</v>
      </c>
      <c r="B594" s="3" t="s">
        <v>189</v>
      </c>
      <c r="C594" s="3" t="s">
        <v>190</v>
      </c>
      <c r="D594" s="3" t="s">
        <v>1557</v>
      </c>
      <c r="E594" s="3" t="s">
        <v>1554</v>
      </c>
      <c r="F594" s="3" t="s">
        <v>1555</v>
      </c>
      <c r="G594" s="3" t="str">
        <f>IFERROR(__xludf.DUMMYFUNCTION("GOOGLETRANSLATE(D594,""fr"",""es"")"),"dimes y diretes")</f>
        <v>dimes y diretes</v>
      </c>
    </row>
    <row r="595">
      <c r="A595" s="3">
        <v>573.0</v>
      </c>
      <c r="B595" s="3" t="s">
        <v>189</v>
      </c>
      <c r="C595" s="3" t="s">
        <v>190</v>
      </c>
      <c r="D595" s="3" t="s">
        <v>1558</v>
      </c>
      <c r="E595" s="3" t="s">
        <v>1559</v>
      </c>
      <c r="F595" s="3" t="s">
        <v>1560</v>
      </c>
      <c r="G595" s="3" t="str">
        <f>IFERROR(__xludf.DUMMYFUNCTION("GOOGLETRANSLATE(D595,""fr"",""es"")"),"disputa")</f>
        <v>disputa</v>
      </c>
    </row>
    <row r="596">
      <c r="A596" s="3">
        <v>574.0</v>
      </c>
      <c r="B596" s="3" t="s">
        <v>189</v>
      </c>
      <c r="C596" s="3" t="s">
        <v>190</v>
      </c>
      <c r="D596" s="3" t="s">
        <v>1561</v>
      </c>
      <c r="E596" s="3" t="s">
        <v>1559</v>
      </c>
      <c r="F596" s="3" t="s">
        <v>1560</v>
      </c>
      <c r="G596" s="3" t="str">
        <f>IFERROR(__xludf.DUMMYFUNCTION("GOOGLETRANSLATE(D596,""fr"",""es"")"),"disputa")</f>
        <v>disputa</v>
      </c>
    </row>
    <row r="597">
      <c r="A597" s="3">
        <v>575.0</v>
      </c>
      <c r="B597" s="3" t="s">
        <v>189</v>
      </c>
      <c r="C597" s="3" t="s">
        <v>190</v>
      </c>
      <c r="D597" s="3" t="s">
        <v>1562</v>
      </c>
      <c r="E597" s="3" t="s">
        <v>1559</v>
      </c>
      <c r="F597" s="3" t="s">
        <v>1560</v>
      </c>
      <c r="G597" s="3" t="str">
        <f>IFERROR(__xludf.DUMMYFUNCTION("GOOGLETRANSLATE(D597,""fr"",""es"")"),"dimes y diretes")</f>
        <v>dimes y diretes</v>
      </c>
    </row>
    <row r="598">
      <c r="A598" s="3">
        <v>576.0</v>
      </c>
      <c r="B598" s="3" t="s">
        <v>189</v>
      </c>
      <c r="C598" s="3" t="s">
        <v>190</v>
      </c>
      <c r="D598" s="3" t="s">
        <v>1563</v>
      </c>
      <c r="E598" s="3" t="s">
        <v>1564</v>
      </c>
      <c r="F598" s="3" t="s">
        <v>1565</v>
      </c>
      <c r="G598" s="3" t="str">
        <f>IFERROR(__xludf.DUMMYFUNCTION("GOOGLETRANSLATE(D598,""fr"",""es"")"),"chamán")</f>
        <v>chamán</v>
      </c>
      <c r="H598" s="3" t="s">
        <v>1565</v>
      </c>
      <c r="I598" s="3" t="s">
        <v>1566</v>
      </c>
    </row>
    <row r="599">
      <c r="A599" s="3">
        <v>577.0</v>
      </c>
      <c r="B599" s="3" t="s">
        <v>189</v>
      </c>
      <c r="C599" s="3" t="s">
        <v>190</v>
      </c>
      <c r="D599" s="3" t="s">
        <v>1567</v>
      </c>
      <c r="E599" s="3" t="s">
        <v>1568</v>
      </c>
      <c r="F599" s="3" t="s">
        <v>1569</v>
      </c>
      <c r="G599" s="3" t="str">
        <f>IFERROR(__xludf.DUMMYFUNCTION("GOOGLETRANSLATE(D599,""fr"",""es"")"),"chamanismo")</f>
        <v>chamanismo</v>
      </c>
      <c r="H599" s="3" t="s">
        <v>1570</v>
      </c>
      <c r="I599" s="3" t="s">
        <v>1571</v>
      </c>
      <c r="J599" s="3" t="s">
        <v>1570</v>
      </c>
    </row>
    <row r="600">
      <c r="A600" s="3">
        <v>578.0</v>
      </c>
      <c r="B600" s="3" t="s">
        <v>189</v>
      </c>
      <c r="C600" s="3" t="s">
        <v>190</v>
      </c>
      <c r="D600" s="3" t="s">
        <v>1572</v>
      </c>
      <c r="E600" s="3" t="s">
        <v>1568</v>
      </c>
      <c r="F600" s="3" t="s">
        <v>1569</v>
      </c>
      <c r="G600" s="3" t="str">
        <f>IFERROR(__xludf.DUMMYFUNCTION("GOOGLETRANSLATE(D600,""fr"",""es"")"),"chamanismos")</f>
        <v>chamanismos</v>
      </c>
    </row>
    <row r="601">
      <c r="A601" s="3">
        <v>579.0</v>
      </c>
      <c r="B601" s="3" t="s">
        <v>189</v>
      </c>
      <c r="C601" s="3" t="s">
        <v>190</v>
      </c>
      <c r="D601" s="3" t="s">
        <v>1573</v>
      </c>
      <c r="E601" s="3" t="s">
        <v>1574</v>
      </c>
      <c r="F601" s="3" t="s">
        <v>1575</v>
      </c>
      <c r="G601" s="3" t="str">
        <f>IFERROR(__xludf.DUMMYFUNCTION("GOOGLETRANSLATE(D601,""fr"",""es"")"),"camello")</f>
        <v>camello</v>
      </c>
    </row>
    <row r="602">
      <c r="A602" s="3">
        <v>580.0</v>
      </c>
      <c r="B602" s="3" t="s">
        <v>189</v>
      </c>
      <c r="C602" s="3" t="s">
        <v>190</v>
      </c>
      <c r="D602" s="3" t="s">
        <v>1576</v>
      </c>
      <c r="E602" s="3" t="s">
        <v>1574</v>
      </c>
      <c r="F602" s="3" t="s">
        <v>1575</v>
      </c>
      <c r="G602" s="3" t="str">
        <f>IFERROR(__xludf.DUMMYFUNCTION("GOOGLETRANSLATE(D602,""fr"",""es"")"),"camellos")</f>
        <v>camellos</v>
      </c>
    </row>
    <row r="603">
      <c r="A603" s="3">
        <v>581.0</v>
      </c>
      <c r="B603" s="3" t="s">
        <v>189</v>
      </c>
      <c r="C603" s="3" t="s">
        <v>190</v>
      </c>
      <c r="D603" s="3" t="s">
        <v>1577</v>
      </c>
      <c r="E603" s="3" t="s">
        <v>1490</v>
      </c>
      <c r="F603" s="3" t="s">
        <v>1491</v>
      </c>
      <c r="G603" s="3" t="str">
        <f>IFERROR(__xludf.DUMMYFUNCTION("GOOGLETRANSLATE(D603,""fr"",""es"")"),"canal")</f>
        <v>canal</v>
      </c>
    </row>
    <row r="604">
      <c r="A604" s="3">
        <v>582.0</v>
      </c>
      <c r="B604" s="3" t="s">
        <v>189</v>
      </c>
      <c r="C604" s="3" t="s">
        <v>190</v>
      </c>
      <c r="D604" s="3" t="s">
        <v>1578</v>
      </c>
      <c r="E604" s="3" t="s">
        <v>1579</v>
      </c>
      <c r="F604" s="3" t="s">
        <v>1580</v>
      </c>
      <c r="G604" s="3" t="str">
        <f>IFERROR(__xludf.DUMMYFUNCTION("GOOGLETRANSLATE(D604,""fr"",""es"")"),"tornillo")</f>
        <v>tornillo</v>
      </c>
      <c r="H604" s="3" t="s">
        <v>1581</v>
      </c>
      <c r="I604" s="3" t="s">
        <v>1582</v>
      </c>
      <c r="J604" s="3" t="s">
        <v>1583</v>
      </c>
    </row>
    <row r="605">
      <c r="A605" s="3">
        <v>583.0</v>
      </c>
      <c r="B605" s="3" t="s">
        <v>189</v>
      </c>
      <c r="C605" s="3" t="s">
        <v>190</v>
      </c>
      <c r="D605" s="3" t="s">
        <v>1584</v>
      </c>
      <c r="E605" s="3" t="s">
        <v>1585</v>
      </c>
      <c r="F605" s="3" t="s">
        <v>1586</v>
      </c>
      <c r="G605" s="3" t="str">
        <f>IFERROR(__xludf.DUMMYFUNCTION("GOOGLETRANSLATE(D605,""fr"",""es"")"),"Capilla")</f>
        <v>Capilla</v>
      </c>
      <c r="H605" s="3" t="s">
        <v>1587</v>
      </c>
      <c r="I605" s="3" t="s">
        <v>1588</v>
      </c>
      <c r="J605" s="3" t="s">
        <v>1588</v>
      </c>
    </row>
    <row r="606">
      <c r="A606" s="3">
        <v>584.0</v>
      </c>
      <c r="B606" s="3" t="s">
        <v>189</v>
      </c>
      <c r="C606" s="3" t="s">
        <v>190</v>
      </c>
      <c r="D606" s="3" t="s">
        <v>1589</v>
      </c>
      <c r="E606" s="3" t="s">
        <v>1585</v>
      </c>
      <c r="F606" s="3" t="s">
        <v>1586</v>
      </c>
      <c r="G606" s="3" t="str">
        <f>IFERROR(__xludf.DUMMYFUNCTION("GOOGLETRANSLATE(D606,""fr"",""es"")"),"capilla")</f>
        <v>capilla</v>
      </c>
    </row>
    <row r="607">
      <c r="A607" s="3">
        <v>585.0</v>
      </c>
      <c r="B607" s="3" t="s">
        <v>189</v>
      </c>
      <c r="C607" s="3" t="s">
        <v>190</v>
      </c>
      <c r="D607" s="3" t="s">
        <v>1590</v>
      </c>
      <c r="E607" s="3" t="s">
        <v>1579</v>
      </c>
      <c r="F607" s="3" t="s">
        <v>1580</v>
      </c>
      <c r="G607" s="3" t="str">
        <f>IFERROR(__xludf.DUMMYFUNCTION("GOOGLETRANSLATE(D607,""fr"",""es"")"),"revestimiento")</f>
        <v>revestimiento</v>
      </c>
    </row>
    <row r="608">
      <c r="A608" s="3">
        <v>586.0</v>
      </c>
      <c r="B608" s="3" t="s">
        <v>189</v>
      </c>
      <c r="C608" s="3" t="s">
        <v>190</v>
      </c>
      <c r="D608" s="3" t="s">
        <v>1591</v>
      </c>
      <c r="E608" s="3" t="s">
        <v>1592</v>
      </c>
      <c r="F608" s="3" t="s">
        <v>1593</v>
      </c>
      <c r="G608" s="3" t="str">
        <f>IFERROR(__xludf.DUMMYFUNCTION("GOOGLETRANSLATE(D608,""fr"",""es"")"),"cada")</f>
        <v>cada</v>
      </c>
      <c r="H608" s="3" t="s">
        <v>1594</v>
      </c>
      <c r="I608" s="3" t="s">
        <v>1595</v>
      </c>
      <c r="J608" s="3" t="s">
        <v>1596</v>
      </c>
      <c r="K608" s="3" t="s">
        <v>1597</v>
      </c>
      <c r="L608" s="3" t="s">
        <v>1598</v>
      </c>
      <c r="M608" s="3" t="s">
        <v>1594</v>
      </c>
      <c r="N608" s="3" t="s">
        <v>1599</v>
      </c>
      <c r="O608" s="3" t="s">
        <v>1599</v>
      </c>
    </row>
    <row r="609">
      <c r="A609" s="3">
        <v>587.0</v>
      </c>
      <c r="B609" s="3" t="s">
        <v>189</v>
      </c>
      <c r="C609" s="3" t="s">
        <v>190</v>
      </c>
      <c r="D609" s="3" t="s">
        <v>1600</v>
      </c>
      <c r="E609" s="3" t="s">
        <v>1601</v>
      </c>
      <c r="F609" s="3" t="s">
        <v>1602</v>
      </c>
      <c r="G609" s="3" t="str">
        <f>IFERROR(__xludf.DUMMYFUNCTION("GOOGLETRANSLATE(D609,""fr"",""es"")"),"caza")</f>
        <v>caza</v>
      </c>
    </row>
    <row r="610">
      <c r="A610" s="3">
        <v>588.0</v>
      </c>
      <c r="B610" s="3" t="s">
        <v>189</v>
      </c>
      <c r="C610" s="3" t="s">
        <v>190</v>
      </c>
      <c r="D610" s="3" t="s">
        <v>1603</v>
      </c>
      <c r="E610" s="3" t="s">
        <v>1601</v>
      </c>
      <c r="F610" s="3" t="s">
        <v>1602</v>
      </c>
      <c r="G610" s="3" t="str">
        <f>IFERROR(__xludf.DUMMYFUNCTION("GOOGLETRANSLATE(D610,""fr"",""es"")"),"fueron perseguidos")</f>
        <v>fueron perseguidos</v>
      </c>
    </row>
    <row r="611">
      <c r="A611" s="3">
        <v>589.0</v>
      </c>
      <c r="B611" s="3" t="s">
        <v>189</v>
      </c>
      <c r="C611" s="3" t="s">
        <v>190</v>
      </c>
      <c r="D611" s="3" t="s">
        <v>1604</v>
      </c>
      <c r="E611" s="3" t="s">
        <v>1601</v>
      </c>
      <c r="F611" s="3" t="s">
        <v>1602</v>
      </c>
      <c r="G611" s="3" t="str">
        <f>IFERROR(__xludf.DUMMYFUNCTION("GOOGLETRANSLATE(D611,""fr"",""es"")"),"caza")</f>
        <v>caza</v>
      </c>
    </row>
    <row r="612">
      <c r="A612" s="3">
        <v>590.0</v>
      </c>
      <c r="B612" s="3" t="s">
        <v>189</v>
      </c>
      <c r="C612" s="3" t="s">
        <v>190</v>
      </c>
      <c r="D612" s="3" t="s">
        <v>1605</v>
      </c>
      <c r="E612" s="3" t="s">
        <v>1601</v>
      </c>
      <c r="F612" s="3" t="s">
        <v>1602</v>
      </c>
      <c r="G612" s="3" t="str">
        <f>IFERROR(__xludf.DUMMYFUNCTION("GOOGLETRANSLATE(D612,""fr"",""es"")"),"cazado")</f>
        <v>cazado</v>
      </c>
    </row>
    <row r="613">
      <c r="A613" s="3">
        <v>591.0</v>
      </c>
      <c r="B613" s="3" t="s">
        <v>189</v>
      </c>
      <c r="C613" s="3" t="s">
        <v>190</v>
      </c>
      <c r="D613" s="3" t="s">
        <v>1606</v>
      </c>
      <c r="E613" s="3" t="s">
        <v>1607</v>
      </c>
      <c r="F613" s="3" t="s">
        <v>1608</v>
      </c>
      <c r="G613" s="3" t="str">
        <f>IFERROR(__xludf.DUMMYFUNCTION("GOOGLETRANSLATE(D613,""fr"",""es"")"),"chassâme")</f>
        <v>chassâme</v>
      </c>
    </row>
    <row r="614">
      <c r="A614" s="3">
        <v>592.0</v>
      </c>
      <c r="B614" s="3" t="s">
        <v>189</v>
      </c>
      <c r="C614" s="3" t="s">
        <v>190</v>
      </c>
      <c r="D614" s="3" t="s">
        <v>1609</v>
      </c>
      <c r="E614" s="3" t="s">
        <v>1610</v>
      </c>
      <c r="F614" s="3" t="s">
        <v>1611</v>
      </c>
      <c r="G614" s="3" t="str">
        <f>IFERROR(__xludf.DUMMYFUNCTION("GOOGLETRANSLATE(D614,""fr"",""es"")"),"dumping")</f>
        <v>dumping</v>
      </c>
    </row>
    <row r="615">
      <c r="A615" s="3">
        <v>593.0</v>
      </c>
      <c r="B615" s="3" t="s">
        <v>189</v>
      </c>
      <c r="C615" s="3" t="s">
        <v>190</v>
      </c>
      <c r="D615" s="3" t="s">
        <v>1612</v>
      </c>
      <c r="E615" s="3" t="s">
        <v>1610</v>
      </c>
      <c r="F615" s="3" t="s">
        <v>1611</v>
      </c>
      <c r="G615" s="3" t="str">
        <f>IFERROR(__xludf.DUMMYFUNCTION("GOOGLETRANSLATE(D615,""fr"",""es"")"),"ocultar")</f>
        <v>ocultar</v>
      </c>
    </row>
    <row r="616">
      <c r="A616" s="3">
        <v>594.0</v>
      </c>
      <c r="B616" s="3" t="s">
        <v>189</v>
      </c>
      <c r="C616" s="3" t="s">
        <v>190</v>
      </c>
      <c r="D616" s="3" t="s">
        <v>1613</v>
      </c>
      <c r="E616" s="3" t="s">
        <v>1610</v>
      </c>
      <c r="F616" s="3" t="s">
        <v>1611</v>
      </c>
      <c r="G616" s="3" t="str">
        <f>IFERROR(__xludf.DUMMYFUNCTION("GOOGLETRANSLATE(D616,""fr"",""es"")"),"dumping")</f>
        <v>dumping</v>
      </c>
    </row>
    <row r="617">
      <c r="A617" s="3">
        <v>595.0</v>
      </c>
      <c r="B617" s="3" t="s">
        <v>189</v>
      </c>
      <c r="C617" s="3" t="s">
        <v>190</v>
      </c>
      <c r="D617" s="3" t="s">
        <v>1614</v>
      </c>
      <c r="E617" s="3" t="s">
        <v>1615</v>
      </c>
      <c r="F617" s="3" t="s">
        <v>1616</v>
      </c>
      <c r="G617" s="3" t="str">
        <f>IFERROR(__xludf.DUMMYFUNCTION("GOOGLETRANSLATE(D617,""fr"",""es"")"),"caza")</f>
        <v>caza</v>
      </c>
      <c r="H617" s="3" t="s">
        <v>1617</v>
      </c>
      <c r="I617" s="3" t="s">
        <v>1618</v>
      </c>
      <c r="J617" s="3" t="s">
        <v>1617</v>
      </c>
      <c r="K617" s="3" t="s">
        <v>1618</v>
      </c>
      <c r="L617" s="3" t="s">
        <v>1619</v>
      </c>
      <c r="M617" s="3" t="s">
        <v>1617</v>
      </c>
      <c r="N617" s="3" t="s">
        <v>1618</v>
      </c>
      <c r="O617" s="3" t="s">
        <v>1620</v>
      </c>
      <c r="P617" s="3" t="s">
        <v>1617</v>
      </c>
      <c r="Q617" s="3" t="s">
        <v>1621</v>
      </c>
      <c r="R617" s="3" t="s">
        <v>1622</v>
      </c>
      <c r="S617" s="3" t="s">
        <v>1623</v>
      </c>
      <c r="T617" s="3" t="s">
        <v>1617</v>
      </c>
      <c r="U617" s="3" t="s">
        <v>1617</v>
      </c>
      <c r="V617" s="3" t="s">
        <v>265</v>
      </c>
      <c r="W617" s="3" t="s">
        <v>1617</v>
      </c>
      <c r="X617" s="3" t="s">
        <v>1624</v>
      </c>
      <c r="Y617" s="3" t="s">
        <v>1617</v>
      </c>
      <c r="Z617" s="3" t="s">
        <v>1617</v>
      </c>
      <c r="AA617" s="3" t="s">
        <v>1617</v>
      </c>
      <c r="AB617" s="3" t="s">
        <v>1617</v>
      </c>
      <c r="AC617" s="3" t="s">
        <v>1625</v>
      </c>
      <c r="AD617" s="3" t="s">
        <v>1626</v>
      </c>
    </row>
    <row r="618">
      <c r="A618" s="3">
        <v>596.0</v>
      </c>
      <c r="B618" s="3" t="s">
        <v>189</v>
      </c>
      <c r="C618" s="3" t="s">
        <v>190</v>
      </c>
      <c r="D618" s="3" t="s">
        <v>1627</v>
      </c>
      <c r="E618" s="3" t="s">
        <v>1615</v>
      </c>
      <c r="F618" s="3" t="s">
        <v>1616</v>
      </c>
      <c r="G618" s="3" t="str">
        <f>IFERROR(__xludf.DUMMYFUNCTION("GOOGLETRANSLATE(D618,""fr"",""es"")"),"caza")</f>
        <v>caza</v>
      </c>
    </row>
    <row r="619">
      <c r="A619" s="3">
        <v>597.0</v>
      </c>
      <c r="B619" s="3" t="s">
        <v>189</v>
      </c>
      <c r="C619" s="3" t="s">
        <v>190</v>
      </c>
      <c r="D619" s="3" t="s">
        <v>1628</v>
      </c>
      <c r="E619" s="3" t="s">
        <v>1615</v>
      </c>
      <c r="F619" s="3" t="s">
        <v>1616</v>
      </c>
      <c r="G619" s="3" t="str">
        <f>IFERROR(__xludf.DUMMYFUNCTION("GOOGLETRANSLATE(D619,""fr"",""es"")"),"caza")</f>
        <v>caza</v>
      </c>
    </row>
    <row r="620">
      <c r="A620" s="3">
        <v>598.0</v>
      </c>
      <c r="B620" s="3" t="s">
        <v>189</v>
      </c>
      <c r="C620" s="3" t="s">
        <v>190</v>
      </c>
      <c r="D620" s="3" t="s">
        <v>1629</v>
      </c>
      <c r="E620" s="3" t="s">
        <v>1615</v>
      </c>
      <c r="F620" s="3" t="s">
        <v>1616</v>
      </c>
      <c r="G620" s="3" t="str">
        <f>IFERROR(__xludf.DUMMYFUNCTION("GOOGLETRANSLATE(D620,""fr"",""es"")"),"caza")</f>
        <v>caza</v>
      </c>
    </row>
    <row r="621">
      <c r="A621" s="3">
        <v>599.0</v>
      </c>
      <c r="B621" s="3" t="s">
        <v>189</v>
      </c>
      <c r="C621" s="3" t="s">
        <v>190</v>
      </c>
      <c r="D621" s="3" t="s">
        <v>1630</v>
      </c>
      <c r="E621" s="3" t="s">
        <v>1615</v>
      </c>
      <c r="F621" s="3" t="s">
        <v>1616</v>
      </c>
      <c r="G621" s="3" t="str">
        <f>IFERROR(__xludf.DUMMYFUNCTION("GOOGLETRANSLATE(D621,""fr"",""es"")"),"señales")</f>
        <v>señales</v>
      </c>
    </row>
    <row r="622">
      <c r="A622" s="3">
        <v>600.0</v>
      </c>
      <c r="B622" s="3" t="s">
        <v>189</v>
      </c>
      <c r="C622" s="3" t="s">
        <v>190</v>
      </c>
      <c r="D622" s="3" t="s">
        <v>1631</v>
      </c>
      <c r="E622" s="3" t="s">
        <v>1632</v>
      </c>
      <c r="F622" s="3" t="s">
        <v>1633</v>
      </c>
      <c r="G622" s="3" t="str">
        <f>IFERROR(__xludf.DUMMYFUNCTION("GOOGLETRANSLATE(D622,""fr"",""es"")"),"cuadro")</f>
        <v>cuadro</v>
      </c>
      <c r="H622" s="3" t="s">
        <v>1634</v>
      </c>
      <c r="I622" s="3" t="s">
        <v>1635</v>
      </c>
    </row>
    <row r="623">
      <c r="A623" s="3">
        <v>601.0</v>
      </c>
      <c r="B623" s="3" t="s">
        <v>189</v>
      </c>
      <c r="C623" s="3" t="s">
        <v>190</v>
      </c>
      <c r="D623" s="3" t="s">
        <v>1636</v>
      </c>
      <c r="E623" s="3" t="s">
        <v>1615</v>
      </c>
      <c r="F623" s="3" t="s">
        <v>1616</v>
      </c>
      <c r="G623" s="3" t="str">
        <f>IFERROR(__xludf.DUMMYFUNCTION("GOOGLETRANSLATE(D623,""fr"",""es"")"),"casto")</f>
        <v>casto</v>
      </c>
      <c r="H623" s="3" t="s">
        <v>1636</v>
      </c>
      <c r="I623" s="3" t="s">
        <v>1636</v>
      </c>
      <c r="J623" s="3" t="s">
        <v>1636</v>
      </c>
    </row>
    <row r="624">
      <c r="A624" s="3">
        <v>602.0</v>
      </c>
      <c r="B624" s="3" t="s">
        <v>189</v>
      </c>
      <c r="C624" s="3" t="s">
        <v>190</v>
      </c>
      <c r="D624" s="3" t="s">
        <v>1637</v>
      </c>
      <c r="E624" s="3" t="s">
        <v>1615</v>
      </c>
      <c r="F624" s="3" t="s">
        <v>1616</v>
      </c>
      <c r="G624" s="3" t="str">
        <f>IFERROR(__xludf.DUMMYFUNCTION("GOOGLETRANSLATE(D624,""fr"",""es"")"),"cascas")</f>
        <v>cascas</v>
      </c>
    </row>
    <row r="625">
      <c r="A625" s="3">
        <v>603.0</v>
      </c>
      <c r="B625" s="3" t="s">
        <v>189</v>
      </c>
      <c r="C625" s="3" t="s">
        <v>190</v>
      </c>
      <c r="D625" s="3" t="s">
        <v>1638</v>
      </c>
      <c r="E625" s="3" t="s">
        <v>1639</v>
      </c>
      <c r="F625" s="3" t="s">
        <v>1640</v>
      </c>
      <c r="G625" s="3" t="str">
        <f>IFERROR(__xludf.DUMMYFUNCTION("GOOGLETRANSLATE(D625,""fr"",""es"")"),"castaña")</f>
        <v>castaña</v>
      </c>
      <c r="H625" s="3" t="s">
        <v>1641</v>
      </c>
      <c r="I625" s="3" t="s">
        <v>1641</v>
      </c>
      <c r="J625" s="3" t="s">
        <v>1641</v>
      </c>
      <c r="K625" s="3" t="s">
        <v>1641</v>
      </c>
      <c r="L625" s="3" t="s">
        <v>1641</v>
      </c>
      <c r="M625" s="3" t="s">
        <v>1642</v>
      </c>
      <c r="N625" s="3" t="s">
        <v>1641</v>
      </c>
      <c r="O625" s="3" t="s">
        <v>1643</v>
      </c>
      <c r="P625" s="3" t="s">
        <v>1644</v>
      </c>
      <c r="Q625" s="3" t="s">
        <v>1645</v>
      </c>
      <c r="R625" s="3" t="s">
        <v>1646</v>
      </c>
    </row>
    <row r="626">
      <c r="A626" s="3">
        <v>604.0</v>
      </c>
      <c r="B626" s="3" t="s">
        <v>189</v>
      </c>
      <c r="C626" s="3" t="s">
        <v>190</v>
      </c>
      <c r="D626" s="3" t="s">
        <v>1647</v>
      </c>
      <c r="E626" s="3" t="s">
        <v>1639</v>
      </c>
      <c r="F626" s="3" t="s">
        <v>1640</v>
      </c>
      <c r="G626" s="3" t="str">
        <f>IFERROR(__xludf.DUMMYFUNCTION("GOOGLETRANSLATE(D626,""fr"",""es"")"),"castañas")</f>
        <v>castañas</v>
      </c>
    </row>
    <row r="627">
      <c r="A627" s="3">
        <v>605.0</v>
      </c>
      <c r="B627" s="3" t="s">
        <v>189</v>
      </c>
      <c r="C627" s="3" t="s">
        <v>190</v>
      </c>
      <c r="D627" s="3" t="s">
        <v>1648</v>
      </c>
      <c r="E627" s="3" t="s">
        <v>1649</v>
      </c>
      <c r="F627" s="3" t="s">
        <v>1650</v>
      </c>
      <c r="G627" s="3" t="str">
        <f>IFERROR(__xludf.DUMMYFUNCTION("GOOGLETRANSLATE(D627,""fr"",""es"")"),"cosquillas")</f>
        <v>cosquillas</v>
      </c>
    </row>
    <row r="628">
      <c r="A628" s="3">
        <v>606.0</v>
      </c>
      <c r="B628" s="3" t="s">
        <v>189</v>
      </c>
      <c r="C628" s="3" t="s">
        <v>190</v>
      </c>
      <c r="D628" s="3" t="s">
        <v>1651</v>
      </c>
      <c r="E628" s="3" t="s">
        <v>1649</v>
      </c>
      <c r="F628" s="3" t="s">
        <v>1650</v>
      </c>
      <c r="G628" s="3" t="str">
        <f>IFERROR(__xludf.DUMMYFUNCTION("GOOGLETRANSLATE(D628,""fr"",""es"")"),"cosquillas")</f>
        <v>cosquillas</v>
      </c>
    </row>
    <row r="629">
      <c r="A629" s="3">
        <v>607.0</v>
      </c>
      <c r="B629" s="3" t="s">
        <v>189</v>
      </c>
      <c r="C629" s="3" t="s">
        <v>190</v>
      </c>
      <c r="D629" s="3" t="s">
        <v>1652</v>
      </c>
      <c r="E629" s="3" t="s">
        <v>1649</v>
      </c>
      <c r="F629" s="3" t="s">
        <v>1650</v>
      </c>
      <c r="G629" s="3" t="str">
        <f>IFERROR(__xludf.DUMMYFUNCTION("GOOGLETRANSLATE(D629,""fr"",""es"")"),"cosquillas")</f>
        <v>cosquillas</v>
      </c>
    </row>
    <row r="630">
      <c r="A630" s="3">
        <v>608.0</v>
      </c>
      <c r="B630" s="3" t="s">
        <v>189</v>
      </c>
      <c r="C630" s="3" t="s">
        <v>190</v>
      </c>
      <c r="D630" s="3" t="s">
        <v>1653</v>
      </c>
      <c r="E630" s="3" t="s">
        <v>1649</v>
      </c>
      <c r="F630" s="3" t="s">
        <v>1650</v>
      </c>
      <c r="G630" s="3" t="str">
        <f>IFERROR(__xludf.DUMMYFUNCTION("GOOGLETRANSLATE(D630,""fr"",""es"")"),"cosquillas")</f>
        <v>cosquillas</v>
      </c>
    </row>
    <row r="631">
      <c r="A631" s="3">
        <v>609.0</v>
      </c>
      <c r="B631" s="3" t="s">
        <v>189</v>
      </c>
      <c r="C631" s="3" t="s">
        <v>190</v>
      </c>
      <c r="D631" s="3" t="s">
        <v>1654</v>
      </c>
      <c r="E631" s="3" t="s">
        <v>1655</v>
      </c>
      <c r="F631" s="3" t="s">
        <v>1656</v>
      </c>
      <c r="G631" s="3" t="str">
        <f>IFERROR(__xludf.DUMMYFUNCTION("GOOGLETRANSLATE(D631,""fr"",""es"")"),"cosquillas")</f>
        <v>cosquillas</v>
      </c>
    </row>
    <row r="632">
      <c r="A632" s="3">
        <v>610.0</v>
      </c>
      <c r="B632" s="3" t="s">
        <v>189</v>
      </c>
      <c r="C632" s="3" t="s">
        <v>190</v>
      </c>
      <c r="D632" s="3" t="s">
        <v>1657</v>
      </c>
      <c r="E632" s="3" t="s">
        <v>1658</v>
      </c>
      <c r="F632" s="3" t="s">
        <v>1659</v>
      </c>
      <c r="G632" s="3" t="str">
        <f>IFERROR(__xludf.DUMMYFUNCTION("GOOGLETRANSLATE(D632,""fr"",""es"")"),"cosquillas")</f>
        <v>cosquillas</v>
      </c>
    </row>
    <row r="633">
      <c r="A633" s="3">
        <v>611.0</v>
      </c>
      <c r="B633" s="3" t="s">
        <v>189</v>
      </c>
      <c r="C633" s="3" t="s">
        <v>190</v>
      </c>
      <c r="D633" s="3" t="s">
        <v>1660</v>
      </c>
      <c r="E633" s="3" t="s">
        <v>1658</v>
      </c>
      <c r="F633" s="3" t="s">
        <v>1659</v>
      </c>
      <c r="G633" s="3" t="str">
        <f>IFERROR(__xludf.DUMMYFUNCTION("GOOGLETRANSLATE(D633,""fr"",""es"")"),"cosquillas")</f>
        <v>cosquillas</v>
      </c>
    </row>
    <row r="634">
      <c r="A634" s="3">
        <v>612.0</v>
      </c>
      <c r="B634" s="3" t="s">
        <v>189</v>
      </c>
      <c r="C634" s="3" t="s">
        <v>190</v>
      </c>
      <c r="D634" s="3" t="s">
        <v>1661</v>
      </c>
      <c r="E634" s="3" t="s">
        <v>1658</v>
      </c>
      <c r="F634" s="3" t="s">
        <v>1659</v>
      </c>
      <c r="G634" s="3" t="str">
        <f>IFERROR(__xludf.DUMMYFUNCTION("GOOGLETRANSLATE(D634,""fr"",""es"")"),"cosquillas")</f>
        <v>cosquillas</v>
      </c>
    </row>
    <row r="635">
      <c r="A635" s="3">
        <v>613.0</v>
      </c>
      <c r="B635" s="3" t="s">
        <v>189</v>
      </c>
      <c r="C635" s="3" t="s">
        <v>190</v>
      </c>
      <c r="D635" s="3" t="s">
        <v>1662</v>
      </c>
      <c r="E635" s="3" t="s">
        <v>1663</v>
      </c>
      <c r="F635" s="3" t="s">
        <v>1664</v>
      </c>
      <c r="G635" s="3" t="str">
        <f>IFERROR(__xludf.DUMMYFUNCTION("GOOGLETRANSLATE(D635,""fr"",""es"")"),"cosquillas")</f>
        <v>cosquillas</v>
      </c>
    </row>
    <row r="636">
      <c r="A636" s="3">
        <v>614.0</v>
      </c>
      <c r="B636" s="3" t="s">
        <v>189</v>
      </c>
      <c r="C636" s="3" t="s">
        <v>190</v>
      </c>
      <c r="D636" s="3" t="s">
        <v>1665</v>
      </c>
      <c r="E636" s="3" t="s">
        <v>1663</v>
      </c>
      <c r="F636" s="3" t="s">
        <v>1664</v>
      </c>
      <c r="G636" s="3" t="str">
        <f>IFERROR(__xludf.DUMMYFUNCTION("GOOGLETRANSLATE(D636,""fr"",""es"")"),"cosquillas")</f>
        <v>cosquillas</v>
      </c>
    </row>
    <row r="637">
      <c r="A637" s="3">
        <v>615.0</v>
      </c>
      <c r="B637" s="3" t="s">
        <v>189</v>
      </c>
      <c r="C637" s="3" t="s">
        <v>190</v>
      </c>
      <c r="D637" s="3" t="s">
        <v>1666</v>
      </c>
      <c r="E637" s="3" t="s">
        <v>1663</v>
      </c>
      <c r="F637" s="3" t="s">
        <v>1664</v>
      </c>
      <c r="G637" s="3" t="str">
        <f>IFERROR(__xludf.DUMMYFUNCTION("GOOGLETRANSLATE(D637,""fr"",""es"")"),"cosquillas")</f>
        <v>cosquillas</v>
      </c>
    </row>
    <row r="638">
      <c r="A638" s="3">
        <v>616.0</v>
      </c>
      <c r="B638" s="3" t="s">
        <v>189</v>
      </c>
      <c r="C638" s="3" t="s">
        <v>190</v>
      </c>
      <c r="D638" s="3" t="s">
        <v>1667</v>
      </c>
      <c r="E638" s="3" t="s">
        <v>1668</v>
      </c>
      <c r="F638" s="3" t="s">
        <v>1669</v>
      </c>
      <c r="G638" s="3" t="str">
        <f>IFERROR(__xludf.DUMMYFUNCTION("GOOGLETRANSLATE(D638,""fr"",""es"")"),"cosquillas")</f>
        <v>cosquillas</v>
      </c>
    </row>
    <row r="639">
      <c r="A639" s="3">
        <v>617.0</v>
      </c>
      <c r="B639" s="3" t="s">
        <v>189</v>
      </c>
      <c r="C639" s="3" t="s">
        <v>190</v>
      </c>
      <c r="D639" s="3" t="s">
        <v>1670</v>
      </c>
      <c r="E639" s="3" t="s">
        <v>1671</v>
      </c>
      <c r="F639" s="3" t="s">
        <v>1672</v>
      </c>
      <c r="G639" s="3" t="str">
        <f>IFERROR(__xludf.DUMMYFUNCTION("GOOGLETRANSLATE(D639,""fr"",""es"")"),"queso")</f>
        <v>queso</v>
      </c>
    </row>
    <row r="640">
      <c r="A640" s="3">
        <v>618.0</v>
      </c>
      <c r="B640" s="3" t="s">
        <v>189</v>
      </c>
      <c r="C640" s="3" t="s">
        <v>190</v>
      </c>
      <c r="D640" s="3" t="s">
        <v>1673</v>
      </c>
      <c r="E640" s="3" t="s">
        <v>1671</v>
      </c>
      <c r="F640" s="3" t="s">
        <v>1672</v>
      </c>
      <c r="G640" s="3" t="str">
        <f>IFERROR(__xludf.DUMMYFUNCTION("GOOGLETRANSLATE(D640,""fr"",""es"")"),"masticar")</f>
        <v>masticar</v>
      </c>
    </row>
    <row r="641">
      <c r="A641" s="3">
        <v>619.0</v>
      </c>
      <c r="B641" s="3" t="s">
        <v>189</v>
      </c>
      <c r="C641" s="3" t="s">
        <v>190</v>
      </c>
      <c r="D641" s="3" t="s">
        <v>1674</v>
      </c>
      <c r="E641" s="3" t="s">
        <v>1592</v>
      </c>
      <c r="F641" s="3" t="s">
        <v>1593</v>
      </c>
      <c r="G641" s="3" t="str">
        <f>IFERROR(__xludf.DUMMYFUNCTION("GOOGLETRANSLATE(D641,""fr"",""es"")"),"jeque")</f>
        <v>jeque</v>
      </c>
    </row>
    <row r="642">
      <c r="A642" s="3">
        <v>620.0</v>
      </c>
      <c r="B642" s="3" t="s">
        <v>189</v>
      </c>
      <c r="C642" s="3" t="s">
        <v>190</v>
      </c>
      <c r="D642" s="3" t="s">
        <v>1675</v>
      </c>
      <c r="E642" s="3" t="s">
        <v>1592</v>
      </c>
      <c r="F642" s="3" t="s">
        <v>1593</v>
      </c>
      <c r="G642" s="3" t="str">
        <f>IFERROR(__xludf.DUMMYFUNCTION("GOOGLETRANSLATE(D642,""fr"",""es"")"),"Cheiks")</f>
        <v>Cheiks</v>
      </c>
    </row>
    <row r="643">
      <c r="A643" s="3">
        <v>621.0</v>
      </c>
      <c r="B643" s="3" t="s">
        <v>189</v>
      </c>
      <c r="C643" s="3" t="s">
        <v>190</v>
      </c>
      <c r="D643" s="3" t="s">
        <v>1676</v>
      </c>
      <c r="E643" s="3" t="s">
        <v>1490</v>
      </c>
      <c r="F643" s="3" t="s">
        <v>1491</v>
      </c>
      <c r="G643" s="3" t="str">
        <f>IFERROR(__xludf.DUMMYFUNCTION("GOOGLETRANSLATE(D643,""fr"",""es"")"),"Roble")</f>
        <v>Roble</v>
      </c>
      <c r="H643" s="3" t="s">
        <v>1677</v>
      </c>
      <c r="I643" s="3" t="s">
        <v>1678</v>
      </c>
      <c r="J643" s="3" t="s">
        <v>1679</v>
      </c>
      <c r="K643" s="3" t="s">
        <v>1680</v>
      </c>
      <c r="L643" s="3" t="s">
        <v>1679</v>
      </c>
      <c r="M643" s="3" t="s">
        <v>1681</v>
      </c>
      <c r="N643" s="3" t="s">
        <v>1682</v>
      </c>
    </row>
    <row r="644">
      <c r="A644" s="3">
        <v>622.0</v>
      </c>
      <c r="B644" s="3" t="s">
        <v>189</v>
      </c>
      <c r="C644" s="3" t="s">
        <v>190</v>
      </c>
      <c r="D644" s="3" t="s">
        <v>1683</v>
      </c>
      <c r="E644" s="3" t="s">
        <v>1490</v>
      </c>
      <c r="F644" s="3" t="s">
        <v>1491</v>
      </c>
      <c r="G644" s="3" t="str">
        <f>IFERROR(__xludf.DUMMYFUNCTION("GOOGLETRANSLATE(D644,""fr"",""es"")"),"Robles")</f>
        <v>Robles</v>
      </c>
    </row>
    <row r="645">
      <c r="A645" s="3">
        <v>623.0</v>
      </c>
      <c r="B645" s="3" t="s">
        <v>189</v>
      </c>
      <c r="C645" s="3" t="s">
        <v>190</v>
      </c>
      <c r="D645" s="3" t="s">
        <v>1684</v>
      </c>
      <c r="E645" s="3" t="s">
        <v>1592</v>
      </c>
      <c r="F645" s="3" t="s">
        <v>1593</v>
      </c>
      <c r="G645" s="3" t="str">
        <f>IFERROR(__xludf.DUMMYFUNCTION("GOOGLETRANSLATE(D645,""fr"",""es"")"),"controlar")</f>
        <v>controlar</v>
      </c>
      <c r="H645" s="3" t="s">
        <v>1685</v>
      </c>
      <c r="I645" s="3" t="s">
        <v>1686</v>
      </c>
      <c r="J645" s="3" t="s">
        <v>1687</v>
      </c>
      <c r="K645" s="3" t="s">
        <v>1688</v>
      </c>
      <c r="L645" s="3" t="s">
        <v>1689</v>
      </c>
      <c r="M645" s="3" t="s">
        <v>1685</v>
      </c>
    </row>
    <row r="646">
      <c r="A646" s="3">
        <v>624.0</v>
      </c>
      <c r="B646" s="3" t="s">
        <v>189</v>
      </c>
      <c r="C646" s="3" t="s">
        <v>190</v>
      </c>
      <c r="D646" s="3" t="s">
        <v>1690</v>
      </c>
      <c r="E646" s="3" t="s">
        <v>1592</v>
      </c>
      <c r="F646" s="3" t="s">
        <v>1593</v>
      </c>
      <c r="G646" s="3" t="str">
        <f>IFERROR(__xludf.DUMMYFUNCTION("GOOGLETRANSLATE(D646,""fr"",""es"")"),"cheques")</f>
        <v>cheques</v>
      </c>
    </row>
    <row r="647">
      <c r="A647" s="3">
        <v>625.0</v>
      </c>
      <c r="B647" s="3" t="s">
        <v>189</v>
      </c>
      <c r="C647" s="3" t="s">
        <v>190</v>
      </c>
      <c r="D647" s="3" t="s">
        <v>1691</v>
      </c>
      <c r="E647" s="3" t="s">
        <v>1692</v>
      </c>
      <c r="F647" s="3" t="s">
        <v>1693</v>
      </c>
      <c r="G647" s="3" t="str">
        <f>IFERROR(__xludf.DUMMYFUNCTION("GOOGLETRANSLATE(D647,""fr"",""es"")"),"elegante")</f>
        <v>elegante</v>
      </c>
      <c r="H647" s="3" t="s">
        <v>1691</v>
      </c>
      <c r="I647" s="3" t="s">
        <v>1694</v>
      </c>
      <c r="J647" s="3" t="s">
        <v>1695</v>
      </c>
      <c r="K647" s="3" t="s">
        <v>1696</v>
      </c>
      <c r="L647" s="3" t="s">
        <v>1697</v>
      </c>
      <c r="M647" s="3" t="s">
        <v>1698</v>
      </c>
      <c r="N647" s="3" t="s">
        <v>1691</v>
      </c>
      <c r="O647" s="3" t="s">
        <v>1699</v>
      </c>
      <c r="P647" s="3" t="s">
        <v>1700</v>
      </c>
      <c r="Q647" s="3" t="s">
        <v>1701</v>
      </c>
      <c r="R647" s="3" t="s">
        <v>1702</v>
      </c>
      <c r="S647" s="3" t="s">
        <v>1703</v>
      </c>
      <c r="T647" s="3" t="s">
        <v>1704</v>
      </c>
      <c r="U647" s="3" t="s">
        <v>1705</v>
      </c>
    </row>
    <row r="648">
      <c r="A648" s="3">
        <v>626.0</v>
      </c>
      <c r="B648" s="3" t="s">
        <v>189</v>
      </c>
      <c r="C648" s="3" t="s">
        <v>190</v>
      </c>
      <c r="D648" s="3" t="s">
        <v>1706</v>
      </c>
      <c r="E648" s="3" t="s">
        <v>1707</v>
      </c>
      <c r="F648" s="3" t="s">
        <v>1708</v>
      </c>
      <c r="G648" s="3" t="str">
        <f>IFERROR(__xludf.DUMMYFUNCTION("GOOGLETRANSLATE(D648,""fr"",""es"")"),"chicanai")</f>
        <v>chicanai</v>
      </c>
    </row>
    <row r="649">
      <c r="A649" s="3">
        <v>627.0</v>
      </c>
      <c r="B649" s="3" t="s">
        <v>189</v>
      </c>
      <c r="C649" s="3" t="s">
        <v>190</v>
      </c>
      <c r="D649" s="3" t="s">
        <v>1709</v>
      </c>
      <c r="E649" s="3" t="s">
        <v>1707</v>
      </c>
      <c r="F649" s="3" t="s">
        <v>1708</v>
      </c>
      <c r="G649" s="3" t="str">
        <f>IFERROR(__xludf.DUMMYFUNCTION("GOOGLETRANSLATE(D649,""fr"",""es"")"),"Disparo")</f>
        <v>Disparo</v>
      </c>
    </row>
    <row r="650">
      <c r="A650" s="3">
        <v>628.0</v>
      </c>
      <c r="B650" s="3" t="s">
        <v>189</v>
      </c>
      <c r="C650" s="3" t="s">
        <v>190</v>
      </c>
      <c r="D650" s="3" t="s">
        <v>1710</v>
      </c>
      <c r="E650" s="3" t="s">
        <v>1707</v>
      </c>
      <c r="F650" s="3" t="s">
        <v>1708</v>
      </c>
      <c r="G650" s="3" t="str">
        <f>IFERROR(__xludf.DUMMYFUNCTION("GOOGLETRANSLATE(D650,""fr"",""es"")"),"Chicanés")</f>
        <v>Chicanés</v>
      </c>
    </row>
    <row r="651">
      <c r="A651" s="3">
        <v>629.0</v>
      </c>
      <c r="B651" s="3" t="s">
        <v>189</v>
      </c>
      <c r="C651" s="3" t="s">
        <v>190</v>
      </c>
      <c r="D651" s="3" t="s">
        <v>1711</v>
      </c>
      <c r="E651" s="3" t="s">
        <v>1707</v>
      </c>
      <c r="F651" s="3" t="s">
        <v>1708</v>
      </c>
      <c r="G651" s="3" t="str">
        <f>IFERROR(__xludf.DUMMYFUNCTION("GOOGLETRANSLATE(D651,""fr"",""es"")"),"chicais")</f>
        <v>chicais</v>
      </c>
    </row>
    <row r="652">
      <c r="A652" s="3">
        <v>630.0</v>
      </c>
      <c r="B652" s="3" t="s">
        <v>189</v>
      </c>
      <c r="C652" s="3" t="s">
        <v>190</v>
      </c>
      <c r="D652" s="3" t="s">
        <v>1712</v>
      </c>
      <c r="E652" s="3" t="s">
        <v>1713</v>
      </c>
      <c r="F652" s="3" t="s">
        <v>1714</v>
      </c>
      <c r="G652" s="3" t="str">
        <f>IFERROR(__xludf.DUMMYFUNCTION("GOOGLETRANSLATE(D652,""fr"",""es"")"),"chicanâmes")</f>
        <v>chicanâmes</v>
      </c>
    </row>
    <row r="653">
      <c r="A653" s="3">
        <v>631.0</v>
      </c>
      <c r="B653" s="3" t="s">
        <v>189</v>
      </c>
      <c r="C653" s="3" t="s">
        <v>190</v>
      </c>
      <c r="D653" s="3" t="s">
        <v>1715</v>
      </c>
      <c r="E653" s="3" t="s">
        <v>1716</v>
      </c>
      <c r="F653" s="3" t="s">
        <v>1717</v>
      </c>
      <c r="G653" s="3" t="str">
        <f>IFERROR(__xludf.DUMMYFUNCTION("GOOGLETRANSLATE(D653,""fr"",""es"")"),"chicular")</f>
        <v>chicular</v>
      </c>
    </row>
    <row r="654">
      <c r="A654" s="3">
        <v>632.0</v>
      </c>
      <c r="B654" s="3" t="s">
        <v>189</v>
      </c>
      <c r="C654" s="3" t="s">
        <v>190</v>
      </c>
      <c r="D654" s="3" t="s">
        <v>1718</v>
      </c>
      <c r="E654" s="3" t="s">
        <v>1716</v>
      </c>
      <c r="F654" s="3" t="s">
        <v>1717</v>
      </c>
      <c r="G654" s="3" t="str">
        <f>IFERROR(__xludf.DUMMYFUNCTION("GOOGLETRANSLATE(D654,""fr"",""es"")"),"elegante")</f>
        <v>elegante</v>
      </c>
    </row>
    <row r="655">
      <c r="A655" s="3">
        <v>633.0</v>
      </c>
      <c r="B655" s="3" t="s">
        <v>189</v>
      </c>
      <c r="C655" s="3" t="s">
        <v>190</v>
      </c>
      <c r="D655" s="3" t="s">
        <v>1719</v>
      </c>
      <c r="E655" s="3" t="s">
        <v>1716</v>
      </c>
      <c r="F655" s="3" t="s">
        <v>1717</v>
      </c>
      <c r="G655" s="3" t="str">
        <f>IFERROR(__xludf.DUMMYFUNCTION("GOOGLETRANSLATE(D655,""fr"",""es"")"),"chicanas")</f>
        <v>chicanas</v>
      </c>
    </row>
    <row r="656">
      <c r="A656" s="3">
        <v>634.0</v>
      </c>
      <c r="B656" s="3" t="s">
        <v>189</v>
      </c>
      <c r="C656" s="3" t="s">
        <v>190</v>
      </c>
      <c r="D656" s="3" t="s">
        <v>1720</v>
      </c>
      <c r="E656" s="3" t="s">
        <v>1721</v>
      </c>
      <c r="F656" s="3" t="s">
        <v>1722</v>
      </c>
      <c r="G656" s="3" t="str">
        <f>IFERROR(__xludf.DUMMYFUNCTION("GOOGLETRANSLATE(D656,""fr"",""es"")"),"crítica")</f>
        <v>crítica</v>
      </c>
    </row>
    <row r="657">
      <c r="A657" s="3">
        <v>635.0</v>
      </c>
      <c r="B657" s="3" t="s">
        <v>189</v>
      </c>
      <c r="C657" s="3" t="s">
        <v>190</v>
      </c>
      <c r="D657" s="3" t="s">
        <v>1723</v>
      </c>
      <c r="E657" s="3" t="s">
        <v>1721</v>
      </c>
      <c r="F657" s="3" t="s">
        <v>1722</v>
      </c>
      <c r="G657" s="3" t="str">
        <f>IFERROR(__xludf.DUMMYFUNCTION("GOOGLETRANSLATE(D657,""fr"",""es"")"),"crítica")</f>
        <v>crítica</v>
      </c>
    </row>
    <row r="658">
      <c r="A658" s="3">
        <v>636.0</v>
      </c>
      <c r="B658" s="3" t="s">
        <v>189</v>
      </c>
      <c r="C658" s="3" t="s">
        <v>190</v>
      </c>
      <c r="D658" s="3" t="s">
        <v>1724</v>
      </c>
      <c r="E658" s="3" t="s">
        <v>1721</v>
      </c>
      <c r="F658" s="3" t="s">
        <v>1722</v>
      </c>
      <c r="G658" s="3" t="str">
        <f>IFERROR(__xludf.DUMMYFUNCTION("GOOGLETRANSLATE(D658,""fr"",""es"")"),"desconcierto")</f>
        <v>desconcierto</v>
      </c>
    </row>
    <row r="659">
      <c r="A659" s="3">
        <v>637.0</v>
      </c>
      <c r="B659" s="3" t="s">
        <v>189</v>
      </c>
      <c r="C659" s="3" t="s">
        <v>190</v>
      </c>
      <c r="D659" s="3" t="s">
        <v>1725</v>
      </c>
      <c r="E659" s="3" t="s">
        <v>1726</v>
      </c>
      <c r="F659" s="3" t="s">
        <v>1727</v>
      </c>
      <c r="G659" s="3" t="str">
        <f>IFERROR(__xludf.DUMMYFUNCTION("GOOGLETRANSLATE(D659,""fr"",""es"")"),"chiche")</f>
        <v>chiche</v>
      </c>
    </row>
    <row r="660">
      <c r="A660" s="3">
        <v>638.0</v>
      </c>
      <c r="B660" s="3" t="s">
        <v>189</v>
      </c>
      <c r="C660" s="3" t="s">
        <v>190</v>
      </c>
      <c r="D660" s="3" t="s">
        <v>1728</v>
      </c>
      <c r="E660" s="3" t="s">
        <v>1726</v>
      </c>
      <c r="F660" s="3" t="s">
        <v>1727</v>
      </c>
      <c r="G660" s="3" t="str">
        <f>IFERROR(__xludf.DUMMYFUNCTION("GOOGLETRANSLATE(D660,""fr"",""es"")"),"chicas")</f>
        <v>chicas</v>
      </c>
    </row>
    <row r="661">
      <c r="A661" s="3">
        <v>639.0</v>
      </c>
      <c r="B661" s="3" t="s">
        <v>189</v>
      </c>
      <c r="C661" s="3" t="s">
        <v>190</v>
      </c>
      <c r="D661" s="3" t="s">
        <v>1700</v>
      </c>
      <c r="E661" s="3" t="s">
        <v>1729</v>
      </c>
      <c r="F661" s="3" t="s">
        <v>1730</v>
      </c>
      <c r="G661" s="3" t="str">
        <f>IFERROR(__xludf.DUMMYFUNCTION("GOOGLETRANSLATE(D661,""fr"",""es"")"),"Chi-chi")</f>
        <v>Chi-chi</v>
      </c>
    </row>
    <row r="662">
      <c r="A662" s="3">
        <v>640.0</v>
      </c>
      <c r="B662" s="3" t="s">
        <v>189</v>
      </c>
      <c r="C662" s="3" t="s">
        <v>190</v>
      </c>
      <c r="D662" s="3" t="s">
        <v>1731</v>
      </c>
      <c r="E662" s="3" t="s">
        <v>1729</v>
      </c>
      <c r="F662" s="3" t="s">
        <v>1730</v>
      </c>
      <c r="G662" s="3" t="str">
        <f>IFERROR(__xludf.DUMMYFUNCTION("GOOGLETRANSLATE(D662,""fr"",""es"")"),"impactante")</f>
        <v>impactante</v>
      </c>
    </row>
    <row r="663">
      <c r="A663" s="3">
        <v>641.0</v>
      </c>
      <c r="B663" s="3" t="s">
        <v>189</v>
      </c>
      <c r="C663" s="3" t="s">
        <v>190</v>
      </c>
      <c r="D663" s="3" t="s">
        <v>1732</v>
      </c>
      <c r="E663" s="3" t="s">
        <v>1692</v>
      </c>
      <c r="F663" s="3" t="s">
        <v>1693</v>
      </c>
      <c r="G663" s="3" t="str">
        <f>IFERROR(__xludf.DUMMYFUNCTION("GOOGLETRANSLATE(D663,""fr"",""es"")"),"elegante")</f>
        <v>elegante</v>
      </c>
    </row>
    <row r="664">
      <c r="A664" s="3">
        <v>642.0</v>
      </c>
      <c r="B664" s="3" t="s">
        <v>189</v>
      </c>
      <c r="C664" s="3" t="s">
        <v>190</v>
      </c>
      <c r="D664" s="3" t="s">
        <v>1733</v>
      </c>
      <c r="E664" s="3" t="s">
        <v>1734</v>
      </c>
      <c r="F664" s="3" t="s">
        <v>1735</v>
      </c>
      <c r="G664" s="3" t="str">
        <f>IFERROR(__xludf.DUMMYFUNCTION("GOOGLETRANSLATE(D664,""fr"",""es"")"),"chie")</f>
        <v>chie</v>
      </c>
    </row>
    <row r="665">
      <c r="A665" s="3">
        <v>643.0</v>
      </c>
      <c r="B665" s="3" t="s">
        <v>189</v>
      </c>
      <c r="C665" s="3" t="s">
        <v>190</v>
      </c>
      <c r="D665" s="3" t="s">
        <v>1736</v>
      </c>
      <c r="E665" s="3" t="s">
        <v>1734</v>
      </c>
      <c r="F665" s="3" t="s">
        <v>1735</v>
      </c>
      <c r="G665" s="3" t="str">
        <f>IFERROR(__xludf.DUMMYFUNCTION("GOOGLETRANSLATE(D665,""fr"",""es"")"),"mierda")</f>
        <v>mierda</v>
      </c>
    </row>
    <row r="666">
      <c r="A666" s="3">
        <v>644.0</v>
      </c>
      <c r="B666" s="3" t="s">
        <v>189</v>
      </c>
      <c r="C666" s="3" t="s">
        <v>190</v>
      </c>
      <c r="D666" s="3" t="s">
        <v>1737</v>
      </c>
      <c r="E666" s="3" t="s">
        <v>1734</v>
      </c>
      <c r="F666" s="3" t="s">
        <v>1735</v>
      </c>
      <c r="G666" s="3" t="str">
        <f>IFERROR(__xludf.DUMMYFUNCTION("GOOGLETRANSLATE(D666,""fr"",""es"")"),"chies")</f>
        <v>chies</v>
      </c>
    </row>
    <row r="667">
      <c r="A667" s="3">
        <v>645.0</v>
      </c>
      <c r="B667" s="3" t="s">
        <v>189</v>
      </c>
      <c r="C667" s="3" t="s">
        <v>190</v>
      </c>
      <c r="D667" s="3" t="s">
        <v>1738</v>
      </c>
      <c r="E667" s="3" t="s">
        <v>1739</v>
      </c>
      <c r="F667" s="3" t="s">
        <v>1740</v>
      </c>
      <c r="G667" s="3" t="str">
        <f>IFERROR(__xludf.DUMMYFUNCTION("GOOGLETRANSLATE(D667,""fr"",""es"")"),"Chile")</f>
        <v>Chile</v>
      </c>
      <c r="H667" s="3" t="s">
        <v>1741</v>
      </c>
      <c r="I667" s="3" t="s">
        <v>1742</v>
      </c>
      <c r="J667" s="3" t="s">
        <v>1743</v>
      </c>
      <c r="K667" s="3" t="s">
        <v>1744</v>
      </c>
      <c r="L667" s="3" t="s">
        <v>1745</v>
      </c>
      <c r="M667" s="3" t="s">
        <v>1746</v>
      </c>
      <c r="N667" s="3" t="s">
        <v>1747</v>
      </c>
    </row>
    <row r="668">
      <c r="A668" s="3">
        <v>646.0</v>
      </c>
      <c r="B668" s="3" t="s">
        <v>189</v>
      </c>
      <c r="C668" s="3" t="s">
        <v>190</v>
      </c>
      <c r="D668" s="3" t="s">
        <v>1748</v>
      </c>
      <c r="E668" s="3" t="s">
        <v>1749</v>
      </c>
      <c r="F668" s="3" t="s">
        <v>1750</v>
      </c>
      <c r="G668" s="3" t="str">
        <f>IFERROR(__xludf.DUMMYFUNCTION("GOOGLETRANSLATE(D668,""fr"",""es"")"),"química")</f>
        <v>química</v>
      </c>
      <c r="H668" s="3" t="s">
        <v>1751</v>
      </c>
      <c r="I668" s="3" t="s">
        <v>1752</v>
      </c>
      <c r="J668" s="3" t="s">
        <v>1751</v>
      </c>
      <c r="K668" s="3" t="s">
        <v>1753</v>
      </c>
      <c r="L668" s="3" t="s">
        <v>1754</v>
      </c>
      <c r="M668" s="3" t="s">
        <v>1755</v>
      </c>
      <c r="N668" s="3" t="s">
        <v>1756</v>
      </c>
    </row>
    <row r="669">
      <c r="A669" s="3">
        <v>647.0</v>
      </c>
      <c r="B669" s="3" t="s">
        <v>189</v>
      </c>
      <c r="C669" s="3" t="s">
        <v>190</v>
      </c>
      <c r="D669" s="3" t="s">
        <v>1757</v>
      </c>
      <c r="E669" s="3" t="s">
        <v>1749</v>
      </c>
      <c r="F669" s="3" t="s">
        <v>1750</v>
      </c>
      <c r="G669" s="3" t="str">
        <f>IFERROR(__xludf.DUMMYFUNCTION("GOOGLETRANSLATE(D669,""fr"",""es"")"),"químicos")</f>
        <v>químicos</v>
      </c>
    </row>
    <row r="670">
      <c r="A670" s="3">
        <v>648.0</v>
      </c>
      <c r="B670" s="3" t="s">
        <v>189</v>
      </c>
      <c r="C670" s="3" t="s">
        <v>190</v>
      </c>
      <c r="D670" s="3" t="s">
        <v>1758</v>
      </c>
      <c r="E670" s="3" t="s">
        <v>1759</v>
      </c>
      <c r="F670" s="3" t="s">
        <v>1760</v>
      </c>
      <c r="G670" s="3" t="str">
        <f>IFERROR(__xludf.DUMMYFUNCTION("GOOGLETRANSLATE(D670,""fr"",""es"")"),"químico")</f>
        <v>químico</v>
      </c>
      <c r="H670" s="3" t="s">
        <v>1755</v>
      </c>
      <c r="I670" s="3" t="s">
        <v>1761</v>
      </c>
      <c r="J670" s="3" t="s">
        <v>1755</v>
      </c>
      <c r="K670" s="3" t="s">
        <v>1755</v>
      </c>
      <c r="L670" s="3" t="s">
        <v>1756</v>
      </c>
    </row>
    <row r="671">
      <c r="A671" s="3">
        <v>649.0</v>
      </c>
      <c r="B671" s="3" t="s">
        <v>189</v>
      </c>
      <c r="C671" s="3" t="s">
        <v>190</v>
      </c>
      <c r="D671" s="3" t="s">
        <v>1762</v>
      </c>
      <c r="E671" s="3" t="s">
        <v>1759</v>
      </c>
      <c r="F671" s="3" t="s">
        <v>1760</v>
      </c>
      <c r="G671" s="3" t="str">
        <f>IFERROR(__xludf.DUMMYFUNCTION("GOOGLETRANSLATE(D671,""fr"",""es"")"),"químicos")</f>
        <v>químicos</v>
      </c>
    </row>
    <row r="672">
      <c r="A672" s="3">
        <v>650.0</v>
      </c>
      <c r="B672" s="3" t="s">
        <v>189</v>
      </c>
      <c r="C672" s="3" t="s">
        <v>190</v>
      </c>
      <c r="D672" s="3" t="s">
        <v>1763</v>
      </c>
      <c r="E672" s="3" t="s">
        <v>1764</v>
      </c>
      <c r="F672" s="3" t="s">
        <v>1765</v>
      </c>
      <c r="G672" s="3" t="str">
        <f>IFERROR(__xludf.DUMMYFUNCTION("GOOGLETRANSLATE(D672,""fr"",""es"")"),"químico")</f>
        <v>químico</v>
      </c>
      <c r="H672" s="3" t="s">
        <v>1766</v>
      </c>
      <c r="I672" s="3" t="s">
        <v>1767</v>
      </c>
      <c r="J672" s="3" t="s">
        <v>1768</v>
      </c>
      <c r="K672" s="3" t="s">
        <v>1766</v>
      </c>
      <c r="L672" s="3" t="s">
        <v>1769</v>
      </c>
      <c r="M672" s="3" t="s">
        <v>1770</v>
      </c>
      <c r="N672" s="3" t="s">
        <v>1771</v>
      </c>
    </row>
    <row r="673">
      <c r="A673" s="3">
        <v>651.0</v>
      </c>
      <c r="B673" s="3" t="s">
        <v>189</v>
      </c>
      <c r="C673" s="3" t="s">
        <v>190</v>
      </c>
      <c r="D673" s="3" t="s">
        <v>1772</v>
      </c>
      <c r="E673" s="3" t="s">
        <v>1764</v>
      </c>
      <c r="F673" s="3" t="s">
        <v>1765</v>
      </c>
      <c r="G673" s="3" t="str">
        <f>IFERROR(__xludf.DUMMYFUNCTION("GOOGLETRANSLATE(D673,""fr"",""es"")"),"farmacia")</f>
        <v>farmacia</v>
      </c>
    </row>
    <row r="674">
      <c r="A674" s="3">
        <v>652.0</v>
      </c>
      <c r="B674" s="3" t="s">
        <v>189</v>
      </c>
      <c r="C674" s="3" t="s">
        <v>190</v>
      </c>
      <c r="D674" s="3" t="s">
        <v>1773</v>
      </c>
      <c r="E674" s="3" t="s">
        <v>1774</v>
      </c>
      <c r="F674" s="3" t="s">
        <v>1775</v>
      </c>
      <c r="G674" s="3" t="str">
        <f>IFERROR(__xludf.DUMMYFUNCTION("GOOGLETRANSLATE(D674,""fr"",""es"")"),"Chinai")</f>
        <v>Chinai</v>
      </c>
    </row>
    <row r="675">
      <c r="A675" s="3">
        <v>653.0</v>
      </c>
      <c r="B675" s="3" t="s">
        <v>189</v>
      </c>
      <c r="C675" s="3" t="s">
        <v>190</v>
      </c>
      <c r="D675" s="3" t="s">
        <v>1776</v>
      </c>
      <c r="E675" s="3" t="s">
        <v>1774</v>
      </c>
      <c r="F675" s="3" t="s">
        <v>1775</v>
      </c>
      <c r="G675" s="3" t="str">
        <f>IFERROR(__xludf.DUMMYFUNCTION("GOOGLETRANSLATE(D675,""fr"",""es"")"),"cableado")</f>
        <v>cableado</v>
      </c>
    </row>
    <row r="676">
      <c r="A676" s="3">
        <v>654.0</v>
      </c>
      <c r="B676" s="3" t="s">
        <v>189</v>
      </c>
      <c r="C676" s="3" t="s">
        <v>190</v>
      </c>
      <c r="D676" s="3" t="s">
        <v>1777</v>
      </c>
      <c r="E676" s="3" t="s">
        <v>1774</v>
      </c>
      <c r="F676" s="3" t="s">
        <v>1775</v>
      </c>
      <c r="G676" s="3" t="str">
        <f>IFERROR(__xludf.DUMMYFUNCTION("GOOGLETRANSLATE(D676,""fr"",""es"")"),"China es")</f>
        <v>China es</v>
      </c>
    </row>
    <row r="677">
      <c r="A677" s="3">
        <v>655.0</v>
      </c>
      <c r="B677" s="3" t="s">
        <v>189</v>
      </c>
      <c r="C677" s="3" t="s">
        <v>190</v>
      </c>
      <c r="D677" s="3" t="s">
        <v>1778</v>
      </c>
      <c r="E677" s="3" t="s">
        <v>1774</v>
      </c>
      <c r="F677" s="3" t="s">
        <v>1775</v>
      </c>
      <c r="G677" s="3" t="str">
        <f>IFERROR(__xludf.DUMMYFUNCTION("GOOGLETRANSLATE(D677,""fr"",""es"")"),"fue pastoreo")</f>
        <v>fue pastoreo</v>
      </c>
    </row>
    <row r="678">
      <c r="A678" s="3">
        <v>656.0</v>
      </c>
      <c r="B678" s="3" t="s">
        <v>189</v>
      </c>
      <c r="C678" s="3" t="s">
        <v>190</v>
      </c>
      <c r="D678" s="3" t="s">
        <v>1779</v>
      </c>
      <c r="E678" s="3" t="s">
        <v>1780</v>
      </c>
      <c r="F678" s="3" t="s">
        <v>1781</v>
      </c>
      <c r="G678" s="3" t="str">
        <f>IFERROR(__xludf.DUMMYFUNCTION("GOOGLETRANSLATE(D678,""fr"",""es"")"),"chino")</f>
        <v>chino</v>
      </c>
    </row>
    <row r="679">
      <c r="A679" s="3">
        <v>657.0</v>
      </c>
      <c r="B679" s="3" t="s">
        <v>189</v>
      </c>
      <c r="C679" s="3" t="s">
        <v>190</v>
      </c>
      <c r="D679" s="3" t="s">
        <v>1782</v>
      </c>
      <c r="E679" s="3" t="s">
        <v>1783</v>
      </c>
      <c r="F679" s="3" t="s">
        <v>1784</v>
      </c>
      <c r="G679" s="3" t="str">
        <f>IFERROR(__xludf.DUMMYFUNCTION("GOOGLETRANSLATE(D679,""fr"",""es"")"),"chino")</f>
        <v>chino</v>
      </c>
    </row>
    <row r="680">
      <c r="A680" s="3">
        <v>658.0</v>
      </c>
      <c r="B680" s="3" t="s">
        <v>189</v>
      </c>
      <c r="C680" s="3" t="s">
        <v>190</v>
      </c>
      <c r="D680" s="3" t="s">
        <v>1785</v>
      </c>
      <c r="E680" s="3" t="s">
        <v>1783</v>
      </c>
      <c r="F680" s="3" t="s">
        <v>1784</v>
      </c>
      <c r="G680" s="3" t="str">
        <f>IFERROR(__xludf.DUMMYFUNCTION("GOOGLETRANSLATE(D680,""fr"",""es"")"),"chino")</f>
        <v>chino</v>
      </c>
    </row>
    <row r="681">
      <c r="A681" s="3">
        <v>659.0</v>
      </c>
      <c r="B681" s="3" t="s">
        <v>189</v>
      </c>
      <c r="C681" s="3" t="s">
        <v>190</v>
      </c>
      <c r="D681" s="3" t="s">
        <v>1786</v>
      </c>
      <c r="E681" s="3" t="s">
        <v>1783</v>
      </c>
      <c r="F681" s="3" t="s">
        <v>1784</v>
      </c>
      <c r="G681" s="3" t="str">
        <f>IFERROR(__xludf.DUMMYFUNCTION("GOOGLETRANSLATE(D681,""fr"",""es"")"),"chino")</f>
        <v>chino</v>
      </c>
    </row>
    <row r="682">
      <c r="A682" s="3">
        <v>660.0</v>
      </c>
      <c r="B682" s="3" t="s">
        <v>189</v>
      </c>
      <c r="C682" s="3" t="s">
        <v>190</v>
      </c>
      <c r="D682" s="3" t="s">
        <v>1787</v>
      </c>
      <c r="E682" s="3" t="s">
        <v>1788</v>
      </c>
      <c r="F682" s="3" t="s">
        <v>1789</v>
      </c>
      <c r="G682" s="3" t="str">
        <f>IFERROR(__xludf.DUMMYFUNCTION("GOOGLETRANSLATE(D682,""fr"",""es"")"),"Porcelana")</f>
        <v>Porcelana</v>
      </c>
      <c r="H682" s="3" t="s">
        <v>1790</v>
      </c>
      <c r="I682" s="3" t="s">
        <v>1791</v>
      </c>
      <c r="J682" s="3" t="s">
        <v>1792</v>
      </c>
      <c r="K682" s="3" t="s">
        <v>1793</v>
      </c>
      <c r="L682" s="3" t="s">
        <v>1794</v>
      </c>
      <c r="M682" s="3" t="s">
        <v>1795</v>
      </c>
      <c r="N682" s="3" t="s">
        <v>1796</v>
      </c>
      <c r="O682" s="3" t="s">
        <v>1797</v>
      </c>
      <c r="P682" s="3" t="s">
        <v>1798</v>
      </c>
      <c r="Q682" s="3" t="s">
        <v>1791</v>
      </c>
      <c r="R682" s="3" t="s">
        <v>1799</v>
      </c>
      <c r="S682" s="3" t="s">
        <v>1800</v>
      </c>
    </row>
    <row r="683">
      <c r="A683" s="3">
        <v>661.0</v>
      </c>
      <c r="B683" s="3" t="s">
        <v>189</v>
      </c>
      <c r="C683" s="3" t="s">
        <v>190</v>
      </c>
      <c r="D683" s="3" t="s">
        <v>1801</v>
      </c>
      <c r="E683" s="3" t="s">
        <v>1788</v>
      </c>
      <c r="F683" s="3" t="s">
        <v>1789</v>
      </c>
      <c r="G683" s="3" t="str">
        <f>IFERROR(__xludf.DUMMYFUNCTION("GOOGLETRANSLATE(D683,""fr"",""es"")"),"Porcelana")</f>
        <v>Porcelana</v>
      </c>
      <c r="H683" s="3" t="s">
        <v>1790</v>
      </c>
      <c r="I683" s="3" t="s">
        <v>1791</v>
      </c>
      <c r="J683" s="3" t="s">
        <v>1792</v>
      </c>
      <c r="K683" s="3" t="s">
        <v>1793</v>
      </c>
      <c r="L683" s="3" t="s">
        <v>1794</v>
      </c>
      <c r="M683" s="3" t="s">
        <v>1795</v>
      </c>
      <c r="N683" s="3" t="s">
        <v>1796</v>
      </c>
      <c r="O683" s="3" t="s">
        <v>1797</v>
      </c>
      <c r="P683" s="3" t="s">
        <v>1798</v>
      </c>
      <c r="Q683" s="3" t="s">
        <v>1791</v>
      </c>
      <c r="R683" s="3" t="s">
        <v>1799</v>
      </c>
      <c r="S683" s="3" t="s">
        <v>1800</v>
      </c>
    </row>
    <row r="684">
      <c r="A684" s="3">
        <v>662.0</v>
      </c>
      <c r="B684" s="3" t="s">
        <v>189</v>
      </c>
      <c r="C684" s="3" t="s">
        <v>190</v>
      </c>
      <c r="D684" s="3" t="s">
        <v>1802</v>
      </c>
      <c r="E684" s="3" t="s">
        <v>1788</v>
      </c>
      <c r="F684" s="3" t="s">
        <v>1789</v>
      </c>
      <c r="G684" s="3" t="str">
        <f>IFERROR(__xludf.DUMMYFUNCTION("GOOGLETRANSLATE(D684,""fr"",""es"")"),"chino")</f>
        <v>chino</v>
      </c>
    </row>
    <row r="685">
      <c r="A685" s="3">
        <v>663.0</v>
      </c>
      <c r="B685" s="3" t="s">
        <v>189</v>
      </c>
      <c r="C685" s="3" t="s">
        <v>190</v>
      </c>
      <c r="D685" s="3" t="s">
        <v>1803</v>
      </c>
      <c r="E685" s="3" t="s">
        <v>1788</v>
      </c>
      <c r="F685" s="3" t="s">
        <v>1789</v>
      </c>
      <c r="G685" s="3" t="str">
        <f>IFERROR(__xludf.DUMMYFUNCTION("GOOGLETRANSLATE(D685,""fr"",""es"")"),"China")</f>
        <v>China</v>
      </c>
    </row>
    <row r="686">
      <c r="A686" s="3">
        <v>664.0</v>
      </c>
      <c r="B686" s="3" t="s">
        <v>189</v>
      </c>
      <c r="C686" s="3" t="s">
        <v>190</v>
      </c>
      <c r="D686" s="3" t="s">
        <v>1804</v>
      </c>
      <c r="E686" s="3" t="s">
        <v>1805</v>
      </c>
      <c r="F686" s="3" t="s">
        <v>1806</v>
      </c>
      <c r="G686" s="3" t="str">
        <f>IFERROR(__xludf.DUMMYFUNCTION("GOOGLETRANSLATE(D686,""fr"",""es"")"),"chicai")</f>
        <v>chicai</v>
      </c>
    </row>
    <row r="687">
      <c r="A687" s="3">
        <v>665.0</v>
      </c>
      <c r="B687" s="3" t="s">
        <v>189</v>
      </c>
      <c r="C687" s="3" t="s">
        <v>190</v>
      </c>
      <c r="D687" s="3" t="s">
        <v>1807</v>
      </c>
      <c r="E687" s="3" t="s">
        <v>1805</v>
      </c>
      <c r="F687" s="3" t="s">
        <v>1806</v>
      </c>
      <c r="G687" s="3" t="str">
        <f>IFERROR(__xludf.DUMMYFUNCTION("GOOGLETRANSLATE(D687,""fr"",""es"")"),"shummed")</f>
        <v>shummed</v>
      </c>
    </row>
    <row r="688">
      <c r="A688" s="3">
        <v>666.0</v>
      </c>
      <c r="B688" s="3" t="s">
        <v>189</v>
      </c>
      <c r="C688" s="3" t="s">
        <v>190</v>
      </c>
      <c r="D688" s="3" t="s">
        <v>1808</v>
      </c>
      <c r="E688" s="3" t="s">
        <v>1805</v>
      </c>
      <c r="F688" s="3" t="s">
        <v>1806</v>
      </c>
      <c r="G688" s="3" t="str">
        <f>IFERROR(__xludf.DUMMYFUNCTION("GOOGLETRANSLATE(D688,""fr"",""es"")"),"chipais")</f>
        <v>chipais</v>
      </c>
    </row>
    <row r="689">
      <c r="A689" s="3">
        <v>667.0</v>
      </c>
      <c r="B689" s="3" t="s">
        <v>189</v>
      </c>
      <c r="C689" s="3" t="s">
        <v>190</v>
      </c>
      <c r="D689" s="3" t="s">
        <v>1809</v>
      </c>
      <c r="E689" s="3" t="s">
        <v>1805</v>
      </c>
      <c r="F689" s="3" t="s">
        <v>1806</v>
      </c>
      <c r="G689" s="3" t="str">
        <f>IFERROR(__xludf.DUMMYFUNCTION("GOOGLETRANSLATE(D689,""fr"",""es"")"),"aplacar")</f>
        <v>aplacar</v>
      </c>
    </row>
    <row r="690">
      <c r="A690" s="3">
        <v>668.0</v>
      </c>
      <c r="B690" s="3" t="s">
        <v>189</v>
      </c>
      <c r="C690" s="3" t="s">
        <v>190</v>
      </c>
      <c r="D690" s="3" t="s">
        <v>1810</v>
      </c>
      <c r="E690" s="3" t="s">
        <v>1811</v>
      </c>
      <c r="F690" s="3" t="s">
        <v>1812</v>
      </c>
      <c r="G690" s="3" t="str">
        <f>IFERROR(__xludf.DUMMYFUNCTION("GOOGLETRANSLATE(D690,""fr"",""es"")"),"chip")</f>
        <v>chip</v>
      </c>
    </row>
    <row r="691">
      <c r="A691" s="3">
        <v>669.0</v>
      </c>
      <c r="B691" s="3" t="s">
        <v>189</v>
      </c>
      <c r="C691" s="3" t="s">
        <v>190</v>
      </c>
      <c r="D691" s="3" t="s">
        <v>1813</v>
      </c>
      <c r="E691" s="3" t="s">
        <v>1814</v>
      </c>
      <c r="F691" s="3" t="s">
        <v>1815</v>
      </c>
      <c r="G691" s="3" t="str">
        <f>IFERROR(__xludf.DUMMYFUNCTION("GOOGLETRANSLATE(D691,""fr"",""es"")"),"chipasse")</f>
        <v>chipasse</v>
      </c>
    </row>
    <row r="692">
      <c r="A692" s="3">
        <v>670.0</v>
      </c>
      <c r="B692" s="3" t="s">
        <v>189</v>
      </c>
      <c r="C692" s="3" t="s">
        <v>190</v>
      </c>
      <c r="D692" s="3" t="s">
        <v>1816</v>
      </c>
      <c r="E692" s="3" t="s">
        <v>1814</v>
      </c>
      <c r="F692" s="3" t="s">
        <v>1815</v>
      </c>
      <c r="G692" s="3" t="str">
        <f>IFERROR(__xludf.DUMMYFUNCTION("GOOGLETRANSLATE(D692,""fr"",""es"")"),"chip")</f>
        <v>chip</v>
      </c>
    </row>
    <row r="693">
      <c r="A693" s="3">
        <v>671.0</v>
      </c>
      <c r="B693" s="3" t="s">
        <v>189</v>
      </c>
      <c r="C693" s="3" t="s">
        <v>190</v>
      </c>
      <c r="D693" s="3" t="s">
        <v>1817</v>
      </c>
      <c r="E693" s="3" t="s">
        <v>1814</v>
      </c>
      <c r="F693" s="3" t="s">
        <v>1815</v>
      </c>
      <c r="G693" s="3" t="str">
        <f>IFERROR(__xludf.DUMMYFUNCTION("GOOGLETRANSLATE(D693,""fr"",""es"")"),"chipses")</f>
        <v>chipses</v>
      </c>
    </row>
    <row r="694">
      <c r="A694" s="3">
        <v>672.0</v>
      </c>
      <c r="B694" s="3" t="s">
        <v>189</v>
      </c>
      <c r="C694" s="3" t="s">
        <v>190</v>
      </c>
      <c r="D694" s="3" t="s">
        <v>1818</v>
      </c>
      <c r="E694" s="3" t="s">
        <v>1819</v>
      </c>
      <c r="F694" s="3" t="s">
        <v>1820</v>
      </c>
      <c r="G694" s="3" t="str">
        <f>IFERROR(__xludf.DUMMYFUNCTION("GOOGLETRANSLATE(D694,""fr"",""es"")"),"chiple")</f>
        <v>chiple</v>
      </c>
    </row>
    <row r="695">
      <c r="A695" s="3">
        <v>673.0</v>
      </c>
      <c r="B695" s="3" t="s">
        <v>189</v>
      </c>
      <c r="C695" s="3" t="s">
        <v>190</v>
      </c>
      <c r="D695" s="3" t="s">
        <v>1821</v>
      </c>
      <c r="E695" s="3" t="s">
        <v>1819</v>
      </c>
      <c r="F695" s="3" t="s">
        <v>1820</v>
      </c>
      <c r="G695" s="3" t="str">
        <f>IFERROR(__xludf.DUMMYFUNCTION("GOOGLETRANSLATE(D695,""fr"",""es"")"),"chiple")</f>
        <v>chiple</v>
      </c>
    </row>
    <row r="696">
      <c r="A696" s="3">
        <v>674.0</v>
      </c>
      <c r="B696" s="3" t="s">
        <v>189</v>
      </c>
      <c r="C696" s="3" t="s">
        <v>190</v>
      </c>
      <c r="D696" s="3" t="s">
        <v>1822</v>
      </c>
      <c r="E696" s="3" t="s">
        <v>1819</v>
      </c>
      <c r="F696" s="3" t="s">
        <v>1820</v>
      </c>
      <c r="G696" s="3" t="str">
        <f>IFERROR(__xludf.DUMMYFUNCTION("GOOGLETRANSLATE(D696,""fr"",""es"")"),"chie")</f>
        <v>chie</v>
      </c>
    </row>
    <row r="697">
      <c r="A697" s="3">
        <v>675.0</v>
      </c>
      <c r="B697" s="3" t="s">
        <v>189</v>
      </c>
      <c r="C697" s="3" t="s">
        <v>190</v>
      </c>
      <c r="D697" s="3" t="s">
        <v>1823</v>
      </c>
      <c r="E697" s="3" t="s">
        <v>1824</v>
      </c>
      <c r="F697" s="3" t="s">
        <v>1825</v>
      </c>
      <c r="G697" s="3" t="str">
        <f>IFERROR(__xludf.DUMMYFUNCTION("GOOGLETRANSLATE(D697,""fr"",""es"")"),"chipie")</f>
        <v>chipie</v>
      </c>
      <c r="H697" s="3" t="s">
        <v>1826</v>
      </c>
      <c r="I697" s="3" t="s">
        <v>1827</v>
      </c>
      <c r="J697" s="3" t="s">
        <v>1828</v>
      </c>
      <c r="K697" s="3" t="s">
        <v>1829</v>
      </c>
      <c r="L697" s="3" t="s">
        <v>1830</v>
      </c>
    </row>
    <row r="698">
      <c r="A698" s="3">
        <v>676.0</v>
      </c>
      <c r="B698" s="3" t="s">
        <v>189</v>
      </c>
      <c r="C698" s="3" t="s">
        <v>190</v>
      </c>
      <c r="D698" s="3" t="s">
        <v>1831</v>
      </c>
      <c r="E698" s="3" t="s">
        <v>1824</v>
      </c>
      <c r="F698" s="3" t="s">
        <v>1825</v>
      </c>
      <c r="G698" s="3" t="str">
        <f>IFERROR(__xludf.DUMMYFUNCTION("GOOGLETRANSLATE(D698,""fr"",""es"")"),"chipies")</f>
        <v>chipies</v>
      </c>
    </row>
    <row r="699">
      <c r="A699" s="3">
        <v>677.0</v>
      </c>
      <c r="B699" s="3" t="s">
        <v>189</v>
      </c>
      <c r="C699" s="3" t="s">
        <v>190</v>
      </c>
      <c r="D699" s="3" t="s">
        <v>1832</v>
      </c>
      <c r="E699" s="3" t="s">
        <v>1833</v>
      </c>
      <c r="F699" s="3" t="s">
        <v>1834</v>
      </c>
      <c r="G699" s="3" t="str">
        <f>IFERROR(__xludf.DUMMYFUNCTION("GOOGLETRANSLATE(D699,""fr"",""es"")"),"chiqui")</f>
        <v>chiqui</v>
      </c>
    </row>
    <row r="700">
      <c r="A700" s="3">
        <v>678.0</v>
      </c>
      <c r="B700" s="3" t="s">
        <v>189</v>
      </c>
      <c r="C700" s="3" t="s">
        <v>190</v>
      </c>
      <c r="D700" s="3" t="s">
        <v>1835</v>
      </c>
      <c r="E700" s="3" t="s">
        <v>1833</v>
      </c>
      <c r="F700" s="3" t="s">
        <v>1834</v>
      </c>
      <c r="G700" s="3" t="str">
        <f>IFERROR(__xludf.DUMMYFUNCTION("GOOGLETRANSLATE(D700,""fr"",""es"")"),"polluelto")</f>
        <v>polluelto</v>
      </c>
    </row>
    <row r="701">
      <c r="A701" s="3">
        <v>679.0</v>
      </c>
      <c r="B701" s="3" t="s">
        <v>189</v>
      </c>
      <c r="C701" s="3" t="s">
        <v>190</v>
      </c>
      <c r="D701" s="3" t="s">
        <v>1836</v>
      </c>
      <c r="E701" s="3" t="s">
        <v>1833</v>
      </c>
      <c r="F701" s="3" t="s">
        <v>1834</v>
      </c>
      <c r="G701" s="3" t="str">
        <f>IFERROR(__xludf.DUMMYFUNCTION("GOOGLETRANSLATE(D701,""fr"",""es"")"),"chicais")</f>
        <v>chicais</v>
      </c>
    </row>
    <row r="702">
      <c r="A702" s="3">
        <v>680.0</v>
      </c>
      <c r="B702" s="3" t="s">
        <v>189</v>
      </c>
      <c r="C702" s="3" t="s">
        <v>190</v>
      </c>
      <c r="D702" s="3" t="s">
        <v>1837</v>
      </c>
      <c r="E702" s="3" t="s">
        <v>1833</v>
      </c>
      <c r="F702" s="3" t="s">
        <v>1834</v>
      </c>
      <c r="G702" s="3" t="str">
        <f>IFERROR(__xludf.DUMMYFUNCTION("GOOGLETRANSLATE(D702,""fr"",""es"")"),"polluelto")</f>
        <v>polluelto</v>
      </c>
    </row>
    <row r="703">
      <c r="A703" s="3">
        <v>681.0</v>
      </c>
      <c r="B703" s="3" t="s">
        <v>189</v>
      </c>
      <c r="C703" s="3" t="s">
        <v>190</v>
      </c>
      <c r="D703" s="3" t="s">
        <v>1838</v>
      </c>
      <c r="E703" s="3" t="s">
        <v>1839</v>
      </c>
      <c r="F703" s="3" t="s">
        <v>1840</v>
      </c>
      <c r="G703" s="3" t="str">
        <f>IFERROR(__xludf.DUMMYFUNCTION("GOOGLETRANSLATE(D703,""fr"",""es"")"),"chica")</f>
        <v>chica</v>
      </c>
    </row>
    <row r="704">
      <c r="A704" s="3">
        <v>682.0</v>
      </c>
      <c r="B704" s="3" t="s">
        <v>189</v>
      </c>
      <c r="C704" s="3" t="s">
        <v>190</v>
      </c>
      <c r="D704" s="3" t="s">
        <v>1841</v>
      </c>
      <c r="E704" s="3" t="s">
        <v>1842</v>
      </c>
      <c r="F704" s="3" t="s">
        <v>1843</v>
      </c>
      <c r="G704" s="3" t="str">
        <f>IFERROR(__xludf.DUMMYFUNCTION("GOOGLETRANSLATE(D704,""fr"",""es"")"),"chiquasse")</f>
        <v>chiquasse</v>
      </c>
    </row>
    <row r="705">
      <c r="A705" s="3">
        <v>683.0</v>
      </c>
      <c r="B705" s="3" t="s">
        <v>189</v>
      </c>
      <c r="C705" s="3" t="s">
        <v>190</v>
      </c>
      <c r="D705" s="3" t="s">
        <v>1844</v>
      </c>
      <c r="E705" s="3" t="s">
        <v>1842</v>
      </c>
      <c r="F705" s="3" t="s">
        <v>1843</v>
      </c>
      <c r="G705" s="3" t="str">
        <f>IFERROR(__xludf.DUMMYFUNCTION("GOOGLETRANSLATE(D705,""fr"",""es"")"),"polluelo")</f>
        <v>polluelo</v>
      </c>
    </row>
    <row r="706">
      <c r="A706" s="3">
        <v>684.0</v>
      </c>
      <c r="B706" s="3" t="s">
        <v>189</v>
      </c>
      <c r="C706" s="3" t="s">
        <v>190</v>
      </c>
      <c r="D706" s="3" t="s">
        <v>1845</v>
      </c>
      <c r="E706" s="3" t="s">
        <v>1842</v>
      </c>
      <c r="F706" s="3" t="s">
        <v>1843</v>
      </c>
      <c r="G706" s="3" t="str">
        <f>IFERROR(__xludf.DUMMYFUNCTION("GOOGLETRANSLATE(D706,""fr"",""es"")"),"chiquasses")</f>
        <v>chiquasses</v>
      </c>
    </row>
    <row r="707">
      <c r="A707" s="3">
        <v>685.0</v>
      </c>
      <c r="B707" s="3" t="s">
        <v>189</v>
      </c>
      <c r="C707" s="3" t="s">
        <v>190</v>
      </c>
      <c r="D707" s="3" t="s">
        <v>1846</v>
      </c>
      <c r="E707" s="3" t="s">
        <v>1692</v>
      </c>
      <c r="F707" s="3" t="s">
        <v>1693</v>
      </c>
      <c r="G707" s="3" t="str">
        <f>IFERROR(__xludf.DUMMYFUNCTION("GOOGLETRANSLATE(D707,""fr"",""es"")"),"chique")</f>
        <v>chique</v>
      </c>
      <c r="H707" s="3" t="s">
        <v>1696</v>
      </c>
      <c r="I707" s="3" t="s">
        <v>1697</v>
      </c>
      <c r="J707" s="3" t="s">
        <v>1698</v>
      </c>
    </row>
    <row r="708">
      <c r="A708" s="3">
        <v>686.0</v>
      </c>
      <c r="B708" s="3" t="s">
        <v>189</v>
      </c>
      <c r="C708" s="3" t="s">
        <v>190</v>
      </c>
      <c r="D708" s="3" t="s">
        <v>1847</v>
      </c>
      <c r="E708" s="3" t="s">
        <v>1692</v>
      </c>
      <c r="F708" s="3" t="s">
        <v>1693</v>
      </c>
      <c r="G708" s="3" t="str">
        <f>IFERROR(__xludf.DUMMYFUNCTION("GOOGLETRANSLATE(D708,""fr"",""es"")"),"polluelo")</f>
        <v>polluelo</v>
      </c>
    </row>
    <row r="709">
      <c r="A709" s="3">
        <v>687.0</v>
      </c>
      <c r="B709" s="3" t="s">
        <v>189</v>
      </c>
      <c r="C709" s="3" t="s">
        <v>190</v>
      </c>
      <c r="D709" s="3" t="s">
        <v>1848</v>
      </c>
      <c r="E709" s="3" t="s">
        <v>1692</v>
      </c>
      <c r="F709" s="3" t="s">
        <v>1693</v>
      </c>
      <c r="G709" s="3" t="str">
        <f>IFERROR(__xludf.DUMMYFUNCTION("GOOGLETRANSLATE(D709,""fr"",""es"")"),"Chicas")</f>
        <v>Chicas</v>
      </c>
    </row>
    <row r="710">
      <c r="A710" s="3">
        <v>688.0</v>
      </c>
      <c r="B710" s="3" t="s">
        <v>189</v>
      </c>
      <c r="C710" s="3" t="s">
        <v>190</v>
      </c>
      <c r="D710" s="3" t="s">
        <v>1849</v>
      </c>
      <c r="E710" s="3" t="s">
        <v>1850</v>
      </c>
      <c r="F710" s="3" t="s">
        <v>1851</v>
      </c>
      <c r="G710" s="3" t="str">
        <f>IFERROR(__xludf.DUMMYFUNCTION("GOOGLETRANSLATE(D710,""fr"",""es"")"),"repollo")</f>
        <v>repollo</v>
      </c>
      <c r="H710" s="3" t="s">
        <v>1852</v>
      </c>
      <c r="I710" s="3" t="s">
        <v>1853</v>
      </c>
      <c r="J710" s="3" t="s">
        <v>1854</v>
      </c>
      <c r="K710" s="3" t="s">
        <v>1855</v>
      </c>
      <c r="L710" s="3" t="s">
        <v>1856</v>
      </c>
      <c r="M710" s="3" t="s">
        <v>1857</v>
      </c>
      <c r="N710" s="3" t="s">
        <v>1858</v>
      </c>
      <c r="O710" s="3" t="s">
        <v>1859</v>
      </c>
      <c r="P710" s="3" t="s">
        <v>1860</v>
      </c>
      <c r="Q710" s="3" t="s">
        <v>1861</v>
      </c>
      <c r="R710" s="3" t="s">
        <v>1862</v>
      </c>
      <c r="S710" s="3" t="s">
        <v>1863</v>
      </c>
      <c r="T710" s="3" t="s">
        <v>1864</v>
      </c>
      <c r="U710" s="3" t="s">
        <v>1853</v>
      </c>
      <c r="V710" s="3" t="s">
        <v>1849</v>
      </c>
      <c r="W710" s="3" t="s">
        <v>1865</v>
      </c>
      <c r="X710" s="3" t="s">
        <v>1866</v>
      </c>
      <c r="Y710" s="3" t="s">
        <v>1867</v>
      </c>
      <c r="Z710" s="3" t="s">
        <v>1868</v>
      </c>
      <c r="AA710" s="3" t="s">
        <v>1869</v>
      </c>
      <c r="AB710" s="3" t="s">
        <v>1870</v>
      </c>
      <c r="AC710" s="3" t="s">
        <v>1871</v>
      </c>
      <c r="AD710" s="3" t="s">
        <v>1872</v>
      </c>
      <c r="AE710" s="3" t="s">
        <v>1853</v>
      </c>
      <c r="AF710" s="3" t="s">
        <v>1873</v>
      </c>
      <c r="AG710" s="3" t="s">
        <v>1872</v>
      </c>
      <c r="AH710" s="3" t="s">
        <v>1874</v>
      </c>
      <c r="AI710" s="3" t="s">
        <v>1875</v>
      </c>
      <c r="AJ710" s="3" t="s">
        <v>1876</v>
      </c>
      <c r="AK710" s="3" t="s">
        <v>1877</v>
      </c>
      <c r="AL710" s="3" t="s">
        <v>1878</v>
      </c>
      <c r="AM710" s="3" t="s">
        <v>1879</v>
      </c>
    </row>
    <row r="711">
      <c r="A711" s="3">
        <v>689.0</v>
      </c>
      <c r="B711" s="3" t="s">
        <v>189</v>
      </c>
      <c r="C711" s="3" t="s">
        <v>190</v>
      </c>
      <c r="D711" s="3" t="s">
        <v>1880</v>
      </c>
      <c r="E711" s="3" t="s">
        <v>1881</v>
      </c>
      <c r="F711" s="3" t="s">
        <v>1882</v>
      </c>
      <c r="G711" s="3" t="str">
        <f>IFERROR(__xludf.DUMMYFUNCTION("GOOGLETRANSLATE(D711,""fr"",""es"")"),"mascota")</f>
        <v>mascota</v>
      </c>
      <c r="H711" s="3" t="s">
        <v>1883</v>
      </c>
      <c r="I711" s="3" t="s">
        <v>1884</v>
      </c>
      <c r="J711" s="3" t="s">
        <v>1885</v>
      </c>
      <c r="K711" s="3" t="s">
        <v>1886</v>
      </c>
      <c r="L711" s="3" t="s">
        <v>1887</v>
      </c>
      <c r="M711" s="3" t="s">
        <v>1888</v>
      </c>
      <c r="N711" s="3" t="s">
        <v>1889</v>
      </c>
      <c r="O711" s="3" t="s">
        <v>1890</v>
      </c>
      <c r="P711" s="3" t="s">
        <v>1891</v>
      </c>
    </row>
    <row r="712">
      <c r="A712" s="3">
        <v>690.0</v>
      </c>
      <c r="B712" s="3" t="s">
        <v>189</v>
      </c>
      <c r="C712" s="3" t="s">
        <v>190</v>
      </c>
      <c r="D712" s="3" t="s">
        <v>1892</v>
      </c>
      <c r="E712" s="3" t="s">
        <v>1881</v>
      </c>
      <c r="F712" s="3" t="s">
        <v>1882</v>
      </c>
      <c r="G712" s="3" t="str">
        <f>IFERROR(__xludf.DUMMYFUNCTION("GOOGLETRANSLATE(D712,""fr"",""es"")"),"querida")</f>
        <v>querida</v>
      </c>
    </row>
    <row r="713">
      <c r="A713" s="3">
        <v>691.0</v>
      </c>
      <c r="B713" s="3" t="s">
        <v>189</v>
      </c>
      <c r="C713" s="3" t="s">
        <v>190</v>
      </c>
      <c r="D713" s="3" t="s">
        <v>1893</v>
      </c>
      <c r="E713" s="3" t="s">
        <v>1894</v>
      </c>
      <c r="F713" s="3" t="s">
        <v>1895</v>
      </c>
      <c r="G713" s="3" t="str">
        <f>IFERROR(__xludf.DUMMYFUNCTION("GOOGLETRANSLATE(D713,""fr"",""es"")"),"querida")</f>
        <v>querida</v>
      </c>
    </row>
    <row r="714">
      <c r="A714" s="3">
        <v>692.0</v>
      </c>
      <c r="B714" s="3" t="s">
        <v>189</v>
      </c>
      <c r="C714" s="3" t="s">
        <v>190</v>
      </c>
      <c r="D714" s="3" t="s">
        <v>1896</v>
      </c>
      <c r="E714" s="3" t="s">
        <v>1894</v>
      </c>
      <c r="F714" s="3" t="s">
        <v>1895</v>
      </c>
      <c r="G714" s="3" t="str">
        <f>IFERROR(__xludf.DUMMYFUNCTION("GOOGLETRANSLATE(D714,""fr"",""es"")"),"querida")</f>
        <v>querida</v>
      </c>
    </row>
    <row r="715">
      <c r="A715" s="3">
        <v>693.0</v>
      </c>
      <c r="B715" s="3" t="s">
        <v>189</v>
      </c>
      <c r="C715" s="3" t="s">
        <v>190</v>
      </c>
      <c r="D715" s="3" t="s">
        <v>1897</v>
      </c>
      <c r="E715" s="3" t="s">
        <v>1894</v>
      </c>
      <c r="F715" s="3" t="s">
        <v>1895</v>
      </c>
      <c r="G715" s="3" t="str">
        <f>IFERROR(__xludf.DUMMYFUNCTION("GOOGLETRANSLATE(D715,""fr"",""es"")"),"querida")</f>
        <v>querida</v>
      </c>
    </row>
    <row r="716">
      <c r="A716" s="3">
        <v>694.0</v>
      </c>
      <c r="B716" s="3" t="s">
        <v>189</v>
      </c>
      <c r="C716" s="3" t="s">
        <v>190</v>
      </c>
      <c r="D716" s="3" t="s">
        <v>1898</v>
      </c>
      <c r="E716" s="3" t="s">
        <v>1894</v>
      </c>
      <c r="F716" s="3" t="s">
        <v>1895</v>
      </c>
      <c r="G716" s="3" t="str">
        <f>IFERROR(__xludf.DUMMYFUNCTION("GOOGLETRANSLATE(D716,""fr"",""es"")"),"mimado")</f>
        <v>mimado</v>
      </c>
    </row>
    <row r="717">
      <c r="A717" s="3">
        <v>695.0</v>
      </c>
      <c r="B717" s="3" t="s">
        <v>189</v>
      </c>
      <c r="C717" s="3" t="s">
        <v>190</v>
      </c>
      <c r="D717" s="3" t="s">
        <v>1899</v>
      </c>
      <c r="E717" s="3" t="s">
        <v>1900</v>
      </c>
      <c r="F717" s="3" t="s">
        <v>1901</v>
      </c>
      <c r="G717" s="3" t="str">
        <f>IFERROR(__xludf.DUMMYFUNCTION("GOOGLETRANSLATE(D717,""fr"",""es"")"),"querida")</f>
        <v>querida</v>
      </c>
    </row>
    <row r="718">
      <c r="A718" s="3">
        <v>696.0</v>
      </c>
      <c r="B718" s="3" t="s">
        <v>189</v>
      </c>
      <c r="C718" s="3" t="s">
        <v>190</v>
      </c>
      <c r="D718" s="3" t="s">
        <v>1902</v>
      </c>
      <c r="E718" s="3" t="s">
        <v>1903</v>
      </c>
      <c r="F718" s="3" t="s">
        <v>1904</v>
      </c>
      <c r="G718" s="3" t="str">
        <f>IFERROR(__xludf.DUMMYFUNCTION("GOOGLETRANSLATE(D718,""fr"",""es"")"),"querida")</f>
        <v>querida</v>
      </c>
    </row>
    <row r="719">
      <c r="A719" s="3">
        <v>697.0</v>
      </c>
      <c r="B719" s="3" t="s">
        <v>189</v>
      </c>
      <c r="C719" s="3" t="s">
        <v>190</v>
      </c>
      <c r="D719" s="3" t="s">
        <v>1905</v>
      </c>
      <c r="E719" s="3" t="s">
        <v>1903</v>
      </c>
      <c r="F719" s="3" t="s">
        <v>1904</v>
      </c>
      <c r="G719" s="3" t="str">
        <f>IFERROR(__xludf.DUMMYFUNCTION("GOOGLETRANSLATE(D719,""fr"",""es"")"),"mimar")</f>
        <v>mimar</v>
      </c>
    </row>
    <row r="720">
      <c r="A720" s="3">
        <v>698.0</v>
      </c>
      <c r="B720" s="3" t="s">
        <v>189</v>
      </c>
      <c r="C720" s="3" t="s">
        <v>190</v>
      </c>
      <c r="D720" s="3" t="s">
        <v>1906</v>
      </c>
      <c r="E720" s="3" t="s">
        <v>1903</v>
      </c>
      <c r="F720" s="3" t="s">
        <v>1904</v>
      </c>
      <c r="G720" s="3" t="str">
        <f>IFERROR(__xludf.DUMMYFUNCTION("GOOGLETRANSLATE(D720,""fr"",""es"")"),"querida")</f>
        <v>querida</v>
      </c>
    </row>
    <row r="721">
      <c r="A721" s="3">
        <v>699.0</v>
      </c>
      <c r="B721" s="3" t="s">
        <v>189</v>
      </c>
      <c r="C721" s="3" t="s">
        <v>190</v>
      </c>
      <c r="D721" s="3" t="s">
        <v>1907</v>
      </c>
      <c r="E721" s="3" t="s">
        <v>1850</v>
      </c>
      <c r="F721" s="3" t="s">
        <v>1851</v>
      </c>
      <c r="G721" s="3" t="str">
        <f>IFERROR(__xludf.DUMMYFUNCTION("GOOGLETRANSLATE(D721,""fr"",""es"")"),"repollo")</f>
        <v>repollo</v>
      </c>
    </row>
    <row r="722">
      <c r="A722" s="3">
        <v>700.0</v>
      </c>
      <c r="B722" s="3" t="s">
        <v>189</v>
      </c>
      <c r="C722" s="3" t="s">
        <v>190</v>
      </c>
      <c r="D722" s="3" t="s">
        <v>1908</v>
      </c>
      <c r="E722" s="3" t="s">
        <v>1909</v>
      </c>
      <c r="F722" s="3" t="s">
        <v>1910</v>
      </c>
      <c r="G722" s="3" t="str">
        <f>IFERROR(__xludf.DUMMYFUNCTION("GOOGLETRANSLATE(D722,""fr"",""es"")"),"este")</f>
        <v>este</v>
      </c>
    </row>
    <row r="723">
      <c r="A723" s="3">
        <v>701.0</v>
      </c>
      <c r="B723" s="3" t="s">
        <v>189</v>
      </c>
      <c r="C723" s="3" t="s">
        <v>190</v>
      </c>
      <c r="D723" s="3" t="s">
        <v>1911</v>
      </c>
      <c r="E723" s="3" t="s">
        <v>1912</v>
      </c>
      <c r="F723" s="3" t="s">
        <v>1913</v>
      </c>
      <c r="G723" s="3" t="str">
        <f>IFERROR(__xludf.DUMMYFUNCTION("GOOGLETRANSLATE(D723,""fr"",""es"")"),"pestaña")</f>
        <v>pestaña</v>
      </c>
      <c r="H723" s="3" t="s">
        <v>1914</v>
      </c>
      <c r="I723" s="3" t="s">
        <v>1915</v>
      </c>
      <c r="J723" s="3" t="s">
        <v>1916</v>
      </c>
      <c r="K723" s="3" t="s">
        <v>1917</v>
      </c>
      <c r="L723" s="3" t="s">
        <v>1918</v>
      </c>
      <c r="M723" s="3" t="s">
        <v>1919</v>
      </c>
      <c r="N723" s="3" t="s">
        <v>1920</v>
      </c>
      <c r="O723" s="3" t="s">
        <v>1921</v>
      </c>
      <c r="P723" s="3" t="s">
        <v>1919</v>
      </c>
      <c r="Q723" s="3" t="s">
        <v>1920</v>
      </c>
      <c r="R723" s="3" t="s">
        <v>1921</v>
      </c>
    </row>
    <row r="724">
      <c r="A724" s="3">
        <v>702.0</v>
      </c>
      <c r="B724" s="3" t="s">
        <v>189</v>
      </c>
      <c r="C724" s="3" t="s">
        <v>190</v>
      </c>
      <c r="D724" s="3" t="s">
        <v>1922</v>
      </c>
      <c r="E724" s="3" t="s">
        <v>1923</v>
      </c>
      <c r="F724" s="3" t="s">
        <v>1924</v>
      </c>
      <c r="G724" s="3" t="str">
        <f>IFERROR(__xludf.DUMMYFUNCTION("GOOGLETRANSLATE(D724,""fr"",""es"")"),"material de pelo")</f>
        <v>material de pelo</v>
      </c>
    </row>
    <row r="725">
      <c r="A725" s="3">
        <v>703.0</v>
      </c>
      <c r="B725" s="3" t="s">
        <v>189</v>
      </c>
      <c r="C725" s="3" t="s">
        <v>190</v>
      </c>
      <c r="D725" s="3" t="s">
        <v>1925</v>
      </c>
      <c r="E725" s="3" t="s">
        <v>1923</v>
      </c>
      <c r="F725" s="3" t="s">
        <v>1924</v>
      </c>
      <c r="G725" s="3" t="str">
        <f>IFERROR(__xludf.DUMMYFUNCTION("GOOGLETRANSLATE(D725,""fr"",""es"")"),"material de pelo")</f>
        <v>material de pelo</v>
      </c>
    </row>
    <row r="726">
      <c r="A726" s="3">
        <v>704.0</v>
      </c>
      <c r="B726" s="3" t="s">
        <v>189</v>
      </c>
      <c r="C726" s="3" t="s">
        <v>190</v>
      </c>
      <c r="D726" s="3" t="s">
        <v>1926</v>
      </c>
      <c r="E726" s="3" t="s">
        <v>1927</v>
      </c>
      <c r="F726" s="3" t="s">
        <v>1928</v>
      </c>
      <c r="G726" s="3" t="str">
        <f>IFERROR(__xludf.DUMMYFUNCTION("GOOGLETRANSLATE(D726,""fr"",""es"")"),"cillai")</f>
        <v>cillai</v>
      </c>
    </row>
    <row r="727">
      <c r="A727" s="3">
        <v>705.0</v>
      </c>
      <c r="B727" s="3" t="s">
        <v>189</v>
      </c>
      <c r="C727" s="3" t="s">
        <v>190</v>
      </c>
      <c r="D727" s="3" t="s">
        <v>1929</v>
      </c>
      <c r="E727" s="3" t="s">
        <v>1927</v>
      </c>
      <c r="F727" s="3" t="s">
        <v>1928</v>
      </c>
      <c r="G727" s="3" t="str">
        <f>IFERROR(__xludf.DUMMYFUNCTION("GOOGLETRANSLATE(D727,""fr"",""es"")"),"marchito")</f>
        <v>marchito</v>
      </c>
    </row>
    <row r="728">
      <c r="A728" s="3">
        <v>706.0</v>
      </c>
      <c r="B728" s="3" t="s">
        <v>189</v>
      </c>
      <c r="C728" s="3" t="s">
        <v>190</v>
      </c>
      <c r="D728" s="3" t="s">
        <v>1930</v>
      </c>
      <c r="E728" s="3" t="s">
        <v>1927</v>
      </c>
      <c r="F728" s="3" t="s">
        <v>1928</v>
      </c>
      <c r="G728" s="3" t="str">
        <f>IFERROR(__xludf.DUMMYFUNCTION("GOOGLETRANSLATE(D728,""fr"",""es"")"),"cillais")</f>
        <v>cillais</v>
      </c>
    </row>
    <row r="729">
      <c r="A729" s="3">
        <v>707.0</v>
      </c>
      <c r="B729" s="3" t="s">
        <v>189</v>
      </c>
      <c r="C729" s="3" t="s">
        <v>190</v>
      </c>
      <c r="D729" s="3" t="s">
        <v>1931</v>
      </c>
      <c r="E729" s="3" t="s">
        <v>1927</v>
      </c>
      <c r="F729" s="3" t="s">
        <v>1928</v>
      </c>
      <c r="G729" s="3" t="str">
        <f>IFERROR(__xludf.DUMMYFUNCTION("GOOGLETRANSLATE(D729,""fr"",""es"")"),"marchito")</f>
        <v>marchito</v>
      </c>
    </row>
    <row r="730">
      <c r="A730" s="3">
        <v>708.0</v>
      </c>
      <c r="B730" s="3" t="s">
        <v>189</v>
      </c>
      <c r="C730" s="3" t="s">
        <v>190</v>
      </c>
      <c r="D730" s="3" t="s">
        <v>1932</v>
      </c>
      <c r="E730" s="3" t="s">
        <v>1933</v>
      </c>
      <c r="F730" s="3" t="s">
        <v>1934</v>
      </c>
      <c r="G730" s="3" t="str">
        <f>IFERROR(__xludf.DUMMYFUNCTION("GOOGLETRANSLATE(D730,""fr"",""es"")"),"cillâme")</f>
        <v>cillâme</v>
      </c>
    </row>
    <row r="731">
      <c r="A731" s="3">
        <v>709.0</v>
      </c>
      <c r="B731" s="3" t="s">
        <v>189</v>
      </c>
      <c r="C731" s="3" t="s">
        <v>190</v>
      </c>
      <c r="D731" s="3" t="s">
        <v>1935</v>
      </c>
      <c r="E731" s="3" t="s">
        <v>1936</v>
      </c>
      <c r="F731" s="3" t="s">
        <v>1937</v>
      </c>
      <c r="G731" s="3" t="str">
        <f>IFERROR(__xludf.DUMMYFUNCTION("GOOGLETRANSLATE(D731,""fr"",""es"")"),"cillage")</f>
        <v>cillage</v>
      </c>
    </row>
    <row r="732">
      <c r="A732" s="3">
        <v>710.0</v>
      </c>
      <c r="B732" s="3" t="s">
        <v>189</v>
      </c>
      <c r="C732" s="3" t="s">
        <v>190</v>
      </c>
      <c r="D732" s="3" t="s">
        <v>1938</v>
      </c>
      <c r="E732" s="3" t="s">
        <v>1936</v>
      </c>
      <c r="F732" s="3" t="s">
        <v>1937</v>
      </c>
      <c r="G732" s="3" t="str">
        <f>IFERROR(__xludf.DUMMYFUNCTION("GOOGLETRANSLATE(D732,""fr"",""es"")"),"culpamiento")</f>
        <v>culpamiento</v>
      </c>
    </row>
    <row r="733">
      <c r="A733" s="3">
        <v>711.0</v>
      </c>
      <c r="B733" s="3" t="s">
        <v>189</v>
      </c>
      <c r="C733" s="3" t="s">
        <v>190</v>
      </c>
      <c r="D733" s="3" t="s">
        <v>1939</v>
      </c>
      <c r="E733" s="3" t="s">
        <v>1936</v>
      </c>
      <c r="F733" s="3" t="s">
        <v>1937</v>
      </c>
      <c r="G733" s="3" t="str">
        <f>IFERROR(__xludf.DUMMYFUNCTION("GOOGLETRANSLATE(D733,""fr"",""es"")"),"cillasses")</f>
        <v>cillasses</v>
      </c>
    </row>
    <row r="734">
      <c r="A734" s="3">
        <v>712.0</v>
      </c>
      <c r="B734" s="3" t="s">
        <v>189</v>
      </c>
      <c r="C734" s="3" t="s">
        <v>190</v>
      </c>
      <c r="D734" s="3" t="s">
        <v>1940</v>
      </c>
      <c r="E734" s="3" t="s">
        <v>1941</v>
      </c>
      <c r="F734" s="3" t="s">
        <v>1942</v>
      </c>
      <c r="G734" s="3" t="str">
        <f>IFERROR(__xludf.DUMMYFUNCTION("GOOGLETRANSLATE(D734,""fr"",""es"")"),"cila")</f>
        <v>cila</v>
      </c>
    </row>
    <row r="735">
      <c r="A735" s="3">
        <v>713.0</v>
      </c>
      <c r="B735" s="3" t="s">
        <v>189</v>
      </c>
      <c r="C735" s="3" t="s">
        <v>190</v>
      </c>
      <c r="D735" s="3" t="s">
        <v>1943</v>
      </c>
      <c r="E735" s="3" t="s">
        <v>1941</v>
      </c>
      <c r="F735" s="3" t="s">
        <v>1942</v>
      </c>
      <c r="G735" s="3" t="str">
        <f>IFERROR(__xludf.DUMMYFUNCTION("GOOGLETRANSLATE(D735,""fr"",""es"")"),"cila")</f>
        <v>cila</v>
      </c>
    </row>
    <row r="736">
      <c r="A736" s="3">
        <v>714.0</v>
      </c>
      <c r="B736" s="3" t="s">
        <v>189</v>
      </c>
      <c r="C736" s="3" t="s">
        <v>190</v>
      </c>
      <c r="D736" s="3" t="s">
        <v>1944</v>
      </c>
      <c r="E736" s="3" t="s">
        <v>1941</v>
      </c>
      <c r="F736" s="3" t="s">
        <v>1942</v>
      </c>
      <c r="G736" s="3" t="str">
        <f>IFERROR(__xludf.DUMMYFUNCTION("GOOGLETRANSLATE(D736,""fr"",""es"")"),"cilles")</f>
        <v>cilles</v>
      </c>
    </row>
    <row r="737">
      <c r="A737" s="3">
        <v>715.0</v>
      </c>
      <c r="B737" s="3" t="s">
        <v>189</v>
      </c>
      <c r="C737" s="3" t="s">
        <v>190</v>
      </c>
      <c r="D737" s="3" t="s">
        <v>1945</v>
      </c>
      <c r="E737" s="3" t="s">
        <v>1912</v>
      </c>
      <c r="F737" s="3" t="s">
        <v>1913</v>
      </c>
      <c r="G737" s="3" t="str">
        <f>IFERROR(__xludf.DUMMYFUNCTION("GOOGLETRANSLATE(D737,""fr"",""es"")"),"pestaña")</f>
        <v>pestaña</v>
      </c>
      <c r="H737" s="3" t="s">
        <v>1919</v>
      </c>
      <c r="I737" s="3" t="s">
        <v>1920</v>
      </c>
      <c r="J737" s="3" t="s">
        <v>1921</v>
      </c>
    </row>
    <row r="738">
      <c r="A738" s="3">
        <v>716.0</v>
      </c>
      <c r="B738" s="3" t="s">
        <v>189</v>
      </c>
      <c r="C738" s="3" t="s">
        <v>190</v>
      </c>
      <c r="D738" s="3" t="s">
        <v>1946</v>
      </c>
      <c r="E738" s="3" t="s">
        <v>1947</v>
      </c>
      <c r="F738" s="3" t="s">
        <v>1948</v>
      </c>
      <c r="G738" s="3" t="str">
        <f>IFERROR(__xludf.DUMMYFUNCTION("GOOGLETRANSLATE(D738,""fr"",""es"")"),"parte superior")</f>
        <v>parte superior</v>
      </c>
      <c r="H738" s="3" t="s">
        <v>1949</v>
      </c>
      <c r="I738" s="3" t="s">
        <v>1950</v>
      </c>
      <c r="J738" s="3" t="s">
        <v>1951</v>
      </c>
      <c r="K738" s="3" t="s">
        <v>1952</v>
      </c>
      <c r="L738" s="3" t="s">
        <v>1953</v>
      </c>
      <c r="M738" s="3" t="s">
        <v>1954</v>
      </c>
      <c r="N738" s="3" t="s">
        <v>1955</v>
      </c>
      <c r="O738" s="3" t="s">
        <v>1956</v>
      </c>
      <c r="P738" s="3" t="s">
        <v>1957</v>
      </c>
      <c r="Q738" s="3" t="s">
        <v>1958</v>
      </c>
      <c r="R738" s="3" t="s">
        <v>1959</v>
      </c>
      <c r="S738" s="3" t="s">
        <v>1960</v>
      </c>
      <c r="T738" s="3" t="s">
        <v>1954</v>
      </c>
      <c r="U738" s="3" t="s">
        <v>1951</v>
      </c>
      <c r="V738" s="3" t="s">
        <v>1961</v>
      </c>
      <c r="W738" s="3" t="s">
        <v>1962</v>
      </c>
      <c r="X738" s="3" t="s">
        <v>1963</v>
      </c>
      <c r="Y738" s="3" t="s">
        <v>1958</v>
      </c>
      <c r="Z738" s="3" t="s">
        <v>1954</v>
      </c>
      <c r="AA738" s="3" t="s">
        <v>1961</v>
      </c>
      <c r="AB738" s="3" t="s">
        <v>1964</v>
      </c>
      <c r="AC738" s="3" t="s">
        <v>1965</v>
      </c>
      <c r="AD738" s="3" t="s">
        <v>1954</v>
      </c>
      <c r="AE738" s="3" t="s">
        <v>1966</v>
      </c>
      <c r="AF738" s="3" t="s">
        <v>1959</v>
      </c>
      <c r="AG738" s="3" t="s">
        <v>1967</v>
      </c>
      <c r="AH738" s="3" t="s">
        <v>1968</v>
      </c>
      <c r="AI738" s="3" t="s">
        <v>1969</v>
      </c>
      <c r="AJ738" s="3" t="s">
        <v>1957</v>
      </c>
    </row>
    <row r="739">
      <c r="A739" s="3">
        <v>717.0</v>
      </c>
      <c r="B739" s="3" t="s">
        <v>189</v>
      </c>
      <c r="C739" s="3" t="s">
        <v>190</v>
      </c>
      <c r="D739" s="3" t="s">
        <v>1970</v>
      </c>
      <c r="E739" s="3" t="s">
        <v>1947</v>
      </c>
      <c r="F739" s="3" t="s">
        <v>1948</v>
      </c>
      <c r="G739" s="3" t="str">
        <f>IFERROR(__xludf.DUMMYFUNCTION("GOOGLETRANSLATE(D739,""fr"",""es"")"),"picos")</f>
        <v>picos</v>
      </c>
    </row>
    <row r="740">
      <c r="A740" s="3">
        <v>718.0</v>
      </c>
      <c r="B740" s="3" t="s">
        <v>189</v>
      </c>
      <c r="C740" s="3" t="s">
        <v>190</v>
      </c>
      <c r="D740" s="3" t="s">
        <v>1971</v>
      </c>
      <c r="E740" s="3" t="s">
        <v>1972</v>
      </c>
      <c r="F740" s="3" t="s">
        <v>1973</v>
      </c>
      <c r="G740" s="3" t="str">
        <f>IFERROR(__xludf.DUMMYFUNCTION("GOOGLETRANSLATE(D740,""fr"",""es"")"),"urbano")</f>
        <v>urbano</v>
      </c>
    </row>
    <row r="741">
      <c r="A741" s="3">
        <v>719.0</v>
      </c>
      <c r="B741" s="3" t="s">
        <v>189</v>
      </c>
      <c r="C741" s="3" t="s">
        <v>190</v>
      </c>
      <c r="D741" s="3" t="s">
        <v>1974</v>
      </c>
      <c r="E741" s="3" t="s">
        <v>1972</v>
      </c>
      <c r="F741" s="3" t="s">
        <v>1973</v>
      </c>
      <c r="G741" s="3" t="str">
        <f>IFERROR(__xludf.DUMMYFUNCTION("GOOGLETRANSLATE(D741,""fr"",""es"")"),"sostenido")</f>
        <v>sostenido</v>
      </c>
    </row>
    <row r="742">
      <c r="A742" s="3">
        <v>720.0</v>
      </c>
      <c r="B742" s="3" t="s">
        <v>189</v>
      </c>
      <c r="C742" s="3" t="s">
        <v>190</v>
      </c>
      <c r="D742" s="3" t="s">
        <v>1975</v>
      </c>
      <c r="E742" s="3" t="s">
        <v>1972</v>
      </c>
      <c r="F742" s="3" t="s">
        <v>1973</v>
      </c>
      <c r="G742" s="3" t="str">
        <f>IFERROR(__xludf.DUMMYFUNCTION("GOOGLETRANSLATE(D742,""fr"",""es"")"),"ciudadano")</f>
        <v>ciudadano</v>
      </c>
    </row>
    <row r="743">
      <c r="A743" s="3">
        <v>721.0</v>
      </c>
      <c r="B743" s="3" t="s">
        <v>189</v>
      </c>
      <c r="C743" s="3" t="s">
        <v>190</v>
      </c>
      <c r="D743" s="3" t="s">
        <v>1976</v>
      </c>
      <c r="E743" s="3" t="s">
        <v>1972</v>
      </c>
      <c r="F743" s="3" t="s">
        <v>1973</v>
      </c>
      <c r="G743" s="3" t="str">
        <f>IFERROR(__xludf.DUMMYFUNCTION("GOOGLETRANSLATE(D743,""fr"",""es"")"),"citado")</f>
        <v>citado</v>
      </c>
    </row>
    <row r="744">
      <c r="A744" s="3">
        <v>722.0</v>
      </c>
      <c r="B744" s="3" t="s">
        <v>189</v>
      </c>
      <c r="C744" s="3" t="s">
        <v>190</v>
      </c>
      <c r="D744" s="3" t="s">
        <v>1977</v>
      </c>
      <c r="E744" s="3" t="s">
        <v>1978</v>
      </c>
      <c r="F744" s="3" t="s">
        <v>1979</v>
      </c>
      <c r="G744" s="3" t="str">
        <f>IFERROR(__xludf.DUMMYFUNCTION("GOOGLETRANSLATE(D744,""fr"",""es"")"),"plantador")</f>
        <v>plantador</v>
      </c>
    </row>
    <row r="745">
      <c r="A745" s="3">
        <v>723.0</v>
      </c>
      <c r="B745" s="3" t="s">
        <v>189</v>
      </c>
      <c r="C745" s="3" t="s">
        <v>190</v>
      </c>
      <c r="D745" s="3" t="s">
        <v>1980</v>
      </c>
      <c r="E745" s="3" t="s">
        <v>1981</v>
      </c>
      <c r="F745" s="3" t="s">
        <v>1982</v>
      </c>
      <c r="G745" s="3" t="str">
        <f>IFERROR(__xludf.DUMMYFUNCTION("GOOGLETRANSLATE(D745,""fr"",""es"")"),"florecer")</f>
        <v>florecer</v>
      </c>
    </row>
    <row r="746">
      <c r="A746" s="3">
        <v>724.0</v>
      </c>
      <c r="B746" s="3" t="s">
        <v>189</v>
      </c>
      <c r="C746" s="3" t="s">
        <v>190</v>
      </c>
      <c r="D746" s="3" t="s">
        <v>1983</v>
      </c>
      <c r="E746" s="3" t="s">
        <v>1981</v>
      </c>
      <c r="F746" s="3" t="s">
        <v>1982</v>
      </c>
      <c r="G746" s="3" t="str">
        <f>IFERROR(__xludf.DUMMYFUNCTION("GOOGLETRANSLATE(D746,""fr"",""es"")"),"cotizar")</f>
        <v>cotizar</v>
      </c>
    </row>
    <row r="747">
      <c r="A747" s="3">
        <v>725.0</v>
      </c>
      <c r="B747" s="3" t="s">
        <v>189</v>
      </c>
      <c r="C747" s="3" t="s">
        <v>190</v>
      </c>
      <c r="D747" s="3" t="s">
        <v>1984</v>
      </c>
      <c r="E747" s="3" t="s">
        <v>1981</v>
      </c>
      <c r="F747" s="3" t="s">
        <v>1982</v>
      </c>
      <c r="G747" s="3" t="str">
        <f>IFERROR(__xludf.DUMMYFUNCTION("GOOGLETRANSLATE(D747,""fr"",""es"")"),"cotas")</f>
        <v>cotas</v>
      </c>
    </row>
    <row r="748">
      <c r="A748" s="3">
        <v>726.0</v>
      </c>
      <c r="B748" s="3" t="s">
        <v>189</v>
      </c>
      <c r="C748" s="3" t="s">
        <v>190</v>
      </c>
      <c r="D748" s="3" t="s">
        <v>1985</v>
      </c>
      <c r="E748" s="3" t="s">
        <v>1986</v>
      </c>
      <c r="F748" s="3" t="s">
        <v>1987</v>
      </c>
      <c r="G748" s="3" t="str">
        <f>IFERROR(__xludf.DUMMYFUNCTION("GOOGLETRANSLATE(D748,""fr"",""es"")"),"Galleta")</f>
        <v>Galleta</v>
      </c>
    </row>
    <row r="749">
      <c r="A749" s="3">
        <v>727.0</v>
      </c>
      <c r="B749" s="3" t="s">
        <v>189</v>
      </c>
      <c r="C749" s="3" t="s">
        <v>190</v>
      </c>
      <c r="D749" s="3" t="s">
        <v>1988</v>
      </c>
      <c r="E749" s="3" t="s">
        <v>1989</v>
      </c>
      <c r="F749" s="3" t="s">
        <v>1990</v>
      </c>
      <c r="G749" s="3" t="str">
        <f>IFERROR(__xludf.DUMMYFUNCTION("GOOGLETRANSLATE(D749,""fr"",""es"")"),"Frío")</f>
        <v>Frío</v>
      </c>
      <c r="H749" s="3" t="s">
        <v>1988</v>
      </c>
      <c r="I749" s="3" t="s">
        <v>1991</v>
      </c>
      <c r="J749" s="3" t="s">
        <v>1992</v>
      </c>
      <c r="K749" s="3" t="s">
        <v>1988</v>
      </c>
      <c r="L749" s="3" t="s">
        <v>1993</v>
      </c>
      <c r="M749" s="3" t="s">
        <v>1994</v>
      </c>
      <c r="N749" s="3" t="s">
        <v>1988</v>
      </c>
      <c r="O749" s="3" t="s">
        <v>1988</v>
      </c>
      <c r="P749" s="3" t="s">
        <v>1988</v>
      </c>
      <c r="Q749" s="3" t="s">
        <v>1988</v>
      </c>
      <c r="R749" s="3" t="s">
        <v>1995</v>
      </c>
      <c r="S749" s="3" t="s">
        <v>1996</v>
      </c>
      <c r="T749" s="3" t="s">
        <v>1988</v>
      </c>
      <c r="U749" s="3" t="s">
        <v>1997</v>
      </c>
      <c r="V749" s="3" t="s">
        <v>1998</v>
      </c>
      <c r="W749" s="3" t="s">
        <v>1988</v>
      </c>
    </row>
    <row r="750">
      <c r="A750" s="3">
        <v>728.0</v>
      </c>
      <c r="B750" s="3" t="s">
        <v>189</v>
      </c>
      <c r="C750" s="3" t="s">
        <v>190</v>
      </c>
      <c r="D750" s="3" t="s">
        <v>1999</v>
      </c>
      <c r="E750" s="3" t="s">
        <v>2000</v>
      </c>
      <c r="F750" s="3" t="s">
        <v>2001</v>
      </c>
      <c r="G750" s="3" t="str">
        <f>IFERROR(__xludf.DUMMYFUNCTION("GOOGLETRANSLATE(D750,""fr"",""es"")"),"cuello")</f>
        <v>cuello</v>
      </c>
      <c r="H750" s="3" t="s">
        <v>2002</v>
      </c>
      <c r="I750" s="3" t="s">
        <v>2002</v>
      </c>
      <c r="J750" s="3" t="s">
        <v>2003</v>
      </c>
      <c r="K750" s="3" t="s">
        <v>2004</v>
      </c>
      <c r="L750" s="3" t="s">
        <v>2005</v>
      </c>
      <c r="M750" s="3" t="s">
        <v>2006</v>
      </c>
      <c r="N750" s="3" t="s">
        <v>2002</v>
      </c>
      <c r="O750" s="3" t="s">
        <v>2007</v>
      </c>
      <c r="P750" s="3" t="s">
        <v>2008</v>
      </c>
      <c r="Q750" s="3" t="s">
        <v>2009</v>
      </c>
      <c r="R750" s="3" t="s">
        <v>2010</v>
      </c>
      <c r="S750" s="3" t="s">
        <v>2011</v>
      </c>
    </row>
    <row r="751">
      <c r="A751" s="3">
        <v>729.0</v>
      </c>
      <c r="B751" s="3" t="s">
        <v>189</v>
      </c>
      <c r="C751" s="3" t="s">
        <v>190</v>
      </c>
      <c r="D751" s="3" t="s">
        <v>2012</v>
      </c>
      <c r="E751" s="3" t="s">
        <v>2013</v>
      </c>
      <c r="F751" s="3" t="s">
        <v>2014</v>
      </c>
      <c r="G751" s="3" t="str">
        <f>IFERROR(__xludf.DUMMYFUNCTION("GOOGLETRANSLATE(D751,""fr"",""es"")"),"cama")</f>
        <v>cama</v>
      </c>
    </row>
    <row r="752">
      <c r="A752" s="3">
        <v>730.0</v>
      </c>
      <c r="B752" s="3" t="s">
        <v>189</v>
      </c>
      <c r="C752" s="3" t="s">
        <v>190</v>
      </c>
      <c r="D752" s="3" t="s">
        <v>2015</v>
      </c>
      <c r="E752" s="3" t="s">
        <v>2013</v>
      </c>
      <c r="F752" s="3" t="s">
        <v>2014</v>
      </c>
      <c r="G752" s="3" t="str">
        <f>IFERROR(__xludf.DUMMYFUNCTION("GOOGLETRANSLATE(D752,""fr"",""es"")"),"dormido")</f>
        <v>dormido</v>
      </c>
    </row>
    <row r="753">
      <c r="A753" s="3">
        <v>731.0</v>
      </c>
      <c r="B753" s="3" t="s">
        <v>189</v>
      </c>
      <c r="C753" s="3" t="s">
        <v>190</v>
      </c>
      <c r="D753" s="3" t="s">
        <v>2016</v>
      </c>
      <c r="E753" s="3" t="s">
        <v>2013</v>
      </c>
      <c r="F753" s="3" t="s">
        <v>2014</v>
      </c>
      <c r="G753" s="3" t="str">
        <f>IFERROR(__xludf.DUMMYFUNCTION("GOOGLETRANSLATE(D753,""fr"",""es"")"),"cama")</f>
        <v>cama</v>
      </c>
    </row>
    <row r="754">
      <c r="A754" s="3">
        <v>732.0</v>
      </c>
      <c r="B754" s="3" t="s">
        <v>189</v>
      </c>
      <c r="C754" s="3" t="s">
        <v>190</v>
      </c>
      <c r="D754" s="3" t="s">
        <v>2017</v>
      </c>
      <c r="E754" s="3" t="s">
        <v>2013</v>
      </c>
      <c r="F754" s="3" t="s">
        <v>2014</v>
      </c>
      <c r="G754" s="3" t="str">
        <f>IFERROR(__xludf.DUMMYFUNCTION("GOOGLETRANSLATE(D754,""fr"",""es"")"),"demandar")</f>
        <v>demandar</v>
      </c>
    </row>
    <row r="755">
      <c r="A755" s="3">
        <v>733.0</v>
      </c>
      <c r="B755" s="3" t="s">
        <v>189</v>
      </c>
      <c r="C755" s="3" t="s">
        <v>190</v>
      </c>
      <c r="D755" s="3" t="s">
        <v>2018</v>
      </c>
      <c r="E755" s="3" t="s">
        <v>2019</v>
      </c>
      <c r="F755" s="3" t="s">
        <v>2020</v>
      </c>
      <c r="G755" s="3" t="str">
        <f>IFERROR(__xludf.DUMMYFUNCTION("GOOGLETRANSLATE(D755,""fr"",""es"")"),"sofá")</f>
        <v>sofá</v>
      </c>
    </row>
    <row r="756">
      <c r="A756" s="3">
        <v>734.0</v>
      </c>
      <c r="B756" s="3" t="s">
        <v>189</v>
      </c>
      <c r="C756" s="3" t="s">
        <v>190</v>
      </c>
      <c r="D756" s="3" t="s">
        <v>2021</v>
      </c>
      <c r="E756" s="3" t="s">
        <v>2022</v>
      </c>
      <c r="F756" s="3" t="s">
        <v>2023</v>
      </c>
      <c r="G756" s="3" t="str">
        <f>IFERROR(__xludf.DUMMYFUNCTION("GOOGLETRANSLATE(D756,""fr"",""es"")"),"mamón")</f>
        <v>mamón</v>
      </c>
    </row>
    <row r="757">
      <c r="A757" s="3">
        <v>735.0</v>
      </c>
      <c r="B757" s="3" t="s">
        <v>189</v>
      </c>
      <c r="C757" s="3" t="s">
        <v>190</v>
      </c>
      <c r="D757" s="3" t="s">
        <v>2024</v>
      </c>
      <c r="E757" s="3" t="s">
        <v>2022</v>
      </c>
      <c r="F757" s="3" t="s">
        <v>2023</v>
      </c>
      <c r="G757" s="3" t="str">
        <f>IFERROR(__xludf.DUMMYFUNCTION("GOOGLETRANSLATE(D757,""fr"",""es"")"),"configurar")</f>
        <v>configurar</v>
      </c>
    </row>
    <row r="758">
      <c r="A758" s="3">
        <v>736.0</v>
      </c>
      <c r="B758" s="3" t="s">
        <v>189</v>
      </c>
      <c r="C758" s="3" t="s">
        <v>190</v>
      </c>
      <c r="D758" s="3" t="s">
        <v>2025</v>
      </c>
      <c r="E758" s="3" t="s">
        <v>2022</v>
      </c>
      <c r="F758" s="3" t="s">
        <v>2023</v>
      </c>
      <c r="G758" s="3" t="str">
        <f>IFERROR(__xludf.DUMMYFUNCTION("GOOGLETRANSLATE(D758,""fr"",""es"")"),"cama")</f>
        <v>cama</v>
      </c>
    </row>
    <row r="759">
      <c r="A759" s="3">
        <v>737.0</v>
      </c>
      <c r="B759" s="3" t="s">
        <v>189</v>
      </c>
      <c r="C759" s="3" t="s">
        <v>190</v>
      </c>
      <c r="D759" s="3" t="s">
        <v>2026</v>
      </c>
      <c r="E759" s="3" t="s">
        <v>2027</v>
      </c>
      <c r="F759" s="3" t="s">
        <v>2028</v>
      </c>
      <c r="G759" s="3" t="str">
        <f>IFERROR(__xludf.DUMMYFUNCTION("GOOGLETRANSLATE(D759,""fr"",""es"")"),"capa")</f>
        <v>capa</v>
      </c>
      <c r="H759" s="3" t="s">
        <v>2029</v>
      </c>
      <c r="I759" s="3" t="s">
        <v>2030</v>
      </c>
      <c r="J759" s="3" t="s">
        <v>2031</v>
      </c>
      <c r="K759" s="3" t="s">
        <v>2032</v>
      </c>
      <c r="L759" s="3" t="s">
        <v>2033</v>
      </c>
      <c r="M759" s="3" t="s">
        <v>2034</v>
      </c>
      <c r="N759" s="3" t="s">
        <v>2035</v>
      </c>
      <c r="O759" s="3" t="s">
        <v>2033</v>
      </c>
      <c r="P759" s="3" t="s">
        <v>2036</v>
      </c>
      <c r="Q759" s="3" t="s">
        <v>2035</v>
      </c>
      <c r="R759" s="3" t="s">
        <v>2034</v>
      </c>
      <c r="S759" s="3" t="s">
        <v>2037</v>
      </c>
      <c r="T759" s="3" t="s">
        <v>2038</v>
      </c>
      <c r="U759" s="3" t="s">
        <v>2034</v>
      </c>
      <c r="V759" s="3" t="s">
        <v>2039</v>
      </c>
      <c r="W759" s="3" t="s">
        <v>2040</v>
      </c>
      <c r="X759" s="3" t="s">
        <v>2034</v>
      </c>
      <c r="Y759" s="3" t="s">
        <v>2039</v>
      </c>
    </row>
    <row r="760">
      <c r="A760" s="3">
        <v>738.0</v>
      </c>
      <c r="B760" s="3" t="s">
        <v>189</v>
      </c>
      <c r="C760" s="3" t="s">
        <v>190</v>
      </c>
      <c r="D760" s="3" t="s">
        <v>2041</v>
      </c>
      <c r="E760" s="3" t="s">
        <v>2027</v>
      </c>
      <c r="F760" s="3" t="s">
        <v>2028</v>
      </c>
      <c r="G760" s="3" t="str">
        <f>IFERROR(__xludf.DUMMYFUNCTION("GOOGLETRANSLATE(D760,""fr"",""es"")"),"poner")</f>
        <v>poner</v>
      </c>
    </row>
    <row r="761">
      <c r="A761" s="3">
        <v>739.0</v>
      </c>
      <c r="B761" s="3" t="s">
        <v>189</v>
      </c>
      <c r="C761" s="3" t="s">
        <v>190</v>
      </c>
      <c r="D761" s="3" t="s">
        <v>2042</v>
      </c>
      <c r="E761" s="3" t="s">
        <v>2027</v>
      </c>
      <c r="F761" s="3" t="s">
        <v>2028</v>
      </c>
      <c r="G761" s="3" t="str">
        <f>IFERROR(__xludf.DUMMYFUNCTION("GOOGLETRANSLATE(D761,""fr"",""es"")"),"capas")</f>
        <v>capas</v>
      </c>
    </row>
    <row r="762">
      <c r="A762" s="3">
        <v>740.0</v>
      </c>
      <c r="B762" s="3" t="s">
        <v>189</v>
      </c>
      <c r="C762" s="3" t="s">
        <v>190</v>
      </c>
      <c r="D762" s="3" t="s">
        <v>2043</v>
      </c>
      <c r="E762" s="3" t="s">
        <v>2044</v>
      </c>
      <c r="F762" s="3" t="s">
        <v>2045</v>
      </c>
      <c r="G762" s="3" t="str">
        <f>IFERROR(__xludf.DUMMYFUNCTION("GOOGLETRANSLATE(D762,""fr"",""es"")"),"Hola")</f>
        <v>Hola</v>
      </c>
      <c r="H762" s="3" t="s">
        <v>2046</v>
      </c>
      <c r="I762" s="3" t="s">
        <v>2046</v>
      </c>
      <c r="J762" s="3" t="s">
        <v>2047</v>
      </c>
      <c r="K762" s="3" t="s">
        <v>2048</v>
      </c>
      <c r="L762" s="3" t="s">
        <v>2049</v>
      </c>
      <c r="M762" s="3" t="s">
        <v>2050</v>
      </c>
      <c r="N762" s="3" t="s">
        <v>2051</v>
      </c>
      <c r="O762" s="3" t="s">
        <v>2052</v>
      </c>
      <c r="P762" s="3" t="s">
        <v>2053</v>
      </c>
      <c r="Q762" s="3" t="s">
        <v>593</v>
      </c>
      <c r="R762" s="3" t="s">
        <v>2054</v>
      </c>
      <c r="S762" s="3" t="s">
        <v>2046</v>
      </c>
      <c r="T762" s="3" t="s">
        <v>2055</v>
      </c>
      <c r="U762" s="3" t="s">
        <v>2056</v>
      </c>
      <c r="V762" s="3" t="s">
        <v>2057</v>
      </c>
      <c r="W762" s="3" t="s">
        <v>2058</v>
      </c>
      <c r="X762" s="3" t="s">
        <v>2059</v>
      </c>
    </row>
    <row r="763">
      <c r="A763" s="3">
        <v>741.0</v>
      </c>
      <c r="B763" s="3" t="s">
        <v>189</v>
      </c>
      <c r="C763" s="3" t="s">
        <v>190</v>
      </c>
      <c r="D763" s="3" t="s">
        <v>2060</v>
      </c>
      <c r="E763" s="3" t="s">
        <v>2044</v>
      </c>
      <c r="F763" s="3" t="s">
        <v>2045</v>
      </c>
      <c r="G763" s="3" t="str">
        <f>IFERROR(__xludf.DUMMYFUNCTION("GOOGLETRANSLATE(D763,""fr"",""es"")"),"acuado")</f>
        <v>acuado</v>
      </c>
    </row>
    <row r="764">
      <c r="A764" s="3">
        <v>742.0</v>
      </c>
      <c r="B764" s="3" t="s">
        <v>189</v>
      </c>
      <c r="C764" s="3" t="s">
        <v>190</v>
      </c>
      <c r="D764" s="3" t="s">
        <v>2061</v>
      </c>
      <c r="E764" s="3" t="s">
        <v>2062</v>
      </c>
      <c r="F764" s="3" t="s">
        <v>2063</v>
      </c>
      <c r="G764" s="3" t="str">
        <f>IFERROR(__xludf.DUMMYFUNCTION("GOOGLETRANSLATE(D764,""fr"",""es"")"),"pelota")</f>
        <v>pelota</v>
      </c>
      <c r="H764" s="3" t="s">
        <v>2064</v>
      </c>
      <c r="I764" s="3" t="s">
        <v>2065</v>
      </c>
      <c r="J764" s="3" t="s">
        <v>2066</v>
      </c>
      <c r="K764" s="3" t="s">
        <v>2067</v>
      </c>
      <c r="L764" s="3" t="s">
        <v>2068</v>
      </c>
      <c r="M764" s="3" t="s">
        <v>2069</v>
      </c>
      <c r="N764" s="3" t="s">
        <v>2070</v>
      </c>
      <c r="O764" s="3" t="s">
        <v>2071</v>
      </c>
      <c r="P764" s="3" t="s">
        <v>2072</v>
      </c>
      <c r="Q764" s="3" t="s">
        <v>2064</v>
      </c>
      <c r="R764" s="3" t="s">
        <v>2073</v>
      </c>
      <c r="S764" s="3" t="s">
        <v>2065</v>
      </c>
      <c r="T764" s="3" t="s">
        <v>1068</v>
      </c>
      <c r="U764" s="3" t="s">
        <v>2074</v>
      </c>
      <c r="V764" s="3" t="s">
        <v>2075</v>
      </c>
      <c r="W764" s="3" t="s">
        <v>2076</v>
      </c>
      <c r="X764" s="3" t="s">
        <v>2077</v>
      </c>
      <c r="Y764" s="3" t="s">
        <v>2067</v>
      </c>
    </row>
    <row r="765">
      <c r="A765" s="3">
        <v>743.0</v>
      </c>
      <c r="B765" s="3" t="s">
        <v>189</v>
      </c>
      <c r="C765" s="3" t="s">
        <v>190</v>
      </c>
      <c r="D765" s="3" t="s">
        <v>2078</v>
      </c>
      <c r="E765" s="3" t="s">
        <v>2062</v>
      </c>
      <c r="F765" s="3" t="s">
        <v>2063</v>
      </c>
      <c r="G765" s="3" t="str">
        <f>IFERROR(__xludf.DUMMYFUNCTION("GOOGLETRANSLATE(D765,""fr"",""es"")"),"pelotas")</f>
        <v>pelotas</v>
      </c>
    </row>
    <row r="766">
      <c r="A766" s="3">
        <v>744.0</v>
      </c>
      <c r="B766" s="3" t="s">
        <v>189</v>
      </c>
      <c r="C766" s="3" t="s">
        <v>190</v>
      </c>
      <c r="D766" s="3" t="s">
        <v>2079</v>
      </c>
      <c r="E766" s="3" t="s">
        <v>2080</v>
      </c>
      <c r="F766" s="3" t="s">
        <v>2081</v>
      </c>
      <c r="G766" s="3" t="str">
        <f>IFERROR(__xludf.DUMMYFUNCTION("GOOGLETRANSLATE(D766,""fr"",""es"")"),"coulai")</f>
        <v>coulai</v>
      </c>
    </row>
    <row r="767">
      <c r="A767" s="3">
        <v>745.0</v>
      </c>
      <c r="B767" s="3" t="s">
        <v>189</v>
      </c>
      <c r="C767" s="3" t="s">
        <v>190</v>
      </c>
      <c r="D767" s="3" t="s">
        <v>2082</v>
      </c>
      <c r="E767" s="3" t="s">
        <v>2080</v>
      </c>
      <c r="F767" s="3" t="s">
        <v>2081</v>
      </c>
      <c r="G767" s="3" t="str">
        <f>IFERROR(__xludf.DUMMYFUNCTION("GOOGLETRANSLATE(D767,""fr"",""es"")"),"pileta")</f>
        <v>pileta</v>
      </c>
    </row>
    <row r="768">
      <c r="A768" s="3">
        <v>746.0</v>
      </c>
      <c r="B768" s="3" t="s">
        <v>189</v>
      </c>
      <c r="C768" s="3" t="s">
        <v>190</v>
      </c>
      <c r="D768" s="3" t="s">
        <v>2083</v>
      </c>
      <c r="E768" s="3" t="s">
        <v>2080</v>
      </c>
      <c r="F768" s="3" t="s">
        <v>2081</v>
      </c>
      <c r="G768" s="3" t="str">
        <f>IFERROR(__xludf.DUMMYFUNCTION("GOOGLETRANSLATE(D768,""fr"",""es"")"),"enrutamiento")</f>
        <v>enrutamiento</v>
      </c>
    </row>
    <row r="769">
      <c r="A769" s="3">
        <v>747.0</v>
      </c>
      <c r="B769" s="3" t="s">
        <v>189</v>
      </c>
      <c r="C769" s="3" t="s">
        <v>190</v>
      </c>
      <c r="D769" s="3" t="s">
        <v>2084</v>
      </c>
      <c r="E769" s="3" t="s">
        <v>2080</v>
      </c>
      <c r="F769" s="3" t="s">
        <v>2081</v>
      </c>
      <c r="G769" s="3" t="str">
        <f>IFERROR(__xludf.DUMMYFUNCTION("GOOGLETRANSLATE(D769,""fr"",""es"")"),"correr")</f>
        <v>correr</v>
      </c>
    </row>
    <row r="770">
      <c r="A770" s="3">
        <v>748.0</v>
      </c>
      <c r="B770" s="3" t="s">
        <v>189</v>
      </c>
      <c r="C770" s="3" t="s">
        <v>190</v>
      </c>
      <c r="D770" s="3" t="s">
        <v>2085</v>
      </c>
      <c r="E770" s="3" t="s">
        <v>2086</v>
      </c>
      <c r="F770" s="3" t="s">
        <v>2087</v>
      </c>
      <c r="G770" s="3" t="str">
        <f>IFERROR(__xludf.DUMMYFUNCTION("GOOGLETRANSLATE(D770,""fr"",""es"")"),"puta")</f>
        <v>puta</v>
      </c>
    </row>
    <row r="771">
      <c r="A771" s="3">
        <v>749.0</v>
      </c>
      <c r="B771" s="3" t="s">
        <v>189</v>
      </c>
      <c r="C771" s="3" t="s">
        <v>190</v>
      </c>
      <c r="D771" s="3" t="s">
        <v>2088</v>
      </c>
      <c r="E771" s="3" t="s">
        <v>2089</v>
      </c>
      <c r="F771" s="3" t="s">
        <v>2090</v>
      </c>
      <c r="G771" s="3" t="str">
        <f>IFERROR(__xludf.DUMMYFUNCTION("GOOGLETRANSLATE(D771,""fr"",""es"")"),"boulasses")</f>
        <v>boulasses</v>
      </c>
    </row>
    <row r="772">
      <c r="A772" s="3">
        <v>750.0</v>
      </c>
      <c r="B772" s="3" t="s">
        <v>189</v>
      </c>
      <c r="C772" s="3" t="s">
        <v>190</v>
      </c>
      <c r="D772" s="3" t="s">
        <v>2091</v>
      </c>
      <c r="E772" s="3" t="s">
        <v>2089</v>
      </c>
      <c r="F772" s="3" t="s">
        <v>2090</v>
      </c>
      <c r="G772" s="3" t="str">
        <f>IFERROR(__xludf.DUMMYFUNCTION("GOOGLETRANSLATE(D772,""fr"",""es"")"),"correr")</f>
        <v>correr</v>
      </c>
    </row>
    <row r="773">
      <c r="A773" s="3">
        <v>751.0</v>
      </c>
      <c r="B773" s="3" t="s">
        <v>189</v>
      </c>
      <c r="C773" s="3" t="s">
        <v>190</v>
      </c>
      <c r="D773" s="3" t="s">
        <v>2092</v>
      </c>
      <c r="E773" s="3" t="s">
        <v>2089</v>
      </c>
      <c r="F773" s="3" t="s">
        <v>2090</v>
      </c>
      <c r="G773" s="3" t="str">
        <f>IFERROR(__xludf.DUMMYFUNCTION("GOOGLETRANSLATE(D773,""fr"",""es"")"),"boulasses")</f>
        <v>boulasses</v>
      </c>
    </row>
    <row r="774">
      <c r="A774" s="3">
        <v>752.0</v>
      </c>
      <c r="B774" s="3" t="s">
        <v>189</v>
      </c>
      <c r="C774" s="3" t="s">
        <v>190</v>
      </c>
      <c r="D774" s="3" t="s">
        <v>2093</v>
      </c>
      <c r="E774" s="3" t="s">
        <v>1989</v>
      </c>
      <c r="F774" s="3" t="s">
        <v>1990</v>
      </c>
      <c r="G774" s="3" t="str">
        <f>IFERROR(__xludf.DUMMYFUNCTION("GOOGLETRANSLATE(D774,""fr"",""es"")"),"caudal")</f>
        <v>caudal</v>
      </c>
    </row>
    <row r="775">
      <c r="A775" s="3">
        <v>753.0</v>
      </c>
      <c r="B775" s="3" t="s">
        <v>189</v>
      </c>
      <c r="C775" s="3" t="s">
        <v>190</v>
      </c>
      <c r="D775" s="3" t="s">
        <v>2094</v>
      </c>
      <c r="E775" s="3" t="s">
        <v>1989</v>
      </c>
      <c r="F775" s="3" t="s">
        <v>1990</v>
      </c>
      <c r="G775" s="3" t="str">
        <f>IFERROR(__xludf.DUMMYFUNCTION("GOOGLETRANSLATE(D775,""fr"",""es"")"),"caudal")</f>
        <v>caudal</v>
      </c>
    </row>
    <row r="776">
      <c r="A776" s="3">
        <v>754.0</v>
      </c>
      <c r="B776" s="3" t="s">
        <v>189</v>
      </c>
      <c r="C776" s="3" t="s">
        <v>190</v>
      </c>
      <c r="D776" s="3" t="s">
        <v>2095</v>
      </c>
      <c r="E776" s="3" t="s">
        <v>1989</v>
      </c>
      <c r="F776" s="3" t="s">
        <v>1990</v>
      </c>
      <c r="G776" s="3" t="str">
        <f>IFERROR(__xludf.DUMMYFUNCTION("GOOGLETRANSLATE(D776,""fr"",""es"")"),"caudal")</f>
        <v>caudal</v>
      </c>
    </row>
    <row r="777">
      <c r="A777" s="3">
        <v>755.0</v>
      </c>
      <c r="B777" s="3" t="s">
        <v>189</v>
      </c>
      <c r="C777" s="3" t="s">
        <v>190</v>
      </c>
      <c r="D777" s="3" t="s">
        <v>2096</v>
      </c>
      <c r="E777" s="3" t="s">
        <v>2097</v>
      </c>
      <c r="F777" s="3" t="s">
        <v>2098</v>
      </c>
      <c r="G777" s="3" t="str">
        <f>IFERROR(__xludf.DUMMYFUNCTION("GOOGLETRANSLATE(D777,""fr"",""es"")"),"coulis")</f>
        <v>coulis</v>
      </c>
    </row>
    <row r="778">
      <c r="A778" s="3">
        <v>756.0</v>
      </c>
      <c r="B778" s="3" t="s">
        <v>189</v>
      </c>
      <c r="C778" s="3" t="s">
        <v>190</v>
      </c>
      <c r="D778" s="3" t="s">
        <v>2099</v>
      </c>
      <c r="E778" s="3" t="s">
        <v>2100</v>
      </c>
      <c r="F778" s="3" t="s">
        <v>2101</v>
      </c>
      <c r="G778" s="3" t="str">
        <f>IFERROR(__xludf.DUMMYFUNCTION("GOOGLETRANSLATE(D778,""fr"",""es"")"),"coulissai")</f>
        <v>coulissai</v>
      </c>
    </row>
    <row r="779">
      <c r="A779" s="3">
        <v>757.0</v>
      </c>
      <c r="B779" s="3" t="s">
        <v>189</v>
      </c>
      <c r="C779" s="3" t="s">
        <v>190</v>
      </c>
      <c r="D779" s="3" t="s">
        <v>2102</v>
      </c>
      <c r="E779" s="3" t="s">
        <v>2100</v>
      </c>
      <c r="F779" s="3" t="s">
        <v>2101</v>
      </c>
      <c r="G779" s="3" t="str">
        <f>IFERROR(__xludf.DUMMYFUNCTION("GOOGLETRANSLATE(D779,""fr"",""es"")"),"deslizamiento")</f>
        <v>deslizamiento</v>
      </c>
    </row>
    <row r="780">
      <c r="A780" s="3">
        <v>758.0</v>
      </c>
      <c r="B780" s="3" t="s">
        <v>189</v>
      </c>
      <c r="C780" s="3" t="s">
        <v>190</v>
      </c>
      <c r="D780" s="3" t="s">
        <v>2103</v>
      </c>
      <c r="E780" s="3" t="s">
        <v>2100</v>
      </c>
      <c r="F780" s="3" t="s">
        <v>2101</v>
      </c>
      <c r="G780" s="3" t="str">
        <f>IFERROR(__xludf.DUMMYFUNCTION("GOOGLETRANSLATE(D780,""fr"",""es"")"),"deslizar")</f>
        <v>deslizar</v>
      </c>
    </row>
    <row r="781">
      <c r="A781" s="3">
        <v>759.0</v>
      </c>
      <c r="B781" s="3" t="s">
        <v>189</v>
      </c>
      <c r="C781" s="3" t="s">
        <v>190</v>
      </c>
      <c r="D781" s="3" t="s">
        <v>2104</v>
      </c>
      <c r="E781" s="3" t="s">
        <v>2100</v>
      </c>
      <c r="F781" s="3" t="s">
        <v>2101</v>
      </c>
      <c r="G781" s="3" t="str">
        <f>IFERROR(__xludf.DUMMYFUNCTION("GOOGLETRANSLATE(D781,""fr"",""es"")"),"deslizamiento")</f>
        <v>deslizamiento</v>
      </c>
    </row>
    <row r="782">
      <c r="A782" s="3">
        <v>760.0</v>
      </c>
      <c r="B782" s="3" t="s">
        <v>189</v>
      </c>
      <c r="C782" s="3" t="s">
        <v>190</v>
      </c>
      <c r="D782" s="3" t="s">
        <v>2105</v>
      </c>
      <c r="E782" s="3" t="s">
        <v>2106</v>
      </c>
      <c r="F782" s="3" t="s">
        <v>2107</v>
      </c>
      <c r="G782" s="3" t="str">
        <f>IFERROR(__xludf.DUMMYFUNCTION("GOOGLETRANSLATE(D782,""fr"",""es"")"),"coulissa")</f>
        <v>coulissa</v>
      </c>
    </row>
    <row r="783">
      <c r="A783" s="3">
        <v>761.0</v>
      </c>
      <c r="B783" s="3" t="s">
        <v>189</v>
      </c>
      <c r="C783" s="3" t="s">
        <v>190</v>
      </c>
      <c r="D783" s="3" t="s">
        <v>2108</v>
      </c>
      <c r="E783" s="3" t="s">
        <v>2109</v>
      </c>
      <c r="F783" s="3" t="s">
        <v>2110</v>
      </c>
      <c r="G783" s="3" t="str">
        <f>IFERROR(__xludf.DUMMYFUNCTION("GOOGLETRANSLATE(D783,""fr"",""es"")"),"coulissasse")</f>
        <v>coulissasse</v>
      </c>
    </row>
    <row r="784">
      <c r="A784" s="3">
        <v>762.0</v>
      </c>
      <c r="B784" s="3" t="s">
        <v>189</v>
      </c>
      <c r="C784" s="3" t="s">
        <v>190</v>
      </c>
      <c r="D784" s="3" t="s">
        <v>2111</v>
      </c>
      <c r="E784" s="3" t="s">
        <v>2109</v>
      </c>
      <c r="F784" s="3" t="s">
        <v>2110</v>
      </c>
      <c r="G784" s="3" t="str">
        <f>IFERROR(__xludf.DUMMYFUNCTION("GOOGLETRANSLATE(D784,""fr"",""es"")"),"Persona especial")</f>
        <v>Persona especial</v>
      </c>
    </row>
    <row r="785">
      <c r="A785" s="3">
        <v>763.0</v>
      </c>
      <c r="B785" s="3" t="s">
        <v>189</v>
      </c>
      <c r="C785" s="3" t="s">
        <v>190</v>
      </c>
      <c r="D785" s="3" t="s">
        <v>2112</v>
      </c>
      <c r="E785" s="3" t="s">
        <v>2109</v>
      </c>
      <c r="F785" s="3" t="s">
        <v>2110</v>
      </c>
      <c r="G785" s="3" t="str">
        <f>IFERROR(__xludf.DUMMYFUNCTION("GOOGLETRANSLATE(D785,""fr"",""es"")"),"coulissasses")</f>
        <v>coulissasses</v>
      </c>
    </row>
    <row r="786">
      <c r="A786" s="3">
        <v>764.0</v>
      </c>
      <c r="B786" s="3" t="s">
        <v>189</v>
      </c>
      <c r="C786" s="3" t="s">
        <v>190</v>
      </c>
      <c r="D786" s="3" t="s">
        <v>2113</v>
      </c>
      <c r="E786" s="3" t="s">
        <v>2114</v>
      </c>
      <c r="F786" s="3" t="s">
        <v>2115</v>
      </c>
      <c r="G786" s="3" t="str">
        <f>IFERROR(__xludf.DUMMYFUNCTION("GOOGLETRANSLATE(D786,""fr"",""es"")"),"deslizar")</f>
        <v>deslizar</v>
      </c>
      <c r="H786" s="3" t="s">
        <v>2116</v>
      </c>
      <c r="I786" s="3" t="s">
        <v>2117</v>
      </c>
    </row>
    <row r="787">
      <c r="A787" s="3">
        <v>765.0</v>
      </c>
      <c r="B787" s="3" t="s">
        <v>189</v>
      </c>
      <c r="C787" s="3" t="s">
        <v>190</v>
      </c>
      <c r="D787" s="3" t="s">
        <v>2118</v>
      </c>
      <c r="E787" s="3" t="s">
        <v>2114</v>
      </c>
      <c r="F787" s="3" t="s">
        <v>2115</v>
      </c>
      <c r="G787" s="3" t="str">
        <f>IFERROR(__xludf.DUMMYFUNCTION("GOOGLETRANSLATE(D787,""fr"",""es"")"),"deslizar")</f>
        <v>deslizar</v>
      </c>
    </row>
    <row r="788">
      <c r="A788" s="3">
        <v>766.0</v>
      </c>
      <c r="B788" s="3" t="s">
        <v>189</v>
      </c>
      <c r="C788" s="3" t="s">
        <v>190</v>
      </c>
      <c r="D788" s="3" t="s">
        <v>2119</v>
      </c>
      <c r="E788" s="3" t="s">
        <v>2114</v>
      </c>
      <c r="F788" s="3" t="s">
        <v>2115</v>
      </c>
      <c r="G788" s="3" t="str">
        <f>IFERROR(__xludf.DUMMYFUNCTION("GOOGLETRANSLATE(D788,""fr"",""es"")"),"entre bastidores")</f>
        <v>entre bastidores</v>
      </c>
    </row>
    <row r="789">
      <c r="A789" s="3">
        <v>767.0</v>
      </c>
      <c r="B789" s="3" t="s">
        <v>189</v>
      </c>
      <c r="C789" s="3" t="s">
        <v>190</v>
      </c>
      <c r="D789" s="3" t="s">
        <v>2120</v>
      </c>
      <c r="E789" s="3" t="s">
        <v>2000</v>
      </c>
      <c r="F789" s="3" t="s">
        <v>2001</v>
      </c>
      <c r="G789" s="3" t="str">
        <f>IFERROR(__xludf.DUMMYFUNCTION("GOOGLETRANSLATE(D789,""fr"",""es"")"),"Corte")</f>
        <v>Corte</v>
      </c>
      <c r="H789" s="3" t="s">
        <v>2121</v>
      </c>
      <c r="I789" s="3" t="s">
        <v>2120</v>
      </c>
      <c r="J789" s="3" t="s">
        <v>2122</v>
      </c>
      <c r="K789" s="3" t="s">
        <v>2123</v>
      </c>
      <c r="L789" s="3" t="s">
        <v>2124</v>
      </c>
      <c r="M789" s="3" t="s">
        <v>2125</v>
      </c>
      <c r="N789" s="3" t="s">
        <v>2126</v>
      </c>
      <c r="O789" s="3" t="s">
        <v>2127</v>
      </c>
      <c r="P789" s="3" t="s">
        <v>2128</v>
      </c>
      <c r="Q789" s="3" t="s">
        <v>2129</v>
      </c>
      <c r="R789" s="3" t="s">
        <v>2130</v>
      </c>
      <c r="S789" s="3" t="s">
        <v>2131</v>
      </c>
      <c r="T789" s="3" t="s">
        <v>2132</v>
      </c>
      <c r="U789" s="3" t="s">
        <v>2133</v>
      </c>
      <c r="V789" s="3" t="s">
        <v>2134</v>
      </c>
      <c r="W789" s="3" t="s">
        <v>2135</v>
      </c>
      <c r="X789" s="3" t="s">
        <v>2136</v>
      </c>
      <c r="Y789" s="3" t="s">
        <v>2137</v>
      </c>
      <c r="Z789" s="3" t="s">
        <v>2138</v>
      </c>
      <c r="AA789" s="3" t="s">
        <v>2138</v>
      </c>
      <c r="AB789" s="3" t="s">
        <v>911</v>
      </c>
      <c r="AC789" s="3" t="s">
        <v>2139</v>
      </c>
      <c r="AD789" s="3" t="s">
        <v>2136</v>
      </c>
      <c r="AE789" s="3" t="s">
        <v>2140</v>
      </c>
      <c r="AF789" s="3" t="s">
        <v>2141</v>
      </c>
      <c r="AG789" s="3" t="s">
        <v>2142</v>
      </c>
      <c r="AH789" s="3" t="s">
        <v>2143</v>
      </c>
      <c r="AI789" s="3" t="s">
        <v>2144</v>
      </c>
      <c r="AJ789" s="3" t="s">
        <v>2120</v>
      </c>
      <c r="AK789" s="3" t="s">
        <v>2145</v>
      </c>
      <c r="AL789" s="3" t="s">
        <v>2146</v>
      </c>
      <c r="AM789" s="3" t="s">
        <v>2147</v>
      </c>
      <c r="AN789" s="3" t="s">
        <v>2148</v>
      </c>
      <c r="AO789" s="3" t="s">
        <v>2149</v>
      </c>
      <c r="AP789" s="3" t="s">
        <v>2150</v>
      </c>
      <c r="AQ789" s="3" t="s">
        <v>2151</v>
      </c>
      <c r="AR789" s="3" t="s">
        <v>2136</v>
      </c>
      <c r="AS789" s="3" t="s">
        <v>2152</v>
      </c>
      <c r="AT789" s="3" t="s">
        <v>2153</v>
      </c>
      <c r="AU789" s="3" t="s">
        <v>2136</v>
      </c>
      <c r="AV789" s="3" t="s">
        <v>2154</v>
      </c>
      <c r="AW789" s="3" t="s">
        <v>2155</v>
      </c>
      <c r="AX789" s="3" t="s">
        <v>2156</v>
      </c>
      <c r="AY789" s="3" t="s">
        <v>2136</v>
      </c>
      <c r="AZ789" s="3" t="s">
        <v>2157</v>
      </c>
      <c r="BA789" s="3" t="s">
        <v>2122</v>
      </c>
      <c r="BB789" s="3" t="s">
        <v>2158</v>
      </c>
      <c r="BC789" s="3" t="s">
        <v>2125</v>
      </c>
      <c r="BD789" s="3" t="s">
        <v>2140</v>
      </c>
      <c r="BE789" s="3" t="s">
        <v>2159</v>
      </c>
      <c r="BF789" s="3" t="s">
        <v>2160</v>
      </c>
      <c r="BG789" s="3" t="s">
        <v>2161</v>
      </c>
      <c r="BH789" s="3" t="s">
        <v>921</v>
      </c>
      <c r="BI789" s="3" t="s">
        <v>2147</v>
      </c>
    </row>
    <row r="790">
      <c r="A790" s="3">
        <v>768.0</v>
      </c>
      <c r="B790" s="3" t="s">
        <v>189</v>
      </c>
      <c r="C790" s="3" t="s">
        <v>190</v>
      </c>
      <c r="D790" s="3" t="s">
        <v>2162</v>
      </c>
      <c r="E790" s="3" t="s">
        <v>2163</v>
      </c>
      <c r="F790" s="3" t="s">
        <v>2164</v>
      </c>
      <c r="G790" s="3" t="str">
        <f>IFERROR(__xludf.DUMMYFUNCTION("GOOGLETRANSLATE(D790,""fr"",""es"")"),"Corte")</f>
        <v>Corte</v>
      </c>
    </row>
    <row r="791">
      <c r="A791" s="3">
        <v>769.0</v>
      </c>
      <c r="B791" s="3" t="s">
        <v>189</v>
      </c>
      <c r="C791" s="3" t="s">
        <v>190</v>
      </c>
      <c r="D791" s="3" t="s">
        <v>2165</v>
      </c>
      <c r="E791" s="3" t="s">
        <v>2163</v>
      </c>
      <c r="F791" s="3" t="s">
        <v>2164</v>
      </c>
      <c r="G791" s="3" t="str">
        <f>IFERROR(__xludf.DUMMYFUNCTION("GOOGLETRANSLATE(D791,""fr"",""es"")"),"fueron cortados")</f>
        <v>fueron cortados</v>
      </c>
    </row>
    <row r="792">
      <c r="A792" s="3">
        <v>770.0</v>
      </c>
      <c r="B792" s="3" t="s">
        <v>189</v>
      </c>
      <c r="C792" s="3" t="s">
        <v>190</v>
      </c>
      <c r="D792" s="3" t="s">
        <v>2166</v>
      </c>
      <c r="E792" s="3" t="s">
        <v>2163</v>
      </c>
      <c r="F792" s="3" t="s">
        <v>2164</v>
      </c>
      <c r="G792" s="3" t="str">
        <f>IFERROR(__xludf.DUMMYFUNCTION("GOOGLETRANSLATE(D792,""fr"",""es"")"),"Corte")</f>
        <v>Corte</v>
      </c>
    </row>
    <row r="793">
      <c r="A793" s="3">
        <v>771.0</v>
      </c>
      <c r="B793" s="3" t="s">
        <v>189</v>
      </c>
      <c r="C793" s="3" t="s">
        <v>190</v>
      </c>
      <c r="D793" s="3" t="s">
        <v>2167</v>
      </c>
      <c r="E793" s="3" t="s">
        <v>2163</v>
      </c>
      <c r="F793" s="3" t="s">
        <v>2164</v>
      </c>
      <c r="G793" s="3" t="str">
        <f>IFERROR(__xludf.DUMMYFUNCTION("GOOGLETRANSLATE(D793,""fr"",""es"")"),"Corte")</f>
        <v>Corte</v>
      </c>
    </row>
    <row r="794">
      <c r="A794" s="3">
        <v>772.0</v>
      </c>
      <c r="B794" s="3" t="s">
        <v>189</v>
      </c>
      <c r="C794" s="3" t="s">
        <v>190</v>
      </c>
      <c r="D794" s="3" t="s">
        <v>2168</v>
      </c>
      <c r="E794" s="3" t="s">
        <v>2169</v>
      </c>
      <c r="F794" s="3" t="s">
        <v>2170</v>
      </c>
      <c r="G794" s="3" t="str">
        <f>IFERROR(__xludf.DUMMYFUNCTION("GOOGLETRANSLATE(D794,""fr"",""es"")"),"coupinas")</f>
        <v>coupinas</v>
      </c>
    </row>
    <row r="795">
      <c r="A795" s="3">
        <v>773.0</v>
      </c>
      <c r="B795" s="3" t="s">
        <v>189</v>
      </c>
      <c r="C795" s="3" t="s">
        <v>190</v>
      </c>
      <c r="D795" s="3" t="s">
        <v>2171</v>
      </c>
      <c r="E795" s="3" t="s">
        <v>2172</v>
      </c>
      <c r="F795" s="3" t="s">
        <v>2173</v>
      </c>
      <c r="G795" s="3" t="str">
        <f>IFERROR(__xludf.DUMMYFUNCTION("GOOGLETRANSLATE(D795,""fr"",""es"")"),"corte")</f>
        <v>corte</v>
      </c>
    </row>
    <row r="796">
      <c r="A796" s="3">
        <v>774.0</v>
      </c>
      <c r="B796" s="3" t="s">
        <v>189</v>
      </c>
      <c r="C796" s="3" t="s">
        <v>190</v>
      </c>
      <c r="D796" s="3" t="s">
        <v>2174</v>
      </c>
      <c r="E796" s="3" t="s">
        <v>2172</v>
      </c>
      <c r="F796" s="3" t="s">
        <v>2173</v>
      </c>
      <c r="G796" s="3" t="str">
        <f>IFERROR(__xludf.DUMMYFUNCTION("GOOGLETRANSLATE(D796,""fr"",""es"")"),"cortar")</f>
        <v>cortar</v>
      </c>
    </row>
    <row r="797">
      <c r="A797" s="3">
        <v>775.0</v>
      </c>
      <c r="B797" s="3" t="s">
        <v>189</v>
      </c>
      <c r="C797" s="3" t="s">
        <v>190</v>
      </c>
      <c r="D797" s="3" t="s">
        <v>2175</v>
      </c>
      <c r="E797" s="3" t="s">
        <v>2172</v>
      </c>
      <c r="F797" s="3" t="s">
        <v>2173</v>
      </c>
      <c r="G797" s="3" t="str">
        <f>IFERROR(__xludf.DUMMYFUNCTION("GOOGLETRANSLATE(D797,""fr"",""es"")"),"corte")</f>
        <v>corte</v>
      </c>
    </row>
    <row r="798">
      <c r="A798" s="3">
        <v>776.0</v>
      </c>
      <c r="B798" s="3" t="s">
        <v>189</v>
      </c>
      <c r="C798" s="3" t="s">
        <v>190</v>
      </c>
      <c r="D798" s="3" t="s">
        <v>2176</v>
      </c>
      <c r="E798" s="3" t="s">
        <v>2177</v>
      </c>
      <c r="F798" s="3" t="s">
        <v>2178</v>
      </c>
      <c r="G798" s="3" t="str">
        <f>IFERROR(__xludf.DUMMYFUNCTION("GOOGLETRANSLATE(D798,""fr"",""es"")"),"cortado")</f>
        <v>cortado</v>
      </c>
      <c r="H798" s="3" t="s">
        <v>2179</v>
      </c>
      <c r="I798" s="3" t="s">
        <v>2180</v>
      </c>
      <c r="J798" s="3" t="s">
        <v>2181</v>
      </c>
      <c r="K798" s="3" t="s">
        <v>2182</v>
      </c>
      <c r="L798" s="3" t="s">
        <v>2149</v>
      </c>
      <c r="M798" s="3" t="s">
        <v>2183</v>
      </c>
      <c r="N798" s="3" t="s">
        <v>2184</v>
      </c>
      <c r="O798" s="3" t="s">
        <v>2040</v>
      </c>
      <c r="P798" s="3" t="s">
        <v>2185</v>
      </c>
      <c r="Q798" s="3" t="s">
        <v>2186</v>
      </c>
      <c r="R798" s="3" t="s">
        <v>2187</v>
      </c>
      <c r="S798" s="3" t="s">
        <v>2180</v>
      </c>
      <c r="T798" s="3" t="s">
        <v>2040</v>
      </c>
      <c r="U798" s="3" t="s">
        <v>2188</v>
      </c>
      <c r="V798" s="3" t="s">
        <v>2189</v>
      </c>
      <c r="W798" s="3" t="s">
        <v>2181</v>
      </c>
      <c r="X798" s="3" t="s">
        <v>2183</v>
      </c>
      <c r="Y798" s="3" t="s">
        <v>2149</v>
      </c>
      <c r="Z798" s="3" t="s">
        <v>2190</v>
      </c>
    </row>
    <row r="799">
      <c r="A799" s="3">
        <v>777.0</v>
      </c>
      <c r="B799" s="3" t="s">
        <v>189</v>
      </c>
      <c r="C799" s="3" t="s">
        <v>190</v>
      </c>
      <c r="D799" s="3" t="s">
        <v>2191</v>
      </c>
      <c r="E799" s="3" t="s">
        <v>2192</v>
      </c>
      <c r="F799" s="3" t="s">
        <v>2193</v>
      </c>
      <c r="G799" s="3" t="str">
        <f>IFERROR(__xludf.DUMMYFUNCTION("GOOGLETRANSLATE(D799,""fr"",""es"")"),"taza")</f>
        <v>taza</v>
      </c>
    </row>
    <row r="800">
      <c r="A800" s="3">
        <v>778.0</v>
      </c>
      <c r="B800" s="3" t="s">
        <v>189</v>
      </c>
      <c r="C800" s="3" t="s">
        <v>190</v>
      </c>
      <c r="D800" s="3" t="s">
        <v>2194</v>
      </c>
      <c r="E800" s="3" t="s">
        <v>2192</v>
      </c>
      <c r="F800" s="3" t="s">
        <v>2193</v>
      </c>
      <c r="G800" s="3" t="str">
        <f>IFERROR(__xludf.DUMMYFUNCTION("GOOGLETRANSLATE(D800,""fr"",""es"")"),"tazas")</f>
        <v>tazas</v>
      </c>
    </row>
    <row r="801">
      <c r="A801" s="3">
        <v>779.0</v>
      </c>
      <c r="B801" s="3" t="s">
        <v>189</v>
      </c>
      <c r="C801" s="3" t="s">
        <v>190</v>
      </c>
      <c r="D801" s="3" t="s">
        <v>2195</v>
      </c>
      <c r="E801" s="3" t="s">
        <v>2177</v>
      </c>
      <c r="F801" s="3" t="s">
        <v>2178</v>
      </c>
      <c r="G801" s="3" t="str">
        <f>IFERROR(__xludf.DUMMYFUNCTION("GOOGLETRANSLATE(D801,""fr"",""es"")"),"Corte")</f>
        <v>Corte</v>
      </c>
    </row>
    <row r="802">
      <c r="A802" s="3">
        <v>780.0</v>
      </c>
      <c r="B802" s="3" t="s">
        <v>189</v>
      </c>
      <c r="C802" s="3" t="s">
        <v>190</v>
      </c>
      <c r="D802" s="3" t="s">
        <v>2196</v>
      </c>
      <c r="E802" s="3" t="s">
        <v>2177</v>
      </c>
      <c r="F802" s="3" t="s">
        <v>2178</v>
      </c>
      <c r="G802" s="3" t="str">
        <f>IFERROR(__xludf.DUMMYFUNCTION("GOOGLETRANSLATE(D802,""fr"",""es"")"),"cortes")</f>
        <v>cortes</v>
      </c>
    </row>
    <row r="803">
      <c r="A803" s="3">
        <v>781.0</v>
      </c>
      <c r="B803" s="3" t="s">
        <v>189</v>
      </c>
      <c r="C803" s="3" t="s">
        <v>190</v>
      </c>
      <c r="D803" s="3" t="s">
        <v>2197</v>
      </c>
      <c r="E803" s="3" t="s">
        <v>2000</v>
      </c>
      <c r="F803" s="3" t="s">
        <v>2001</v>
      </c>
      <c r="G803" s="3" t="str">
        <f>IFERROR(__xludf.DUMMYFUNCTION("GOOGLETRANSLATE(D803,""fr"",""es"")"),"golpes")</f>
        <v>golpes</v>
      </c>
    </row>
    <row r="804">
      <c r="A804" s="3">
        <v>782.0</v>
      </c>
      <c r="B804" s="3" t="s">
        <v>189</v>
      </c>
      <c r="C804" s="3" t="s">
        <v>190</v>
      </c>
      <c r="D804" s="3" t="s">
        <v>2198</v>
      </c>
      <c r="E804" s="3" t="s">
        <v>2199</v>
      </c>
      <c r="F804" s="3" t="s">
        <v>2200</v>
      </c>
      <c r="G804" s="3" t="str">
        <f>IFERROR(__xludf.DUMMYFUNCTION("GOOGLETRANSLATE(D804,""fr"",""es"")"),"incubar")</f>
        <v>incubar</v>
      </c>
    </row>
    <row r="805">
      <c r="A805" s="3">
        <v>783.0</v>
      </c>
      <c r="B805" s="3" t="s">
        <v>189</v>
      </c>
      <c r="C805" s="3" t="s">
        <v>190</v>
      </c>
      <c r="D805" s="3" t="s">
        <v>2201</v>
      </c>
      <c r="E805" s="3" t="s">
        <v>2000</v>
      </c>
      <c r="F805" s="3" t="s">
        <v>2001</v>
      </c>
      <c r="G805" s="3" t="str">
        <f>IFERROR(__xludf.DUMMYFUNCTION("GOOGLETRANSLATE(D805,""fr"",""es"")"),"cous")</f>
        <v>cous</v>
      </c>
    </row>
    <row r="806">
      <c r="A806" s="3">
        <v>784.0</v>
      </c>
      <c r="B806" s="3" t="s">
        <v>189</v>
      </c>
      <c r="C806" s="3" t="s">
        <v>190</v>
      </c>
      <c r="D806" s="3" t="s">
        <v>2202</v>
      </c>
      <c r="E806" s="3" t="s">
        <v>2203</v>
      </c>
      <c r="F806" s="3" t="s">
        <v>2204</v>
      </c>
      <c r="G806" s="3" t="str">
        <f>IFERROR(__xludf.DUMMYFUNCTION("GOOGLETRANSLATE(D806,""fr"",""es"")"),"almohadilla")</f>
        <v>almohadilla</v>
      </c>
    </row>
    <row r="807">
      <c r="A807" s="3">
        <v>785.0</v>
      </c>
      <c r="B807" s="3" t="s">
        <v>189</v>
      </c>
      <c r="C807" s="3" t="s">
        <v>190</v>
      </c>
      <c r="D807" s="3" t="s">
        <v>2205</v>
      </c>
      <c r="E807" s="3" t="s">
        <v>2203</v>
      </c>
      <c r="F807" s="3" t="s">
        <v>2204</v>
      </c>
      <c r="G807" s="3" t="str">
        <f>IFERROR(__xludf.DUMMYFUNCTION("GOOGLETRANSLATE(D807,""fr"",""es"")"),"almohadilla")</f>
        <v>almohadilla</v>
      </c>
    </row>
    <row r="808">
      <c r="A808" s="3">
        <v>786.0</v>
      </c>
      <c r="B808" s="3" t="s">
        <v>189</v>
      </c>
      <c r="C808" s="3" t="s">
        <v>190</v>
      </c>
      <c r="D808" s="3" t="s">
        <v>2206</v>
      </c>
      <c r="E808" s="3" t="s">
        <v>2000</v>
      </c>
      <c r="F808" s="3" t="s">
        <v>2001</v>
      </c>
      <c r="G808" s="3" t="str">
        <f>IFERROR(__xludf.DUMMYFUNCTION("GOOGLETRANSLATE(D808,""fr"",""es"")"),"costo")</f>
        <v>costo</v>
      </c>
      <c r="H808" s="3" t="s">
        <v>2207</v>
      </c>
      <c r="I808" s="3" t="s">
        <v>2208</v>
      </c>
      <c r="J808" s="3" t="s">
        <v>2209</v>
      </c>
      <c r="K808" s="3" t="s">
        <v>2207</v>
      </c>
      <c r="L808" s="3" t="s">
        <v>2209</v>
      </c>
      <c r="M808" s="3" t="s">
        <v>2207</v>
      </c>
      <c r="N808" s="3" t="s">
        <v>2210</v>
      </c>
      <c r="O808" s="3" t="s">
        <v>2207</v>
      </c>
    </row>
    <row r="809">
      <c r="A809" s="3">
        <v>787.0</v>
      </c>
      <c r="B809" s="3" t="s">
        <v>189</v>
      </c>
      <c r="C809" s="3" t="s">
        <v>190</v>
      </c>
      <c r="D809" s="3" t="s">
        <v>2211</v>
      </c>
      <c r="E809" s="3" t="s">
        <v>2212</v>
      </c>
      <c r="F809" s="3" t="s">
        <v>2213</v>
      </c>
      <c r="G809" s="3" t="str">
        <f>IFERROR(__xludf.DUMMYFUNCTION("GOOGLETRANSLATE(D809,""fr"",""es"")"),"costo")</f>
        <v>costo</v>
      </c>
    </row>
    <row r="810">
      <c r="A810" s="3">
        <v>788.0</v>
      </c>
      <c r="B810" s="3" t="s">
        <v>189</v>
      </c>
      <c r="C810" s="3" t="s">
        <v>190</v>
      </c>
      <c r="D810" s="3" t="s">
        <v>2214</v>
      </c>
      <c r="E810" s="3" t="s">
        <v>2212</v>
      </c>
      <c r="F810" s="3" t="s">
        <v>2213</v>
      </c>
      <c r="G810" s="3" t="str">
        <f>IFERROR(__xludf.DUMMYFUNCTION("GOOGLETRANSLATE(D810,""fr"",""es"")"),"costo")</f>
        <v>costo</v>
      </c>
    </row>
    <row r="811">
      <c r="A811" s="3">
        <v>789.0</v>
      </c>
      <c r="B811" s="3" t="s">
        <v>189</v>
      </c>
      <c r="C811" s="3" t="s">
        <v>190</v>
      </c>
      <c r="D811" s="3" t="s">
        <v>2215</v>
      </c>
      <c r="E811" s="3" t="s">
        <v>2212</v>
      </c>
      <c r="F811" s="3" t="s">
        <v>2213</v>
      </c>
      <c r="G811" s="3" t="str">
        <f>IFERROR(__xludf.DUMMYFUNCTION("GOOGLETRANSLATE(D811,""fr"",""es"")"),"costo")</f>
        <v>costo</v>
      </c>
    </row>
    <row r="812">
      <c r="A812" s="3">
        <v>790.0</v>
      </c>
      <c r="B812" s="3" t="s">
        <v>189</v>
      </c>
      <c r="C812" s="3" t="s">
        <v>190</v>
      </c>
      <c r="D812" s="3" t="s">
        <v>2216</v>
      </c>
      <c r="E812" s="3" t="s">
        <v>2212</v>
      </c>
      <c r="F812" s="3" t="s">
        <v>2213</v>
      </c>
      <c r="G812" s="3" t="str">
        <f>IFERROR(__xludf.DUMMYFUNCTION("GOOGLETRANSLATE(D812,""fr"",""es"")"),"costo")</f>
        <v>costo</v>
      </c>
    </row>
    <row r="813">
      <c r="A813" s="3">
        <v>791.0</v>
      </c>
      <c r="B813" s="3" t="s">
        <v>189</v>
      </c>
      <c r="C813" s="3" t="s">
        <v>190</v>
      </c>
      <c r="D813" s="3" t="s">
        <v>2217</v>
      </c>
      <c r="E813" s="3" t="s">
        <v>2218</v>
      </c>
      <c r="F813" s="3" t="s">
        <v>2219</v>
      </c>
      <c r="G813" s="3" t="str">
        <f>IFERROR(__xludf.DUMMYFUNCTION("GOOGLETRANSLATE(D813,""fr"",""es"")"),"costo")</f>
        <v>costo</v>
      </c>
    </row>
    <row r="814">
      <c r="A814" s="3">
        <v>792.0</v>
      </c>
      <c r="B814" s="3" t="s">
        <v>189</v>
      </c>
      <c r="C814" s="3" t="s">
        <v>190</v>
      </c>
      <c r="D814" s="3" t="s">
        <v>2220</v>
      </c>
      <c r="E814" s="3" t="s">
        <v>2221</v>
      </c>
      <c r="F814" s="3" t="s">
        <v>2222</v>
      </c>
      <c r="G814" s="3" t="str">
        <f>IFERROR(__xludf.DUMMYFUNCTION("GOOGLETRANSLATE(D814,""fr"",""es"")"),"costo")</f>
        <v>costo</v>
      </c>
    </row>
    <row r="815">
      <c r="A815" s="3">
        <v>793.0</v>
      </c>
      <c r="B815" s="3" t="s">
        <v>189</v>
      </c>
      <c r="C815" s="3" t="s">
        <v>190</v>
      </c>
      <c r="D815" s="3" t="s">
        <v>2223</v>
      </c>
      <c r="E815" s="3" t="s">
        <v>2221</v>
      </c>
      <c r="F815" s="3" t="s">
        <v>2222</v>
      </c>
      <c r="G815" s="3" t="str">
        <f>IFERROR(__xludf.DUMMYFUNCTION("GOOGLETRANSLATE(D815,""fr"",""es"")"),"costo")</f>
        <v>costo</v>
      </c>
    </row>
    <row r="816">
      <c r="A816" s="3">
        <v>794.0</v>
      </c>
      <c r="B816" s="3" t="s">
        <v>189</v>
      </c>
      <c r="C816" s="3" t="s">
        <v>190</v>
      </c>
      <c r="D816" s="3" t="s">
        <v>2224</v>
      </c>
      <c r="E816" s="3" t="s">
        <v>2221</v>
      </c>
      <c r="F816" s="3" t="s">
        <v>2222</v>
      </c>
      <c r="G816" s="3" t="str">
        <f>IFERROR(__xludf.DUMMYFUNCTION("GOOGLETRANSLATE(D816,""fr"",""es"")"),"costacas")</f>
        <v>costacas</v>
      </c>
    </row>
    <row r="817">
      <c r="A817" s="3">
        <v>795.0</v>
      </c>
      <c r="B817" s="3" t="s">
        <v>189</v>
      </c>
      <c r="C817" s="3" t="s">
        <v>190</v>
      </c>
      <c r="D817" s="3" t="s">
        <v>2225</v>
      </c>
      <c r="E817" s="3" t="s">
        <v>2000</v>
      </c>
      <c r="F817" s="3" t="s">
        <v>2001</v>
      </c>
      <c r="G817" s="3" t="str">
        <f>IFERROR(__xludf.DUMMYFUNCTION("GOOGLETRANSLATE(D817,""fr"",""es"")"),"costo")</f>
        <v>costo</v>
      </c>
    </row>
    <row r="818">
      <c r="A818" s="3">
        <v>796.0</v>
      </c>
      <c r="B818" s="3" t="s">
        <v>189</v>
      </c>
      <c r="C818" s="3" t="s">
        <v>190</v>
      </c>
      <c r="D818" s="3" t="s">
        <v>2226</v>
      </c>
      <c r="E818" s="3" t="s">
        <v>2227</v>
      </c>
      <c r="F818" s="3" t="s">
        <v>2228</v>
      </c>
      <c r="G818" s="3" t="str">
        <f>IFERROR(__xludf.DUMMYFUNCTION("GOOGLETRANSLATE(D818,""fr"",""es"")"),"ciclo")</f>
        <v>ciclo</v>
      </c>
      <c r="H818" s="3" t="s">
        <v>2226</v>
      </c>
      <c r="I818" s="3" t="s">
        <v>2229</v>
      </c>
      <c r="J818" s="3" t="s">
        <v>2230</v>
      </c>
      <c r="K818" s="3" t="s">
        <v>2226</v>
      </c>
      <c r="L818" s="3" t="s">
        <v>2226</v>
      </c>
      <c r="M818" s="3" t="s">
        <v>2226</v>
      </c>
      <c r="N818" s="3" t="s">
        <v>2231</v>
      </c>
      <c r="O818" s="3" t="s">
        <v>2232</v>
      </c>
      <c r="P818" s="3" t="s">
        <v>2233</v>
      </c>
      <c r="Q818" s="3" t="s">
        <v>2226</v>
      </c>
      <c r="R818" s="3" t="s">
        <v>2234</v>
      </c>
      <c r="S818" s="3" t="s">
        <v>2226</v>
      </c>
      <c r="T818" s="3" t="s">
        <v>2226</v>
      </c>
      <c r="U818" s="3" t="s">
        <v>2235</v>
      </c>
      <c r="V818" s="3" t="s">
        <v>2236</v>
      </c>
      <c r="W818" s="3" t="s">
        <v>2237</v>
      </c>
      <c r="X818" s="3" t="s">
        <v>2238</v>
      </c>
      <c r="Y818" s="3" t="s">
        <v>2239</v>
      </c>
      <c r="Z818" s="3" t="s">
        <v>2226</v>
      </c>
      <c r="AA818" s="3" t="s">
        <v>2226</v>
      </c>
      <c r="AB818" s="3" t="s">
        <v>2240</v>
      </c>
      <c r="AC818" s="3" t="s">
        <v>2231</v>
      </c>
    </row>
    <row r="819">
      <c r="A819" s="3">
        <v>797.0</v>
      </c>
      <c r="B819" s="3" t="s">
        <v>189</v>
      </c>
      <c r="C819" s="3" t="s">
        <v>190</v>
      </c>
      <c r="D819" s="3" t="s">
        <v>2241</v>
      </c>
      <c r="E819" s="3" t="s">
        <v>2227</v>
      </c>
      <c r="F819" s="3" t="s">
        <v>2228</v>
      </c>
      <c r="G819" s="3" t="str">
        <f>IFERROR(__xludf.DUMMYFUNCTION("GOOGLETRANSLATE(D819,""fr"",""es"")"),"ciclos")</f>
        <v>ciclos</v>
      </c>
    </row>
    <row r="820">
      <c r="A820" s="3">
        <v>798.0</v>
      </c>
      <c r="B820" s="3" t="s">
        <v>189</v>
      </c>
      <c r="C820" s="3" t="s">
        <v>190</v>
      </c>
      <c r="D820" s="3" t="s">
        <v>2242</v>
      </c>
      <c r="E820" s="3" t="s">
        <v>2243</v>
      </c>
      <c r="F820" s="3" t="s">
        <v>2244</v>
      </c>
      <c r="G820" s="3" t="str">
        <f>IFERROR(__xludf.DUMMYFUNCTION("GOOGLETRANSLATE(D820,""fr"",""es"")"),"cisne")</f>
        <v>cisne</v>
      </c>
      <c r="H820" s="3" t="s">
        <v>2245</v>
      </c>
      <c r="I820" s="3" t="s">
        <v>2246</v>
      </c>
      <c r="J820" s="3" t="s">
        <v>2247</v>
      </c>
      <c r="K820" s="3" t="s">
        <v>2248</v>
      </c>
      <c r="L820" s="3" t="s">
        <v>2245</v>
      </c>
      <c r="M820" s="3" t="s">
        <v>2247</v>
      </c>
    </row>
    <row r="821">
      <c r="A821" s="3">
        <v>799.0</v>
      </c>
      <c r="B821" s="3" t="s">
        <v>189</v>
      </c>
      <c r="C821" s="3" t="s">
        <v>190</v>
      </c>
      <c r="D821" s="3" t="s">
        <v>2249</v>
      </c>
      <c r="E821" s="3" t="s">
        <v>2243</v>
      </c>
      <c r="F821" s="3" t="s">
        <v>2244</v>
      </c>
      <c r="G821" s="3" t="str">
        <f>IFERROR(__xludf.DUMMYFUNCTION("GOOGLETRANSLATE(D821,""fr"",""es"")"),"cisnes")</f>
        <v>cisnes</v>
      </c>
    </row>
    <row r="822">
      <c r="A822" s="3">
        <v>800.0</v>
      </c>
      <c r="B822" s="3" t="s">
        <v>189</v>
      </c>
      <c r="C822" s="3" t="s">
        <v>190</v>
      </c>
      <c r="D822" s="3" t="s">
        <v>2250</v>
      </c>
      <c r="E822" s="3" t="s">
        <v>2251</v>
      </c>
      <c r="F822" s="3" t="s">
        <v>2252</v>
      </c>
      <c r="G822" s="3" t="str">
        <f>IFERROR(__xludf.DUMMYFUNCTION("GOOGLETRANSLATE(D822,""fr"",""es"")"),"cínico")</f>
        <v>cínico</v>
      </c>
      <c r="H822" s="3" t="s">
        <v>2253</v>
      </c>
      <c r="I822" s="3" t="s">
        <v>2254</v>
      </c>
      <c r="J822" s="3" t="s">
        <v>2255</v>
      </c>
      <c r="K822" s="3" t="s">
        <v>2256</v>
      </c>
      <c r="L822" s="3" t="s">
        <v>2257</v>
      </c>
    </row>
    <row r="823">
      <c r="A823" s="3">
        <v>801.0</v>
      </c>
      <c r="B823" s="3" t="s">
        <v>189</v>
      </c>
      <c r="C823" s="3" t="s">
        <v>190</v>
      </c>
      <c r="D823" s="3" t="s">
        <v>2258</v>
      </c>
      <c r="E823" s="3" t="s">
        <v>2251</v>
      </c>
      <c r="F823" s="3" t="s">
        <v>2252</v>
      </c>
      <c r="G823" s="3" t="str">
        <f>IFERROR(__xludf.DUMMYFUNCTION("GOOGLETRANSLATE(D823,""fr"",""es"")"),"cínico")</f>
        <v>cínico</v>
      </c>
    </row>
    <row r="824">
      <c r="A824" s="3">
        <v>802.0</v>
      </c>
      <c r="B824" s="3" t="s">
        <v>189</v>
      </c>
      <c r="C824" s="3" t="s">
        <v>190</v>
      </c>
      <c r="D824" s="3" t="s">
        <v>2259</v>
      </c>
      <c r="E824" s="3" t="s">
        <v>2260</v>
      </c>
      <c r="F824" s="3" t="s">
        <v>2261</v>
      </c>
      <c r="G824" s="3" t="str">
        <f>IFERROR(__xludf.DUMMYFUNCTION("GOOGLETRANSLATE(D824,""fr"",""es"")"),"cinismo")</f>
        <v>cinismo</v>
      </c>
      <c r="H824" s="3" t="s">
        <v>2262</v>
      </c>
      <c r="I824" s="3" t="s">
        <v>2256</v>
      </c>
      <c r="J824" s="3" t="s">
        <v>2257</v>
      </c>
      <c r="K824" s="3" t="s">
        <v>2263</v>
      </c>
    </row>
    <row r="825">
      <c r="A825" s="3">
        <v>803.0</v>
      </c>
      <c r="B825" s="3" t="s">
        <v>189</v>
      </c>
      <c r="C825" s="3" t="s">
        <v>190</v>
      </c>
      <c r="D825" s="3" t="s">
        <v>2264</v>
      </c>
      <c r="E825" s="3" t="s">
        <v>2260</v>
      </c>
      <c r="F825" s="3" t="s">
        <v>2261</v>
      </c>
      <c r="G825" s="3" t="str">
        <f>IFERROR(__xludf.DUMMYFUNCTION("GOOGLETRANSLATE(D825,""fr"",""es"")"),"cnismos")</f>
        <v>cnismos</v>
      </c>
    </row>
    <row r="826">
      <c r="A826" s="3">
        <v>804.0</v>
      </c>
      <c r="B826" s="3" t="s">
        <v>189</v>
      </c>
      <c r="C826" s="3" t="s">
        <v>190</v>
      </c>
      <c r="D826" s="3" t="s">
        <v>2265</v>
      </c>
      <c r="E826" s="3" t="s">
        <v>361</v>
      </c>
      <c r="F826" s="3" t="s">
        <v>362</v>
      </c>
      <c r="G826" s="3" t="str">
        <f>IFERROR(__xludf.DUMMYFUNCTION("GOOGLETRANSLATE(D826,""fr"",""es"")"),"ella")</f>
        <v>ella</v>
      </c>
    </row>
    <row r="827">
      <c r="A827" s="3">
        <v>805.0</v>
      </c>
      <c r="B827" s="3" t="s">
        <v>189</v>
      </c>
      <c r="C827" s="3" t="s">
        <v>190</v>
      </c>
      <c r="D827" s="3" t="s">
        <v>2266</v>
      </c>
      <c r="E827" s="3" t="s">
        <v>2267</v>
      </c>
      <c r="F827" s="3" t="s">
        <v>2268</v>
      </c>
      <c r="G827" s="3" t="str">
        <f>IFERROR(__xludf.DUMMYFUNCTION("GOOGLETRANSLATE(D827,""fr"",""es"")"),"ellas")</f>
        <v>ellas</v>
      </c>
    </row>
    <row r="828">
      <c r="A828" s="3">
        <v>806.0</v>
      </c>
      <c r="B828" s="3" t="s">
        <v>189</v>
      </c>
      <c r="C828" s="3" t="s">
        <v>190</v>
      </c>
      <c r="D828" s="3" t="s">
        <v>2269</v>
      </c>
      <c r="E828" s="3" t="s">
        <v>192</v>
      </c>
      <c r="F828" s="3" t="s">
        <v>191</v>
      </c>
      <c r="G828" s="3" t="str">
        <f>IFERROR(__xludf.DUMMYFUNCTION("GOOGLETRANSLATE(D828,""fr"",""es"")"),"frasco")</f>
        <v>frasco</v>
      </c>
      <c r="H828" s="3" t="s">
        <v>2270</v>
      </c>
      <c r="I828" s="3" t="s">
        <v>2271</v>
      </c>
      <c r="J828" s="3" t="s">
        <v>2272</v>
      </c>
      <c r="K828" s="3" t="s">
        <v>2273</v>
      </c>
    </row>
    <row r="829">
      <c r="A829" s="3">
        <v>807.0</v>
      </c>
      <c r="B829" s="3" t="s">
        <v>189</v>
      </c>
      <c r="C829" s="3" t="s">
        <v>190</v>
      </c>
      <c r="D829" s="3" t="s">
        <v>2274</v>
      </c>
      <c r="E829" s="3" t="s">
        <v>826</v>
      </c>
      <c r="F829" s="3" t="s">
        <v>827</v>
      </c>
      <c r="G829" s="3" t="str">
        <f>IFERROR(__xludf.DUMMYFUNCTION("GOOGLETRANSLATE(D829,""fr"",""es"")"),"ès")</f>
        <v>ès</v>
      </c>
    </row>
    <row r="830">
      <c r="A830" s="3">
        <v>808.0</v>
      </c>
      <c r="B830" s="3" t="s">
        <v>189</v>
      </c>
      <c r="C830" s="3" t="s">
        <v>190</v>
      </c>
      <c r="D830" s="3" t="s">
        <v>2275</v>
      </c>
      <c r="E830" s="3" t="s">
        <v>842</v>
      </c>
      <c r="F830" s="3" t="s">
        <v>843</v>
      </c>
      <c r="G830" s="3" t="str">
        <f>IFERROR(__xludf.DUMMYFUNCTION("GOOGLETRANSLATE(D830,""fr"",""es"")"),"et al.")</f>
        <v>et al.</v>
      </c>
    </row>
    <row r="831">
      <c r="A831" s="3">
        <v>809.0</v>
      </c>
      <c r="B831" s="3" t="s">
        <v>189</v>
      </c>
      <c r="C831" s="3" t="s">
        <v>190</v>
      </c>
      <c r="D831" s="3" t="s">
        <v>2276</v>
      </c>
      <c r="E831" s="3" t="s">
        <v>348</v>
      </c>
      <c r="F831" s="3" t="s">
        <v>349</v>
      </c>
      <c r="G831" s="3" t="str">
        <f>IFERROR(__xludf.DUMMYFUNCTION("GOOGLETRANSLATE(D831,""fr"",""es"")"),"H")</f>
        <v>H</v>
      </c>
      <c r="H831" s="3" t="s">
        <v>2277</v>
      </c>
      <c r="I831" s="3" t="s">
        <v>2278</v>
      </c>
      <c r="J831" s="3" t="s">
        <v>2279</v>
      </c>
      <c r="K831" s="3" t="s">
        <v>2280</v>
      </c>
      <c r="L831" s="3" t="s">
        <v>2281</v>
      </c>
      <c r="M831" s="3" t="s">
        <v>2276</v>
      </c>
      <c r="N831" s="3" t="s">
        <v>2282</v>
      </c>
      <c r="O831" s="3" t="s">
        <v>2281</v>
      </c>
      <c r="P831" s="3" t="s">
        <v>2276</v>
      </c>
      <c r="Q831" s="3" t="s">
        <v>2282</v>
      </c>
    </row>
    <row r="832">
      <c r="A832" s="3">
        <v>810.0</v>
      </c>
      <c r="B832" s="3" t="s">
        <v>189</v>
      </c>
      <c r="C832" s="3" t="s">
        <v>190</v>
      </c>
      <c r="D832" s="3" t="s">
        <v>2283</v>
      </c>
      <c r="E832" s="3" t="s">
        <v>2284</v>
      </c>
      <c r="F832" s="3" t="s">
        <v>2285</v>
      </c>
      <c r="G832" s="3" t="str">
        <f>IFERROR(__xludf.DUMMYFUNCTION("GOOGLETRANSLATE(D832,""fr"",""es"")"),"aliento")</f>
        <v>aliento</v>
      </c>
      <c r="H832" s="3" t="s">
        <v>2286</v>
      </c>
      <c r="I832" s="3" t="s">
        <v>2287</v>
      </c>
      <c r="J832" s="3" t="s">
        <v>2288</v>
      </c>
      <c r="K832" s="3" t="s">
        <v>2286</v>
      </c>
      <c r="L832" s="3" t="s">
        <v>2286</v>
      </c>
      <c r="M832" s="3" t="s">
        <v>2286</v>
      </c>
      <c r="N832" s="3" t="s">
        <v>2286</v>
      </c>
      <c r="O832" s="3" t="s">
        <v>2289</v>
      </c>
      <c r="P832" s="3" t="s">
        <v>2290</v>
      </c>
      <c r="Q832" s="3" t="s">
        <v>2291</v>
      </c>
      <c r="R832" s="3" t="s">
        <v>2292</v>
      </c>
      <c r="S832" s="3" t="s">
        <v>2293</v>
      </c>
    </row>
    <row r="833">
      <c r="A833" s="3">
        <v>811.0</v>
      </c>
      <c r="B833" s="3" t="s">
        <v>189</v>
      </c>
      <c r="C833" s="3" t="s">
        <v>190</v>
      </c>
      <c r="D833" s="3" t="s">
        <v>2294</v>
      </c>
      <c r="E833" s="3" t="s">
        <v>2284</v>
      </c>
      <c r="F833" s="3" t="s">
        <v>2285</v>
      </c>
      <c r="G833" s="3" t="str">
        <f>IFERROR(__xludf.DUMMYFUNCTION("GOOGLETRANSLATE(D833,""fr"",""es"")"),"aliento")</f>
        <v>aliento</v>
      </c>
    </row>
    <row r="834">
      <c r="A834" s="3">
        <v>812.0</v>
      </c>
      <c r="B834" s="3" t="s">
        <v>189</v>
      </c>
      <c r="C834" s="3" t="s">
        <v>190</v>
      </c>
      <c r="D834" s="3" t="s">
        <v>2295</v>
      </c>
      <c r="E834" s="3" t="s">
        <v>2296</v>
      </c>
      <c r="F834" s="3" t="s">
        <v>2297</v>
      </c>
      <c r="G834" s="3" t="str">
        <f>IFERROR(__xludf.DUMMYFUNCTION("GOOGLETRANSLATE(D834,""fr"",""es"")"),"hallali")</f>
        <v>hallali</v>
      </c>
    </row>
    <row r="835">
      <c r="A835" s="3">
        <v>813.0</v>
      </c>
      <c r="B835" s="3" t="s">
        <v>189</v>
      </c>
      <c r="C835" s="3" t="s">
        <v>190</v>
      </c>
      <c r="D835" s="3" t="s">
        <v>2298</v>
      </c>
      <c r="E835" s="3" t="s">
        <v>2296</v>
      </c>
      <c r="F835" s="3" t="s">
        <v>2297</v>
      </c>
      <c r="G835" s="3" t="str">
        <f>IFERROR(__xludf.DUMMYFUNCTION("GOOGLETRANSLATE(D835,""fr"",""es"")"),"hallalis")</f>
        <v>hallalis</v>
      </c>
    </row>
    <row r="836">
      <c r="A836" s="3">
        <v>814.0</v>
      </c>
      <c r="B836" s="3" t="s">
        <v>189</v>
      </c>
      <c r="C836" s="3" t="s">
        <v>190</v>
      </c>
      <c r="D836" s="3" t="s">
        <v>2299</v>
      </c>
      <c r="E836" s="3" t="s">
        <v>2300</v>
      </c>
      <c r="F836" s="3" t="s">
        <v>2301</v>
      </c>
      <c r="G836" s="3" t="str">
        <f>IFERROR(__xludf.DUMMYFUNCTION("GOOGLETRANSLATE(D836,""fr"",""es"")"),"Hiatal")</f>
        <v>Hiatal</v>
      </c>
    </row>
    <row r="837">
      <c r="A837" s="3">
        <v>815.0</v>
      </c>
      <c r="B837" s="3" t="s">
        <v>189</v>
      </c>
      <c r="C837" s="3" t="s">
        <v>190</v>
      </c>
      <c r="D837" s="3" t="s">
        <v>2302</v>
      </c>
      <c r="E837" s="3" t="s">
        <v>2300</v>
      </c>
      <c r="F837" s="3" t="s">
        <v>2301</v>
      </c>
      <c r="G837" s="3" t="str">
        <f>IFERROR(__xludf.DUMMYFUNCTION("GOOGLETRANSLATE(D837,""fr"",""es"")"),"Hiatal")</f>
        <v>Hiatal</v>
      </c>
    </row>
    <row r="838">
      <c r="A838" s="3">
        <v>816.0</v>
      </c>
      <c r="B838" s="3" t="s">
        <v>189</v>
      </c>
      <c r="C838" s="3" t="s">
        <v>190</v>
      </c>
      <c r="D838" s="3" t="s">
        <v>2303</v>
      </c>
      <c r="E838" s="3" t="s">
        <v>2300</v>
      </c>
      <c r="F838" s="3" t="s">
        <v>2301</v>
      </c>
      <c r="G838" s="3" t="str">
        <f>IFERROR(__xludf.DUMMYFUNCTION("GOOGLETRANSLATE(D838,""fr"",""es"")"),"Hiatal")</f>
        <v>Hiatal</v>
      </c>
    </row>
    <row r="839">
      <c r="A839" s="3">
        <v>817.0</v>
      </c>
      <c r="B839" s="3" t="s">
        <v>189</v>
      </c>
      <c r="C839" s="3" t="s">
        <v>190</v>
      </c>
      <c r="D839" s="3" t="s">
        <v>2304</v>
      </c>
      <c r="E839" s="3" t="s">
        <v>2305</v>
      </c>
      <c r="F839" s="3" t="s">
        <v>2306</v>
      </c>
      <c r="G839" s="3" t="str">
        <f>IFERROR(__xludf.DUMMYFUNCTION("GOOGLETRANSLATE(D839,""fr"",""es"")"),"Himalaya")</f>
        <v>Himalaya</v>
      </c>
    </row>
    <row r="840">
      <c r="A840" s="3">
        <v>818.0</v>
      </c>
      <c r="B840" s="3" t="s">
        <v>189</v>
      </c>
      <c r="C840" s="3" t="s">
        <v>190</v>
      </c>
      <c r="D840" s="3" t="s">
        <v>2307</v>
      </c>
      <c r="E840" s="3" t="s">
        <v>2305</v>
      </c>
      <c r="F840" s="3" t="s">
        <v>2306</v>
      </c>
      <c r="G840" s="3" t="str">
        <f>IFERROR(__xludf.DUMMYFUNCTION("GOOGLETRANSLATE(D840,""fr"",""es"")"),"Himalaya")</f>
        <v>Himalaya</v>
      </c>
    </row>
    <row r="841">
      <c r="A841" s="3">
        <v>819.0</v>
      </c>
      <c r="B841" s="3" t="s">
        <v>189</v>
      </c>
      <c r="C841" s="3" t="s">
        <v>190</v>
      </c>
      <c r="D841" s="3" t="s">
        <v>2308</v>
      </c>
      <c r="E841" s="3" t="s">
        <v>2309</v>
      </c>
      <c r="F841" s="3" t="s">
        <v>2310</v>
      </c>
      <c r="G841" s="3" t="str">
        <f>IFERROR(__xludf.DUMMYFUNCTION("GOOGLETRANSLATE(D841,""fr"",""es"")"),"las carreras de caballos")</f>
        <v>las carreras de caballos</v>
      </c>
      <c r="H841" s="3" t="s">
        <v>2311</v>
      </c>
      <c r="I841" s="3" t="s">
        <v>2311</v>
      </c>
      <c r="J841" s="3" t="s">
        <v>2312</v>
      </c>
      <c r="K841" s="3" t="s">
        <v>2311</v>
      </c>
      <c r="L841" s="3" t="s">
        <v>2313</v>
      </c>
    </row>
    <row r="842">
      <c r="A842" s="3">
        <v>820.0</v>
      </c>
      <c r="B842" s="3" t="s">
        <v>189</v>
      </c>
      <c r="C842" s="3" t="s">
        <v>190</v>
      </c>
      <c r="D842" s="3" t="s">
        <v>2314</v>
      </c>
      <c r="E842" s="3" t="s">
        <v>2309</v>
      </c>
      <c r="F842" s="3" t="s">
        <v>2310</v>
      </c>
      <c r="G842" s="3" t="str">
        <f>IFERROR(__xludf.DUMMYFUNCTION("GOOGLETRANSLATE(D842,""fr"",""es"")"),"las carreras de caballos")</f>
        <v>las carreras de caballos</v>
      </c>
    </row>
    <row r="843">
      <c r="A843" s="3">
        <v>821.0</v>
      </c>
      <c r="B843" s="3" t="s">
        <v>189</v>
      </c>
      <c r="C843" s="3" t="s">
        <v>190</v>
      </c>
      <c r="D843" s="3" t="s">
        <v>2315</v>
      </c>
      <c r="E843" s="3" t="s">
        <v>2316</v>
      </c>
      <c r="F843" s="3" t="s">
        <v>2317</v>
      </c>
      <c r="G843" s="3" t="str">
        <f>IFERROR(__xludf.DUMMYFUNCTION("GOOGLETRANSLATE(D843,""fr"",""es"")"),"hippismo")</f>
        <v>hippismo</v>
      </c>
      <c r="H843" s="3" t="s">
        <v>2318</v>
      </c>
    </row>
    <row r="844">
      <c r="A844" s="3">
        <v>822.0</v>
      </c>
      <c r="B844" s="3" t="s">
        <v>189</v>
      </c>
      <c r="C844" s="3" t="s">
        <v>190</v>
      </c>
      <c r="D844" s="3" t="s">
        <v>2319</v>
      </c>
      <c r="E844" s="3" t="s">
        <v>2316</v>
      </c>
      <c r="F844" s="3" t="s">
        <v>2317</v>
      </c>
      <c r="G844" s="3" t="str">
        <f>IFERROR(__xludf.DUMMYFUNCTION("GOOGLETRANSLATE(D844,""fr"",""es"")"),"hippismos")</f>
        <v>hippismos</v>
      </c>
    </row>
    <row r="845">
      <c r="A845" s="3">
        <v>823.0</v>
      </c>
      <c r="B845" s="3" t="s">
        <v>189</v>
      </c>
      <c r="C845" s="3" t="s">
        <v>190</v>
      </c>
      <c r="D845" s="3" t="s">
        <v>2320</v>
      </c>
      <c r="E845" s="3" t="s">
        <v>2321</v>
      </c>
      <c r="F845" s="3" t="s">
        <v>2322</v>
      </c>
      <c r="G845" s="3" t="str">
        <f>IFERROR(__xludf.DUMMYFUNCTION("GOOGLETRANSLATE(D845,""fr"",""es"")"),"Humus")</f>
        <v>Humus</v>
      </c>
      <c r="H845" s="3" t="s">
        <v>2323</v>
      </c>
      <c r="I845" s="3" t="s">
        <v>2324</v>
      </c>
      <c r="J845" s="3" t="s">
        <v>2325</v>
      </c>
      <c r="K845" s="3" t="s">
        <v>2326</v>
      </c>
      <c r="L845" s="3" t="s">
        <v>2327</v>
      </c>
    </row>
    <row r="846">
      <c r="A846" s="3">
        <v>824.0</v>
      </c>
      <c r="B846" s="3" t="s">
        <v>189</v>
      </c>
      <c r="C846" s="3" t="s">
        <v>190</v>
      </c>
      <c r="D846" s="3" t="s">
        <v>2328</v>
      </c>
      <c r="E846" s="3" t="s">
        <v>2329</v>
      </c>
      <c r="F846" s="3" t="s">
        <v>2330</v>
      </c>
      <c r="G846" s="3" t="str">
        <f>IFERROR(__xludf.DUMMYFUNCTION("GOOGLETRANSLATE(D846,""fr"",""es"")"),"hiena")</f>
        <v>hiena</v>
      </c>
      <c r="H846" s="3" t="s">
        <v>2331</v>
      </c>
      <c r="I846" s="3" t="s">
        <v>2332</v>
      </c>
    </row>
    <row r="847">
      <c r="A847" s="3">
        <v>825.0</v>
      </c>
      <c r="B847" s="3" t="s">
        <v>189</v>
      </c>
      <c r="C847" s="3" t="s">
        <v>190</v>
      </c>
      <c r="D847" s="3" t="s">
        <v>2333</v>
      </c>
      <c r="E847" s="3" t="s">
        <v>2329</v>
      </c>
      <c r="F847" s="3" t="s">
        <v>2330</v>
      </c>
      <c r="G847" s="3" t="str">
        <f>IFERROR(__xludf.DUMMYFUNCTION("GOOGLETRANSLATE(D847,""fr"",""es"")"),"hiena")</f>
        <v>hiena</v>
      </c>
      <c r="H847" s="3" t="s">
        <v>2331</v>
      </c>
      <c r="I847" s="3" t="s">
        <v>2332</v>
      </c>
    </row>
    <row r="848">
      <c r="A848" s="3">
        <v>826.0</v>
      </c>
      <c r="B848" s="3" t="s">
        <v>189</v>
      </c>
      <c r="C848" s="3" t="s">
        <v>190</v>
      </c>
      <c r="D848" s="3" t="s">
        <v>2334</v>
      </c>
      <c r="E848" s="3" t="s">
        <v>2335</v>
      </c>
      <c r="F848" s="3" t="s">
        <v>2336</v>
      </c>
      <c r="G848" s="3" t="str">
        <f>IFERROR(__xludf.DUMMYFUNCTION("GOOGLETRANSLATE(D848,""fr"",""es"")"),"himen")</f>
        <v>himen</v>
      </c>
      <c r="H848" s="3" t="s">
        <v>2334</v>
      </c>
      <c r="I848" s="3" t="s">
        <v>2337</v>
      </c>
      <c r="J848" s="3" t="s">
        <v>2338</v>
      </c>
      <c r="K848" s="3" t="s">
        <v>2339</v>
      </c>
    </row>
    <row r="849">
      <c r="A849" s="3">
        <v>827.0</v>
      </c>
      <c r="B849" s="3" t="s">
        <v>189</v>
      </c>
      <c r="C849" s="3" t="s">
        <v>190</v>
      </c>
      <c r="D849" s="3" t="s">
        <v>2340</v>
      </c>
      <c r="E849" s="3" t="s">
        <v>2335</v>
      </c>
      <c r="F849" s="3" t="s">
        <v>2336</v>
      </c>
      <c r="G849" s="3" t="str">
        <f>IFERROR(__xludf.DUMMYFUNCTION("GOOGLETRANSLATE(D849,""fr"",""es"")"),"hymens")</f>
        <v>hymens</v>
      </c>
    </row>
    <row r="850">
      <c r="A850" s="3">
        <v>828.0</v>
      </c>
      <c r="B850" s="3" t="s">
        <v>189</v>
      </c>
      <c r="C850" s="3" t="s">
        <v>190</v>
      </c>
      <c r="D850" s="3" t="s">
        <v>2341</v>
      </c>
      <c r="E850" s="3" t="s">
        <v>2342</v>
      </c>
      <c r="F850" s="3" t="s">
        <v>2343</v>
      </c>
      <c r="G850" s="3" t="str">
        <f>IFERROR(__xludf.DUMMYFUNCTION("GOOGLETRANSLATE(D850,""fr"",""es"")"),"himno")</f>
        <v>himno</v>
      </c>
      <c r="H850" s="3" t="s">
        <v>2344</v>
      </c>
      <c r="I850" s="3" t="s">
        <v>2344</v>
      </c>
      <c r="J850" s="3" t="s">
        <v>2344</v>
      </c>
      <c r="K850" s="3" t="s">
        <v>2345</v>
      </c>
      <c r="L850" s="3" t="s">
        <v>2345</v>
      </c>
    </row>
    <row r="851">
      <c r="A851" s="3">
        <v>829.0</v>
      </c>
      <c r="B851" s="3" t="s">
        <v>189</v>
      </c>
      <c r="C851" s="3" t="s">
        <v>190</v>
      </c>
      <c r="D851" s="3" t="s">
        <v>2346</v>
      </c>
      <c r="E851" s="3" t="s">
        <v>2342</v>
      </c>
      <c r="F851" s="3" t="s">
        <v>2343</v>
      </c>
      <c r="G851" s="3" t="str">
        <f>IFERROR(__xludf.DUMMYFUNCTION("GOOGLETRANSLATE(D851,""fr"",""es"")"),"himnos")</f>
        <v>himnos</v>
      </c>
    </row>
    <row r="852">
      <c r="A852" s="3">
        <v>830.0</v>
      </c>
      <c r="B852" s="3" t="s">
        <v>189</v>
      </c>
      <c r="C852" s="3" t="s">
        <v>190</v>
      </c>
      <c r="D852" s="3" t="s">
        <v>2268</v>
      </c>
      <c r="E852" s="3" t="s">
        <v>2267</v>
      </c>
      <c r="F852" s="3" t="s">
        <v>2268</v>
      </c>
      <c r="G852" s="3" t="str">
        <f>IFERROR(__xludf.DUMMYFUNCTION("GOOGLETRANSLATE(D852,""fr"",""es"")"),"yo")</f>
        <v>yo</v>
      </c>
      <c r="H852" s="3" t="s">
        <v>2347</v>
      </c>
      <c r="I852" s="3" t="s">
        <v>2348</v>
      </c>
      <c r="J852" s="3" t="s">
        <v>2349</v>
      </c>
    </row>
    <row r="853">
      <c r="A853" s="3">
        <v>831.0</v>
      </c>
      <c r="B853" s="3" t="s">
        <v>189</v>
      </c>
      <c r="C853" s="3" t="s">
        <v>190</v>
      </c>
      <c r="D853" s="3" t="s">
        <v>2350</v>
      </c>
      <c r="E853" s="3" t="s">
        <v>2267</v>
      </c>
      <c r="F853" s="3" t="s">
        <v>2268</v>
      </c>
      <c r="G853" s="3" t="str">
        <f>IFERROR(__xludf.DUMMYFUNCTION("GOOGLETRANSLATE(D853,""fr"",""es"")"),"yo")</f>
        <v>yo</v>
      </c>
      <c r="H853" s="3" t="s">
        <v>2347</v>
      </c>
      <c r="I853" s="3" t="s">
        <v>2348</v>
      </c>
      <c r="J853" s="3" t="s">
        <v>2349</v>
      </c>
    </row>
    <row r="854">
      <c r="A854" s="3">
        <v>832.0</v>
      </c>
      <c r="B854" s="3" t="s">
        <v>189</v>
      </c>
      <c r="C854" s="3" t="s">
        <v>190</v>
      </c>
      <c r="D854" s="3" t="s">
        <v>2351</v>
      </c>
      <c r="E854" s="3" t="s">
        <v>2352</v>
      </c>
      <c r="F854" s="3" t="s">
        <v>2353</v>
      </c>
      <c r="G854" s="3" t="str">
        <f>IFERROR(__xludf.DUMMYFUNCTION("GOOGLETRANSLATE(D854,""fr"",""es"")"),"es decir")</f>
        <v>es decir</v>
      </c>
    </row>
    <row r="855">
      <c r="A855" s="3">
        <v>833.0</v>
      </c>
      <c r="B855" s="3" t="s">
        <v>189</v>
      </c>
      <c r="C855" s="3" t="s">
        <v>190</v>
      </c>
      <c r="D855" s="3" t="s">
        <v>2354</v>
      </c>
      <c r="E855" s="3" t="s">
        <v>2352</v>
      </c>
      <c r="F855" s="3" t="s">
        <v>2353</v>
      </c>
      <c r="G855" s="3" t="str">
        <f>IFERROR(__xludf.DUMMYFUNCTION("GOOGLETRANSLATE(D855,""fr"",""es"")"),"icelles")</f>
        <v>icelles</v>
      </c>
    </row>
    <row r="856">
      <c r="A856" s="3">
        <v>834.0</v>
      </c>
      <c r="B856" s="3" t="s">
        <v>189</v>
      </c>
      <c r="C856" s="3" t="s">
        <v>190</v>
      </c>
      <c r="D856" s="3" t="s">
        <v>2355</v>
      </c>
      <c r="E856" s="3" t="s">
        <v>2356</v>
      </c>
      <c r="F856" s="3" t="s">
        <v>2357</v>
      </c>
      <c r="G856" s="3" t="str">
        <f>IFERROR(__xludf.DUMMYFUNCTION("GOOGLETRANSLATE(D856,""fr"",""es"")"),"aquí")</f>
        <v>aquí</v>
      </c>
      <c r="H856" s="3" t="s">
        <v>2358</v>
      </c>
      <c r="I856" s="3" t="s">
        <v>2359</v>
      </c>
      <c r="J856" s="3" t="s">
        <v>2359</v>
      </c>
      <c r="K856" s="3" t="s">
        <v>2360</v>
      </c>
      <c r="L856" s="3" t="s">
        <v>2359</v>
      </c>
      <c r="M856" s="3" t="s">
        <v>2359</v>
      </c>
      <c r="N856" s="3" t="s">
        <v>2361</v>
      </c>
      <c r="O856" s="3" t="s">
        <v>2362</v>
      </c>
      <c r="P856" s="3" t="s">
        <v>2359</v>
      </c>
      <c r="Q856" s="3" t="s">
        <v>2359</v>
      </c>
      <c r="R856" s="3" t="s">
        <v>2363</v>
      </c>
      <c r="S856" s="3" t="s">
        <v>2364</v>
      </c>
    </row>
    <row r="857">
      <c r="A857" s="3">
        <v>835.0</v>
      </c>
      <c r="B857" s="3" t="s">
        <v>189</v>
      </c>
      <c r="C857" s="3" t="s">
        <v>190</v>
      </c>
      <c r="D857" s="3" t="s">
        <v>2365</v>
      </c>
      <c r="E857" s="3" t="s">
        <v>2366</v>
      </c>
      <c r="F857" s="3" t="s">
        <v>2367</v>
      </c>
      <c r="G857" s="3" t="str">
        <f>IFERROR(__xludf.DUMMYFUNCTION("GOOGLETRANSLATE(D857,""fr"",""es"")"),"Ignicio")</f>
        <v>Ignicio</v>
      </c>
      <c r="H857" s="3" t="s">
        <v>2368</v>
      </c>
      <c r="I857" s="3" t="s">
        <v>2369</v>
      </c>
      <c r="J857" s="3" t="s">
        <v>2370</v>
      </c>
    </row>
    <row r="858">
      <c r="A858" s="3">
        <v>836.0</v>
      </c>
      <c r="B858" s="3" t="s">
        <v>189</v>
      </c>
      <c r="C858" s="3" t="s">
        <v>190</v>
      </c>
      <c r="D858" s="3" t="s">
        <v>2371</v>
      </c>
      <c r="E858" s="3" t="s">
        <v>2372</v>
      </c>
      <c r="F858" s="3" t="s">
        <v>2373</v>
      </c>
      <c r="G858" s="3" t="str">
        <f>IFERROR(__xludf.DUMMYFUNCTION("GOOGLETRANSLATE(D858,""fr"",""es"")"),"batata")</f>
        <v>batata</v>
      </c>
      <c r="H858" s="3" t="s">
        <v>2374</v>
      </c>
      <c r="I858" s="3" t="s">
        <v>2374</v>
      </c>
      <c r="J858" s="3" t="s">
        <v>2374</v>
      </c>
      <c r="K858" s="3" t="s">
        <v>2375</v>
      </c>
      <c r="L858" s="3" t="s">
        <v>2374</v>
      </c>
    </row>
    <row r="859">
      <c r="A859" s="3">
        <v>837.0</v>
      </c>
      <c r="B859" s="3" t="s">
        <v>189</v>
      </c>
      <c r="C859" s="3" t="s">
        <v>190</v>
      </c>
      <c r="D859" s="3" t="s">
        <v>2376</v>
      </c>
      <c r="E859" s="3" t="s">
        <v>2372</v>
      </c>
      <c r="F859" s="3" t="s">
        <v>2373</v>
      </c>
      <c r="G859" s="3" t="str">
        <f>IFERROR(__xludf.DUMMYFUNCTION("GOOGLETRANSLATE(D859,""fr"",""es"")"),"batatas")</f>
        <v>batatas</v>
      </c>
    </row>
    <row r="860">
      <c r="A860" s="3">
        <v>838.0</v>
      </c>
      <c r="B860" s="3" t="s">
        <v>189</v>
      </c>
      <c r="C860" s="3" t="s">
        <v>190</v>
      </c>
      <c r="D860" s="3" t="s">
        <v>2377</v>
      </c>
      <c r="E860" s="3" t="s">
        <v>2267</v>
      </c>
      <c r="F860" s="3" t="s">
        <v>2268</v>
      </c>
      <c r="G860" s="3" t="str">
        <f>IFERROR(__xludf.DUMMYFUNCTION("GOOGLETRANSLATE(D860,""fr"",""es"")"),"Él")</f>
        <v>Él</v>
      </c>
      <c r="H860" s="3" t="s">
        <v>2378</v>
      </c>
      <c r="I860" s="3" t="s">
        <v>2379</v>
      </c>
      <c r="J860" s="3" t="s">
        <v>2380</v>
      </c>
      <c r="K860" s="3" t="s">
        <v>2381</v>
      </c>
      <c r="L860" s="3" t="s">
        <v>2382</v>
      </c>
    </row>
    <row r="861">
      <c r="A861" s="3">
        <v>839.0</v>
      </c>
      <c r="B861" s="3" t="s">
        <v>189</v>
      </c>
      <c r="C861" s="3" t="s">
        <v>190</v>
      </c>
      <c r="D861" s="3" t="s">
        <v>2383</v>
      </c>
      <c r="E861" s="3" t="s">
        <v>2384</v>
      </c>
      <c r="F861" s="3" t="s">
        <v>2377</v>
      </c>
      <c r="G861" s="3" t="str">
        <f>IFERROR(__xludf.DUMMYFUNCTION("GOOGLETRANSLATE(D861,""fr"",""es"")"),"isla")</f>
        <v>isla</v>
      </c>
      <c r="H861" s="3" t="s">
        <v>2385</v>
      </c>
      <c r="I861" s="3" t="s">
        <v>2386</v>
      </c>
      <c r="J861" s="3" t="s">
        <v>2387</v>
      </c>
      <c r="K861" s="3" t="s">
        <v>2388</v>
      </c>
      <c r="L861" s="3" t="s">
        <v>2389</v>
      </c>
      <c r="M861" s="3" t="s">
        <v>2390</v>
      </c>
      <c r="N861" s="3" t="s">
        <v>2391</v>
      </c>
      <c r="O861" s="3" t="s">
        <v>2392</v>
      </c>
      <c r="P861" s="3" t="s">
        <v>2393</v>
      </c>
      <c r="Q861" s="3" t="s">
        <v>2385</v>
      </c>
      <c r="R861" s="3" t="s">
        <v>2394</v>
      </c>
      <c r="S861" s="3" t="s">
        <v>2395</v>
      </c>
    </row>
    <row r="862">
      <c r="A862" s="3">
        <v>840.0</v>
      </c>
      <c r="B862" s="3" t="s">
        <v>189</v>
      </c>
      <c r="C862" s="3" t="s">
        <v>190</v>
      </c>
      <c r="D862" s="3" t="s">
        <v>2396</v>
      </c>
      <c r="E862" s="3" t="s">
        <v>2384</v>
      </c>
      <c r="F862" s="3" t="s">
        <v>2377</v>
      </c>
      <c r="G862" s="3" t="str">
        <f>IFERROR(__xludf.DUMMYFUNCTION("GOOGLETRANSLATE(D862,""fr"",""es"")"),"Islas")</f>
        <v>Islas</v>
      </c>
      <c r="H862" s="3" t="s">
        <v>2397</v>
      </c>
      <c r="I862" s="3" t="s">
        <v>2398</v>
      </c>
      <c r="J862" s="3" t="s">
        <v>2385</v>
      </c>
    </row>
    <row r="863">
      <c r="A863" s="3">
        <v>841.0</v>
      </c>
      <c r="B863" s="3" t="s">
        <v>189</v>
      </c>
      <c r="C863" s="3" t="s">
        <v>190</v>
      </c>
      <c r="D863" s="3" t="s">
        <v>2399</v>
      </c>
      <c r="E863" s="3" t="s">
        <v>2267</v>
      </c>
      <c r="F863" s="3" t="s">
        <v>2268</v>
      </c>
      <c r="G863" s="3" t="str">
        <f>IFERROR(__xludf.DUMMYFUNCTION("GOOGLETRANSLATE(D863,""fr"",""es"")"),"ellos")</f>
        <v>ellos</v>
      </c>
    </row>
    <row r="864">
      <c r="A864" s="3">
        <v>842.0</v>
      </c>
      <c r="B864" s="3" t="s">
        <v>189</v>
      </c>
      <c r="C864" s="3" t="s">
        <v>190</v>
      </c>
      <c r="D864" s="3" t="s">
        <v>2400</v>
      </c>
      <c r="E864" s="3" t="s">
        <v>2401</v>
      </c>
      <c r="F864" s="3" t="s">
        <v>2400</v>
      </c>
      <c r="G864" s="3" t="str">
        <f>IFERROR(__xludf.DUMMYFUNCTION("GOOGLETRANSLATE(D864,""fr"",""es"")"),"imán")</f>
        <v>imán</v>
      </c>
      <c r="H864" s="3" t="s">
        <v>2400</v>
      </c>
      <c r="I864" s="3" t="s">
        <v>2402</v>
      </c>
    </row>
    <row r="865">
      <c r="A865" s="3">
        <v>843.0</v>
      </c>
      <c r="B865" s="3" t="s">
        <v>189</v>
      </c>
      <c r="C865" s="3" t="s">
        <v>190</v>
      </c>
      <c r="D865" s="3" t="s">
        <v>2403</v>
      </c>
      <c r="E865" s="3" t="s">
        <v>2401</v>
      </c>
      <c r="F865" s="3" t="s">
        <v>2400</v>
      </c>
      <c r="G865" s="3" t="str">
        <f>IFERROR(__xludf.DUMMYFUNCTION("GOOGLETRANSLATE(D865,""fr"",""es"")"),"imanes")</f>
        <v>imanes</v>
      </c>
    </row>
    <row r="866">
      <c r="A866" s="3">
        <v>844.0</v>
      </c>
      <c r="B866" s="3" t="s">
        <v>189</v>
      </c>
      <c r="C866" s="3" t="s">
        <v>190</v>
      </c>
      <c r="D866" s="3" t="s">
        <v>2404</v>
      </c>
      <c r="E866" s="3" t="s">
        <v>2405</v>
      </c>
      <c r="F866" s="3" t="s">
        <v>2406</v>
      </c>
      <c r="G866" s="3" t="str">
        <f>IFERROR(__xludf.DUMMYFUNCTION("GOOGLETRANSLATE(D866,""fr"",""es"")"),"imitai")</f>
        <v>imitai</v>
      </c>
    </row>
    <row r="867">
      <c r="A867" s="3">
        <v>845.0</v>
      </c>
      <c r="B867" s="3" t="s">
        <v>189</v>
      </c>
      <c r="C867" s="3" t="s">
        <v>190</v>
      </c>
      <c r="D867" s="3" t="s">
        <v>2407</v>
      </c>
      <c r="E867" s="3" t="s">
        <v>2405</v>
      </c>
      <c r="F867" s="3" t="s">
        <v>2406</v>
      </c>
      <c r="G867" s="3" t="str">
        <f>IFERROR(__xludf.DUMMYFUNCTION("GOOGLETRANSLATE(D867,""fr"",""es"")"),"imitado")</f>
        <v>imitado</v>
      </c>
    </row>
    <row r="868">
      <c r="A868" s="3">
        <v>846.0</v>
      </c>
      <c r="B868" s="3" t="s">
        <v>189</v>
      </c>
      <c r="C868" s="3" t="s">
        <v>190</v>
      </c>
      <c r="D868" s="3" t="s">
        <v>2408</v>
      </c>
      <c r="E868" s="3" t="s">
        <v>2405</v>
      </c>
      <c r="F868" s="3" t="s">
        <v>2406</v>
      </c>
      <c r="G868" s="3" t="str">
        <f>IFERROR(__xludf.DUMMYFUNCTION("GOOGLETRANSLATE(D868,""fr"",""es"")"),"imitais")</f>
        <v>imitais</v>
      </c>
    </row>
    <row r="869">
      <c r="A869" s="3">
        <v>847.0</v>
      </c>
      <c r="B869" s="3" t="s">
        <v>189</v>
      </c>
      <c r="C869" s="3" t="s">
        <v>190</v>
      </c>
      <c r="D869" s="3" t="s">
        <v>2409</v>
      </c>
      <c r="E869" s="3" t="s">
        <v>2405</v>
      </c>
      <c r="F869" s="3" t="s">
        <v>2406</v>
      </c>
      <c r="G869" s="3" t="str">
        <f>IFERROR(__xludf.DUMMYFUNCTION("GOOGLETRANSLATE(D869,""fr"",""es"")"),"imitado")</f>
        <v>imitado</v>
      </c>
    </row>
    <row r="870">
      <c r="A870" s="3">
        <v>848.0</v>
      </c>
      <c r="B870" s="3" t="s">
        <v>189</v>
      </c>
      <c r="C870" s="3" t="s">
        <v>190</v>
      </c>
      <c r="D870" s="3" t="s">
        <v>2410</v>
      </c>
      <c r="E870" s="3" t="s">
        <v>2411</v>
      </c>
      <c r="F870" s="3" t="s">
        <v>2412</v>
      </c>
      <c r="G870" s="3" t="str">
        <f>IFERROR(__xludf.DUMMYFUNCTION("GOOGLETRANSLATE(D870,""fr"",""es"")"),"imitar")</f>
        <v>imitar</v>
      </c>
    </row>
    <row r="871">
      <c r="A871" s="3">
        <v>849.0</v>
      </c>
      <c r="B871" s="3" t="s">
        <v>189</v>
      </c>
      <c r="C871" s="3" t="s">
        <v>190</v>
      </c>
      <c r="D871" s="3" t="s">
        <v>2413</v>
      </c>
      <c r="E871" s="3" t="s">
        <v>2414</v>
      </c>
      <c r="F871" s="3" t="s">
        <v>2415</v>
      </c>
      <c r="G871" s="3" t="str">
        <f>IFERROR(__xludf.DUMMYFUNCTION("GOOGLETRANSLATE(D871,""fr"",""es"")"),"imitasse")</f>
        <v>imitasse</v>
      </c>
    </row>
    <row r="872">
      <c r="A872" s="3">
        <v>850.0</v>
      </c>
      <c r="B872" s="3" t="s">
        <v>189</v>
      </c>
      <c r="C872" s="3" t="s">
        <v>190</v>
      </c>
      <c r="D872" s="3" t="s">
        <v>2416</v>
      </c>
      <c r="E872" s="3" t="s">
        <v>2414</v>
      </c>
      <c r="F872" s="3" t="s">
        <v>2415</v>
      </c>
      <c r="G872" s="3" t="str">
        <f>IFERROR(__xludf.DUMMYFUNCTION("GOOGLETRANSLATE(D872,""fr"",""es"")"),"imitarizar")</f>
        <v>imitarizar</v>
      </c>
    </row>
    <row r="873">
      <c r="A873" s="3">
        <v>851.0</v>
      </c>
      <c r="B873" s="3" t="s">
        <v>189</v>
      </c>
      <c r="C873" s="3" t="s">
        <v>190</v>
      </c>
      <c r="D873" s="3" t="s">
        <v>2417</v>
      </c>
      <c r="E873" s="3" t="s">
        <v>2414</v>
      </c>
      <c r="F873" s="3" t="s">
        <v>2415</v>
      </c>
      <c r="G873" s="3" t="str">
        <f>IFERROR(__xludf.DUMMYFUNCTION("GOOGLETRANSLATE(D873,""fr"",""es"")"),"imitas")</f>
        <v>imitas</v>
      </c>
    </row>
    <row r="874">
      <c r="A874" s="3">
        <v>852.0</v>
      </c>
      <c r="B874" s="3" t="s">
        <v>189</v>
      </c>
      <c r="C874" s="3" t="s">
        <v>190</v>
      </c>
      <c r="D874" s="3" t="s">
        <v>2418</v>
      </c>
      <c r="E874" s="3" t="s">
        <v>2419</v>
      </c>
      <c r="F874" s="3" t="s">
        <v>2420</v>
      </c>
      <c r="G874" s="3" t="str">
        <f>IFERROR(__xludf.DUMMYFUNCTION("GOOGLETRANSLATE(D874,""fr"",""es"")"),"inmerso")</f>
        <v>inmerso</v>
      </c>
    </row>
    <row r="875">
      <c r="A875" s="3">
        <v>853.0</v>
      </c>
      <c r="B875" s="3" t="s">
        <v>189</v>
      </c>
      <c r="C875" s="3" t="s">
        <v>190</v>
      </c>
      <c r="D875" s="3" t="s">
        <v>2421</v>
      </c>
      <c r="E875" s="3" t="s">
        <v>2419</v>
      </c>
      <c r="F875" s="3" t="s">
        <v>2420</v>
      </c>
      <c r="G875" s="3" t="str">
        <f>IFERROR(__xludf.DUMMYFUNCTION("GOOGLETRANSLATE(D875,""fr"",""es"")"),"inmerso")</f>
        <v>inmerso</v>
      </c>
    </row>
    <row r="876">
      <c r="A876" s="3">
        <v>854.0</v>
      </c>
      <c r="B876" s="3" t="s">
        <v>189</v>
      </c>
      <c r="C876" s="3" t="s">
        <v>190</v>
      </c>
      <c r="D876" s="3" t="s">
        <v>2422</v>
      </c>
      <c r="E876" s="3" t="s">
        <v>2419</v>
      </c>
      <c r="F876" s="3" t="s">
        <v>2420</v>
      </c>
      <c r="G876" s="3" t="str">
        <f>IFERROR(__xludf.DUMMYFUNCTION("GOOGLETRANSLATE(D876,""fr"",""es"")"),"inmerso")</f>
        <v>inmerso</v>
      </c>
    </row>
    <row r="877">
      <c r="A877" s="3">
        <v>855.0</v>
      </c>
      <c r="B877" s="3" t="s">
        <v>189</v>
      </c>
      <c r="C877" s="3" t="s">
        <v>190</v>
      </c>
      <c r="D877" s="3" t="s">
        <v>2423</v>
      </c>
      <c r="E877" s="3" t="s">
        <v>2419</v>
      </c>
      <c r="F877" s="3" t="s">
        <v>2420</v>
      </c>
      <c r="G877" s="3" t="str">
        <f>IFERROR(__xludf.DUMMYFUNCTION("GOOGLETRANSLATE(D877,""fr"",""es"")"),"inmerso")</f>
        <v>inmerso</v>
      </c>
    </row>
    <row r="878">
      <c r="A878" s="3">
        <v>856.0</v>
      </c>
      <c r="B878" s="3" t="s">
        <v>189</v>
      </c>
      <c r="C878" s="3" t="s">
        <v>190</v>
      </c>
      <c r="D878" s="3" t="s">
        <v>2424</v>
      </c>
      <c r="E878" s="3" t="s">
        <v>2425</v>
      </c>
      <c r="F878" s="3" t="s">
        <v>2426</v>
      </c>
      <c r="G878" s="3" t="str">
        <f>IFERROR(__xludf.DUMMYFUNCTION("GOOGLETRANSLATE(D878,""fr"",""es"")"),"inmerso")</f>
        <v>inmerso</v>
      </c>
    </row>
    <row r="879">
      <c r="A879" s="3">
        <v>857.0</v>
      </c>
      <c r="B879" s="3" t="s">
        <v>189</v>
      </c>
      <c r="C879" s="3" t="s">
        <v>190</v>
      </c>
      <c r="D879" s="3" t="s">
        <v>2427</v>
      </c>
      <c r="E879" s="3" t="s">
        <v>2428</v>
      </c>
      <c r="F879" s="3" t="s">
        <v>2429</v>
      </c>
      <c r="G879" s="3" t="str">
        <f>IFERROR(__xludf.DUMMYFUNCTION("GOOGLETRANSLATE(D879,""fr"",""es"")"),"imbids")</f>
        <v>imbids</v>
      </c>
    </row>
    <row r="880">
      <c r="A880" s="3">
        <v>858.0</v>
      </c>
      <c r="B880" s="3" t="s">
        <v>189</v>
      </c>
      <c r="C880" s="3" t="s">
        <v>190</v>
      </c>
      <c r="D880" s="3" t="s">
        <v>2430</v>
      </c>
      <c r="E880" s="3" t="s">
        <v>2428</v>
      </c>
      <c r="F880" s="3" t="s">
        <v>2429</v>
      </c>
      <c r="G880" s="3" t="str">
        <f>IFERROR(__xludf.DUMMYFUNCTION("GOOGLETRANSLATE(D880,""fr"",""es"")"),"Inmiscasa")</f>
        <v>Inmiscasa</v>
      </c>
    </row>
    <row r="881">
      <c r="A881" s="3">
        <v>859.0</v>
      </c>
      <c r="B881" s="3" t="s">
        <v>189</v>
      </c>
      <c r="C881" s="3" t="s">
        <v>190</v>
      </c>
      <c r="D881" s="3" t="s">
        <v>2431</v>
      </c>
      <c r="E881" s="3" t="s">
        <v>2428</v>
      </c>
      <c r="F881" s="3" t="s">
        <v>2429</v>
      </c>
      <c r="G881" s="3" t="str">
        <f>IFERROR(__xludf.DUMMYFUNCTION("GOOGLETRANSLATE(D881,""fr"",""es"")"),"inmisigencia")</f>
        <v>inmisigencia</v>
      </c>
    </row>
    <row r="882">
      <c r="A882" s="3">
        <v>860.0</v>
      </c>
      <c r="B882" s="3" t="s">
        <v>189</v>
      </c>
      <c r="C882" s="3" t="s">
        <v>190</v>
      </c>
      <c r="D882" s="3" t="s">
        <v>2432</v>
      </c>
      <c r="E882" s="3" t="s">
        <v>2433</v>
      </c>
      <c r="F882" s="3" t="s">
        <v>2420</v>
      </c>
      <c r="G882" s="3" t="str">
        <f>IFERROR(__xludf.DUMMYFUNCTION("GOOGLETRANSLATE(D882,""fr"",""es"")"),"inmerso")</f>
        <v>inmerso</v>
      </c>
    </row>
    <row r="883">
      <c r="A883" s="3">
        <v>861.0</v>
      </c>
      <c r="B883" s="3" t="s">
        <v>189</v>
      </c>
      <c r="C883" s="3" t="s">
        <v>190</v>
      </c>
      <c r="D883" s="3" t="s">
        <v>2434</v>
      </c>
      <c r="E883" s="3" t="s">
        <v>2435</v>
      </c>
      <c r="F883" s="3" t="s">
        <v>2436</v>
      </c>
      <c r="G883" s="3" t="str">
        <f>IFERROR(__xludf.DUMMYFUNCTION("GOOGLETRANSLATE(D883,""fr"",""es"")"),"inmiscencia")</f>
        <v>inmiscencia</v>
      </c>
    </row>
    <row r="884">
      <c r="A884" s="3">
        <v>862.0</v>
      </c>
      <c r="B884" s="3" t="s">
        <v>189</v>
      </c>
      <c r="C884" s="3" t="s">
        <v>190</v>
      </c>
      <c r="D884" s="3" t="s">
        <v>2437</v>
      </c>
      <c r="E884" s="3" t="s">
        <v>2435</v>
      </c>
      <c r="F884" s="3" t="s">
        <v>2436</v>
      </c>
      <c r="G884" s="3" t="str">
        <f>IFERROR(__xludf.DUMMYFUNCTION("GOOGLETRANSLATE(D884,""fr"",""es"")"),"interferir")</f>
        <v>interferir</v>
      </c>
    </row>
    <row r="885">
      <c r="A885" s="3">
        <v>863.0</v>
      </c>
      <c r="B885" s="3" t="s">
        <v>189</v>
      </c>
      <c r="C885" s="3" t="s">
        <v>190</v>
      </c>
      <c r="D885" s="3" t="s">
        <v>2438</v>
      </c>
      <c r="E885" s="3" t="s">
        <v>2435</v>
      </c>
      <c r="F885" s="3" t="s">
        <v>2436</v>
      </c>
      <c r="G885" s="3" t="str">
        <f>IFERROR(__xludf.DUMMYFUNCTION("GOOGLETRANSLATE(D885,""fr"",""es"")"),"inmersión")</f>
        <v>inmersión</v>
      </c>
    </row>
    <row r="886">
      <c r="A886" s="3">
        <v>864.0</v>
      </c>
      <c r="B886" s="3" t="s">
        <v>189</v>
      </c>
      <c r="C886" s="3" t="s">
        <v>190</v>
      </c>
      <c r="D886" s="3" t="s">
        <v>116</v>
      </c>
      <c r="E886" s="3" t="s">
        <v>117</v>
      </c>
      <c r="F886" s="3" t="s">
        <v>116</v>
      </c>
      <c r="G886" s="3" t="str">
        <f>IFERROR(__xludf.DUMMYFUNCTION("GOOGLETRANSLATE(D886,""fr"",""es"")"),"en")</f>
        <v>en</v>
      </c>
      <c r="H886" s="3" t="s">
        <v>121</v>
      </c>
      <c r="I886" s="3" t="s">
        <v>122</v>
      </c>
      <c r="J886" s="3" t="s">
        <v>123</v>
      </c>
    </row>
    <row r="887">
      <c r="A887" s="3">
        <v>865.0</v>
      </c>
      <c r="B887" s="3" t="s">
        <v>189</v>
      </c>
      <c r="C887" s="3" t="s">
        <v>190</v>
      </c>
      <c r="D887" s="3" t="s">
        <v>2439</v>
      </c>
      <c r="E887" s="3" t="s">
        <v>2440</v>
      </c>
      <c r="F887" s="3" t="s">
        <v>2441</v>
      </c>
      <c r="G887" s="3" t="str">
        <f>IFERROR(__xludf.DUMMYFUNCTION("GOOGLETRANSLATE(D887,""fr"",""es"")"),"antipático")</f>
        <v>antipático</v>
      </c>
      <c r="H887" s="3" t="s">
        <v>2442</v>
      </c>
      <c r="I887" s="3" t="s">
        <v>1744</v>
      </c>
      <c r="J887" s="3" t="s">
        <v>2442</v>
      </c>
      <c r="K887" s="3" t="s">
        <v>2443</v>
      </c>
      <c r="L887" s="3" t="s">
        <v>2444</v>
      </c>
      <c r="M887" s="3" t="s">
        <v>2442</v>
      </c>
      <c r="N887" s="3" t="s">
        <v>2442</v>
      </c>
      <c r="O887" s="3" t="s">
        <v>2445</v>
      </c>
    </row>
    <row r="888">
      <c r="A888" s="3">
        <v>866.0</v>
      </c>
      <c r="B888" s="3" t="s">
        <v>189</v>
      </c>
      <c r="C888" s="3" t="s">
        <v>190</v>
      </c>
      <c r="D888" s="3" t="s">
        <v>2446</v>
      </c>
      <c r="E888" s="3" t="s">
        <v>2440</v>
      </c>
      <c r="F888" s="3" t="s">
        <v>2441</v>
      </c>
      <c r="G888" s="3" t="str">
        <f>IFERROR(__xludf.DUMMYFUNCTION("GOOGLETRANSLATE(D888,""fr"",""es"")"),"inamicial")</f>
        <v>inamicial</v>
      </c>
    </row>
    <row r="889">
      <c r="A889" s="3">
        <v>867.0</v>
      </c>
      <c r="B889" s="3" t="s">
        <v>189</v>
      </c>
      <c r="C889" s="3" t="s">
        <v>190</v>
      </c>
      <c r="D889" s="3" t="s">
        <v>2447</v>
      </c>
      <c r="E889" s="3" t="s">
        <v>2440</v>
      </c>
      <c r="F889" s="3" t="s">
        <v>2441</v>
      </c>
      <c r="G889" s="3" t="str">
        <f>IFERROR(__xludf.DUMMYFUNCTION("GOOGLETRANSLATE(D889,""fr"",""es"")"),"inamicial")</f>
        <v>inamicial</v>
      </c>
    </row>
    <row r="890">
      <c r="A890" s="3">
        <v>868.0</v>
      </c>
      <c r="B890" s="3" t="s">
        <v>189</v>
      </c>
      <c r="C890" s="3" t="s">
        <v>190</v>
      </c>
      <c r="D890" s="3" t="s">
        <v>2448</v>
      </c>
      <c r="E890" s="3" t="s">
        <v>2449</v>
      </c>
      <c r="F890" s="3" t="s">
        <v>2450</v>
      </c>
      <c r="G890" s="3" t="str">
        <f>IFERROR(__xludf.DUMMYFUNCTION("GOOGLETRANSLATE(D890,""fr"",""es"")"),"impropio")</f>
        <v>impropio</v>
      </c>
    </row>
    <row r="891">
      <c r="A891" s="3">
        <v>869.0</v>
      </c>
      <c r="B891" s="3" t="s">
        <v>189</v>
      </c>
      <c r="C891" s="3" t="s">
        <v>190</v>
      </c>
      <c r="D891" s="3" t="s">
        <v>2451</v>
      </c>
      <c r="E891" s="3" t="s">
        <v>2449</v>
      </c>
      <c r="F891" s="3" t="s">
        <v>2450</v>
      </c>
      <c r="G891" s="3" t="str">
        <f>IFERROR(__xludf.DUMMYFUNCTION("GOOGLETRANSLATE(D891,""fr"",""es"")"),"impropio")</f>
        <v>impropio</v>
      </c>
    </row>
    <row r="892">
      <c r="A892" s="3">
        <v>870.0</v>
      </c>
      <c r="B892" s="3" t="s">
        <v>189</v>
      </c>
      <c r="C892" s="3" t="s">
        <v>190</v>
      </c>
      <c r="D892" s="3" t="s">
        <v>2452</v>
      </c>
      <c r="E892" s="3" t="s">
        <v>2449</v>
      </c>
      <c r="F892" s="3" t="s">
        <v>2450</v>
      </c>
      <c r="G892" s="3" t="str">
        <f>IFERROR(__xludf.DUMMYFUNCTION("GOOGLETRANSLATE(D892,""fr"",""es"")"),"inepto")</f>
        <v>inepto</v>
      </c>
    </row>
    <row r="893">
      <c r="A893" s="3">
        <v>871.0</v>
      </c>
      <c r="B893" s="3" t="s">
        <v>189</v>
      </c>
      <c r="C893" s="3" t="s">
        <v>190</v>
      </c>
      <c r="D893" s="3" t="s">
        <v>2453</v>
      </c>
      <c r="E893" s="3" t="s">
        <v>2449</v>
      </c>
      <c r="F893" s="3" t="s">
        <v>2450</v>
      </c>
      <c r="G893" s="3" t="str">
        <f>IFERROR(__xludf.DUMMYFUNCTION("GOOGLETRANSLATE(D893,""fr"",""es"")"),"inepto")</f>
        <v>inepto</v>
      </c>
    </row>
    <row r="894">
      <c r="A894" s="3">
        <v>872.0</v>
      </c>
      <c r="B894" s="3" t="s">
        <v>189</v>
      </c>
      <c r="C894" s="3" t="s">
        <v>190</v>
      </c>
      <c r="D894" s="3" t="s">
        <v>2454</v>
      </c>
      <c r="E894" s="3" t="s">
        <v>2455</v>
      </c>
      <c r="F894" s="3" t="s">
        <v>2456</v>
      </c>
      <c r="G894" s="3" t="str">
        <f>IFERROR(__xludf.DUMMYFUNCTION("GOOGLETRANSLATE(D894,""fr"",""es"")"),"inhalai")</f>
        <v>inhalai</v>
      </c>
    </row>
    <row r="895">
      <c r="A895" s="3">
        <v>873.0</v>
      </c>
      <c r="B895" s="3" t="s">
        <v>189</v>
      </c>
      <c r="C895" s="3" t="s">
        <v>190</v>
      </c>
      <c r="D895" s="3" t="s">
        <v>2457</v>
      </c>
      <c r="E895" s="3" t="s">
        <v>2455</v>
      </c>
      <c r="F895" s="3" t="s">
        <v>2456</v>
      </c>
      <c r="G895" s="3" t="str">
        <f>IFERROR(__xludf.DUMMYFUNCTION("GOOGLETRANSLATE(D895,""fr"",""es"")"),"inhalado")</f>
        <v>inhalado</v>
      </c>
    </row>
    <row r="896">
      <c r="A896" s="3">
        <v>874.0</v>
      </c>
      <c r="B896" s="3" t="s">
        <v>189</v>
      </c>
      <c r="C896" s="3" t="s">
        <v>190</v>
      </c>
      <c r="D896" s="3" t="s">
        <v>2458</v>
      </c>
      <c r="E896" s="3" t="s">
        <v>2455</v>
      </c>
      <c r="F896" s="3" t="s">
        <v>2456</v>
      </c>
      <c r="G896" s="3" t="str">
        <f>IFERROR(__xludf.DUMMYFUNCTION("GOOGLETRANSLATE(D896,""fr"",""es"")"),"inusual")</f>
        <v>inusual</v>
      </c>
    </row>
    <row r="897">
      <c r="A897" s="3">
        <v>875.0</v>
      </c>
      <c r="B897" s="3" t="s">
        <v>189</v>
      </c>
      <c r="C897" s="3" t="s">
        <v>190</v>
      </c>
      <c r="D897" s="3" t="s">
        <v>2459</v>
      </c>
      <c r="E897" s="3" t="s">
        <v>2455</v>
      </c>
      <c r="F897" s="3" t="s">
        <v>2456</v>
      </c>
      <c r="G897" s="3" t="str">
        <f>IFERROR(__xludf.DUMMYFUNCTION("GOOGLETRANSLATE(D897,""fr"",""es"")"),"inhalar")</f>
        <v>inhalar</v>
      </c>
    </row>
    <row r="898">
      <c r="A898" s="3">
        <v>876.0</v>
      </c>
      <c r="B898" s="3" t="s">
        <v>189</v>
      </c>
      <c r="C898" s="3" t="s">
        <v>190</v>
      </c>
      <c r="D898" s="3" t="s">
        <v>2460</v>
      </c>
      <c r="E898" s="3" t="s">
        <v>2461</v>
      </c>
      <c r="F898" s="3" t="s">
        <v>2462</v>
      </c>
      <c r="G898" s="3" t="str">
        <f>IFERROR(__xludf.DUMMYFUNCTION("GOOGLETRANSLATE(D898,""fr"",""es"")"),"infelicidad")</f>
        <v>infelicidad</v>
      </c>
    </row>
    <row r="899">
      <c r="A899" s="3">
        <v>877.0</v>
      </c>
      <c r="B899" s="3" t="s">
        <v>189</v>
      </c>
      <c r="C899" s="3" t="s">
        <v>190</v>
      </c>
      <c r="D899" s="3" t="s">
        <v>2463</v>
      </c>
      <c r="E899" s="3" t="s">
        <v>2464</v>
      </c>
      <c r="F899" s="3" t="s">
        <v>2465</v>
      </c>
      <c r="G899" s="3" t="str">
        <f>IFERROR(__xludf.DUMMYFUNCTION("GOOGLETRANSLATE(D899,""fr"",""es"")"),"inhalar")</f>
        <v>inhalar</v>
      </c>
    </row>
    <row r="900">
      <c r="A900" s="3">
        <v>878.0</v>
      </c>
      <c r="B900" s="3" t="s">
        <v>189</v>
      </c>
      <c r="C900" s="3" t="s">
        <v>190</v>
      </c>
      <c r="D900" s="3" t="s">
        <v>2466</v>
      </c>
      <c r="E900" s="3" t="s">
        <v>2464</v>
      </c>
      <c r="F900" s="3" t="s">
        <v>2465</v>
      </c>
      <c r="G900" s="3" t="str">
        <f>IFERROR(__xludf.DUMMYFUNCTION("GOOGLETRANSLATE(D900,""fr"",""es"")"),"inhalar")</f>
        <v>inhalar</v>
      </c>
    </row>
    <row r="901">
      <c r="A901" s="3">
        <v>879.0</v>
      </c>
      <c r="B901" s="3" t="s">
        <v>189</v>
      </c>
      <c r="C901" s="3" t="s">
        <v>190</v>
      </c>
      <c r="D901" s="3" t="s">
        <v>2467</v>
      </c>
      <c r="E901" s="3" t="s">
        <v>2464</v>
      </c>
      <c r="F901" s="3" t="s">
        <v>2465</v>
      </c>
      <c r="G901" s="3" t="str">
        <f>IFERROR(__xludf.DUMMYFUNCTION("GOOGLETRANSLATE(D901,""fr"",""es"")"),"inhalar")</f>
        <v>inhalar</v>
      </c>
    </row>
    <row r="902">
      <c r="A902" s="3">
        <v>880.0</v>
      </c>
      <c r="B902" s="3" t="s">
        <v>189</v>
      </c>
      <c r="C902" s="3" t="s">
        <v>190</v>
      </c>
      <c r="D902" s="3" t="s">
        <v>2468</v>
      </c>
      <c r="E902" s="3" t="s">
        <v>2469</v>
      </c>
      <c r="F902" s="3" t="s">
        <v>2470</v>
      </c>
      <c r="G902" s="3" t="str">
        <f>IFERROR(__xludf.DUMMYFUNCTION("GOOGLETRANSLATE(D902,""fr"",""es"")"),"inhalar")</f>
        <v>inhalar</v>
      </c>
    </row>
    <row r="903">
      <c r="A903" s="3">
        <v>881.0</v>
      </c>
      <c r="B903" s="3" t="s">
        <v>189</v>
      </c>
      <c r="C903" s="3" t="s">
        <v>190</v>
      </c>
      <c r="D903" s="3" t="s">
        <v>2471</v>
      </c>
      <c r="E903" s="3" t="s">
        <v>2469</v>
      </c>
      <c r="F903" s="3" t="s">
        <v>2470</v>
      </c>
      <c r="G903" s="3" t="str">
        <f>IFERROR(__xludf.DUMMYFUNCTION("GOOGLETRANSLATE(D903,""fr"",""es"")"),"inhalar")</f>
        <v>inhalar</v>
      </c>
    </row>
    <row r="904">
      <c r="A904" s="3">
        <v>882.0</v>
      </c>
      <c r="B904" s="3" t="s">
        <v>189</v>
      </c>
      <c r="C904" s="3" t="s">
        <v>190</v>
      </c>
      <c r="D904" s="3" t="s">
        <v>2472</v>
      </c>
      <c r="E904" s="3" t="s">
        <v>2469</v>
      </c>
      <c r="F904" s="3" t="s">
        <v>2470</v>
      </c>
      <c r="G904" s="3" t="str">
        <f>IFERROR(__xludf.DUMMYFUNCTION("GOOGLETRANSLATE(D904,""fr"",""es"")"),"inhalación")</f>
        <v>inhalación</v>
      </c>
    </row>
    <row r="905">
      <c r="A905" s="3">
        <v>883.0</v>
      </c>
      <c r="B905" s="3" t="s">
        <v>189</v>
      </c>
      <c r="C905" s="3" t="s">
        <v>190</v>
      </c>
      <c r="D905" s="3" t="s">
        <v>2473</v>
      </c>
      <c r="E905" s="3" t="s">
        <v>2474</v>
      </c>
      <c r="F905" s="3" t="s">
        <v>2475</v>
      </c>
      <c r="G905" s="3" t="str">
        <f>IFERROR(__xludf.DUMMYFUNCTION("GOOGLETRANSLATE(D905,""fr"",""es"")"),"inicuo")</f>
        <v>inicuo</v>
      </c>
      <c r="H905" s="3" t="s">
        <v>2476</v>
      </c>
      <c r="I905" s="3" t="s">
        <v>2477</v>
      </c>
      <c r="J905" s="3" t="s">
        <v>2478</v>
      </c>
    </row>
    <row r="906">
      <c r="A906" s="3">
        <v>884.0</v>
      </c>
      <c r="B906" s="3" t="s">
        <v>189</v>
      </c>
      <c r="C906" s="3" t="s">
        <v>190</v>
      </c>
      <c r="D906" s="3" t="s">
        <v>2479</v>
      </c>
      <c r="E906" s="3" t="s">
        <v>2474</v>
      </c>
      <c r="F906" s="3" t="s">
        <v>2475</v>
      </c>
      <c r="G906" s="3" t="str">
        <f>IFERROR(__xludf.DUMMYFUNCTION("GOOGLETRANSLATE(D906,""fr"",""es"")"),"barato")</f>
        <v>barato</v>
      </c>
    </row>
    <row r="907">
      <c r="A907" s="3">
        <v>885.0</v>
      </c>
      <c r="B907" s="3" t="s">
        <v>189</v>
      </c>
      <c r="C907" s="3" t="s">
        <v>190</v>
      </c>
      <c r="D907" s="3" t="s">
        <v>2480</v>
      </c>
      <c r="E907" s="3" t="s">
        <v>2481</v>
      </c>
      <c r="F907" s="3" t="s">
        <v>2482</v>
      </c>
      <c r="G907" s="3" t="str">
        <f>IFERROR(__xludf.DUMMYFUNCTION("GOOGLETRANSLATE(D907,""fr"",""es"")"),"iniciado")</f>
        <v>iniciado</v>
      </c>
    </row>
    <row r="908">
      <c r="A908" s="3">
        <v>886.0</v>
      </c>
      <c r="B908" s="3" t="s">
        <v>189</v>
      </c>
      <c r="C908" s="3" t="s">
        <v>190</v>
      </c>
      <c r="D908" s="3" t="s">
        <v>2483</v>
      </c>
      <c r="E908" s="3" t="s">
        <v>2481</v>
      </c>
      <c r="F908" s="3" t="s">
        <v>2482</v>
      </c>
      <c r="G908" s="3" t="str">
        <f>IFERROR(__xludf.DUMMYFUNCTION("GOOGLETRANSLATE(D908,""fr"",""es"")"),"iniciado")</f>
        <v>iniciado</v>
      </c>
    </row>
    <row r="909">
      <c r="A909" s="3">
        <v>887.0</v>
      </c>
      <c r="B909" s="3" t="s">
        <v>189</v>
      </c>
      <c r="C909" s="3" t="s">
        <v>190</v>
      </c>
      <c r="D909" s="3" t="s">
        <v>2484</v>
      </c>
      <c r="E909" s="3" t="s">
        <v>2481</v>
      </c>
      <c r="F909" s="3" t="s">
        <v>2482</v>
      </c>
      <c r="G909" s="3" t="str">
        <f>IFERROR(__xludf.DUMMYFUNCTION("GOOGLETRANSLATE(D909,""fr"",""es"")"),"inicia")</f>
        <v>inicia</v>
      </c>
    </row>
    <row r="910">
      <c r="A910" s="3">
        <v>888.0</v>
      </c>
      <c r="B910" s="3" t="s">
        <v>189</v>
      </c>
      <c r="C910" s="3" t="s">
        <v>190</v>
      </c>
      <c r="D910" s="3" t="s">
        <v>2485</v>
      </c>
      <c r="E910" s="3" t="s">
        <v>2486</v>
      </c>
      <c r="F910" s="3" t="s">
        <v>2487</v>
      </c>
      <c r="G910" s="3" t="str">
        <f>IFERROR(__xludf.DUMMYFUNCTION("GOOGLETRANSLATE(D910,""fr"",""es"")"),"istmo")</f>
        <v>istmo</v>
      </c>
      <c r="H910" s="3" t="s">
        <v>2488</v>
      </c>
      <c r="I910" s="3" t="s">
        <v>2002</v>
      </c>
    </row>
    <row r="911">
      <c r="A911" s="3">
        <v>889.0</v>
      </c>
      <c r="B911" s="3" t="s">
        <v>189</v>
      </c>
      <c r="C911" s="3" t="s">
        <v>190</v>
      </c>
      <c r="D911" s="3" t="s">
        <v>2489</v>
      </c>
      <c r="E911" s="3" t="s">
        <v>2486</v>
      </c>
      <c r="F911" s="3" t="s">
        <v>2487</v>
      </c>
      <c r="G911" s="3" t="str">
        <f>IFERROR(__xludf.DUMMYFUNCTION("GOOGLETRANSLATE(D911,""fr"",""es"")"),"istms")</f>
        <v>istms</v>
      </c>
    </row>
    <row r="912">
      <c r="A912" s="3">
        <v>890.0</v>
      </c>
      <c r="B912" s="3" t="s">
        <v>189</v>
      </c>
      <c r="C912" s="3" t="s">
        <v>190</v>
      </c>
      <c r="D912" s="3" t="s">
        <v>2490</v>
      </c>
      <c r="E912" s="3" t="s">
        <v>2491</v>
      </c>
      <c r="F912" s="3" t="s">
        <v>2492</v>
      </c>
      <c r="G912" s="3" t="str">
        <f>IFERROR(__xludf.DUMMYFUNCTION("GOOGLETRANSLATE(D912,""fr"",""es"")"),"Italia")</f>
        <v>Italia</v>
      </c>
      <c r="H912" s="3" t="s">
        <v>2493</v>
      </c>
      <c r="I912" s="3" t="s">
        <v>2494</v>
      </c>
      <c r="J912" s="3" t="s">
        <v>2495</v>
      </c>
    </row>
    <row r="913">
      <c r="A913" s="3">
        <v>891.0</v>
      </c>
      <c r="B913" s="3" t="s">
        <v>189</v>
      </c>
      <c r="C913" s="3" t="s">
        <v>190</v>
      </c>
      <c r="D913" s="3" t="s">
        <v>2496</v>
      </c>
      <c r="E913" s="3" t="s">
        <v>2497</v>
      </c>
      <c r="F913" s="3" t="s">
        <v>2498</v>
      </c>
      <c r="G913" s="3" t="str">
        <f>IFERROR(__xludf.DUMMYFUNCTION("GOOGLETRANSLATE(D913,""fr"",""es"")"),"cursiva")</f>
        <v>cursiva</v>
      </c>
      <c r="H913" s="3" t="s">
        <v>2499</v>
      </c>
      <c r="I913" s="3" t="s">
        <v>2499</v>
      </c>
      <c r="J913" s="3" t="s">
        <v>2499</v>
      </c>
    </row>
    <row r="914">
      <c r="A914" s="3">
        <v>892.0</v>
      </c>
      <c r="B914" s="3" t="s">
        <v>189</v>
      </c>
      <c r="C914" s="3" t="s">
        <v>190</v>
      </c>
      <c r="D914" s="3" t="s">
        <v>2500</v>
      </c>
      <c r="E914" s="3" t="s">
        <v>2497</v>
      </c>
      <c r="F914" s="3" t="s">
        <v>2498</v>
      </c>
      <c r="G914" s="3" t="str">
        <f>IFERROR(__xludf.DUMMYFUNCTION("GOOGLETRANSLATE(D914,""fr"",""es"")"),"cursiva")</f>
        <v>cursiva</v>
      </c>
    </row>
    <row r="915">
      <c r="A915" s="3">
        <v>893.0</v>
      </c>
      <c r="B915" s="3" t="s">
        <v>189</v>
      </c>
      <c r="C915" s="3" t="s">
        <v>190</v>
      </c>
      <c r="D915" s="3" t="s">
        <v>2501</v>
      </c>
      <c r="E915" s="3" t="s">
        <v>2502</v>
      </c>
      <c r="F915" s="3" t="s">
        <v>2503</v>
      </c>
      <c r="G915" s="3" t="str">
        <f>IFERROR(__xludf.DUMMYFUNCTION("GOOGLETRANSLATE(D915,""fr"",""es"")"),"artículo")</f>
        <v>artículo</v>
      </c>
    </row>
    <row r="916">
      <c r="A916" s="3">
        <v>894.0</v>
      </c>
      <c r="B916" s="3" t="s">
        <v>189</v>
      </c>
      <c r="C916" s="3" t="s">
        <v>190</v>
      </c>
      <c r="D916" s="3" t="s">
        <v>2504</v>
      </c>
      <c r="E916" s="3" t="s">
        <v>2502</v>
      </c>
      <c r="F916" s="3" t="s">
        <v>2503</v>
      </c>
      <c r="G916" s="3" t="str">
        <f>IFERROR(__xludf.DUMMYFUNCTION("GOOGLETRANSLATE(D916,""fr"",""es"")"),"elementos")</f>
        <v>elementos</v>
      </c>
    </row>
    <row r="917">
      <c r="A917" s="3">
        <v>895.0</v>
      </c>
      <c r="B917" s="3" t="s">
        <v>189</v>
      </c>
      <c r="C917" s="3" t="s">
        <v>190</v>
      </c>
      <c r="D917" s="3" t="s">
        <v>2505</v>
      </c>
      <c r="E917" s="3" t="s">
        <v>2506</v>
      </c>
      <c r="F917" s="3" t="s">
        <v>2507</v>
      </c>
      <c r="G917" s="3" t="str">
        <f>IFERROR(__xludf.DUMMYFUNCTION("GOOGLETRANSLATE(D917,""fr"",""es"")"),"itou")</f>
        <v>itou</v>
      </c>
      <c r="H917" s="3" t="s">
        <v>2508</v>
      </c>
      <c r="I917" s="3" t="s">
        <v>2509</v>
      </c>
      <c r="J917" s="3" t="s">
        <v>2510</v>
      </c>
      <c r="K917" s="3" t="s">
        <v>2511</v>
      </c>
      <c r="L917" s="3" t="s">
        <v>2512</v>
      </c>
    </row>
    <row r="918">
      <c r="A918" s="3">
        <v>896.0</v>
      </c>
      <c r="B918" s="3" t="s">
        <v>189</v>
      </c>
      <c r="C918" s="3" t="s">
        <v>190</v>
      </c>
      <c r="D918" s="3" t="s">
        <v>2513</v>
      </c>
      <c r="E918" s="3" t="s">
        <v>2514</v>
      </c>
      <c r="F918" s="3" t="s">
        <v>2513</v>
      </c>
      <c r="G918" s="3" t="str">
        <f>IFERROR(__xludf.DUMMYFUNCTION("GOOGLETRANSLATE(D918,""fr"",""es"")"),"caqui")</f>
        <v>caqui</v>
      </c>
      <c r="H918" s="3" t="s">
        <v>2515</v>
      </c>
      <c r="I918" s="3" t="s">
        <v>2515</v>
      </c>
      <c r="J918" s="3" t="s">
        <v>2516</v>
      </c>
      <c r="K918" s="3" t="s">
        <v>2516</v>
      </c>
      <c r="L918" s="3" t="s">
        <v>2517</v>
      </c>
    </row>
    <row r="919">
      <c r="A919" s="3">
        <v>897.0</v>
      </c>
      <c r="B919" s="3" t="s">
        <v>189</v>
      </c>
      <c r="C919" s="3" t="s">
        <v>190</v>
      </c>
      <c r="D919" s="3" t="s">
        <v>2518</v>
      </c>
      <c r="E919" s="3" t="s">
        <v>2514</v>
      </c>
      <c r="F919" s="3" t="s">
        <v>2513</v>
      </c>
      <c r="G919" s="3" t="str">
        <f>IFERROR(__xludf.DUMMYFUNCTION("GOOGLETRANSLATE(D919,""fr"",""es"")"),"kakis")</f>
        <v>kakis</v>
      </c>
    </row>
    <row r="920">
      <c r="A920" s="3">
        <v>898.0</v>
      </c>
      <c r="B920" s="3" t="s">
        <v>189</v>
      </c>
      <c r="C920" s="3" t="s">
        <v>190</v>
      </c>
      <c r="D920" s="3" t="s">
        <v>1193</v>
      </c>
      <c r="E920" s="3" t="s">
        <v>1192</v>
      </c>
      <c r="F920" s="3" t="s">
        <v>1193</v>
      </c>
      <c r="G920" s="3" t="str">
        <f>IFERROR(__xludf.DUMMYFUNCTION("GOOGLETRANSLATE(D920,""fr"",""es"")"),"kanak")</f>
        <v>kanak</v>
      </c>
    </row>
    <row r="921">
      <c r="A921" s="3">
        <v>899.0</v>
      </c>
      <c r="B921" s="3" t="s">
        <v>189</v>
      </c>
      <c r="C921" s="3" t="s">
        <v>190</v>
      </c>
      <c r="D921" s="3" t="s">
        <v>2519</v>
      </c>
      <c r="E921" s="3" t="s">
        <v>2520</v>
      </c>
      <c r="F921" s="3" t="s">
        <v>2519</v>
      </c>
      <c r="G921" s="3" t="str">
        <f>IFERROR(__xludf.DUMMYFUNCTION("GOOGLETRANSLATE(D921,""fr"",""es"")"),"kayac")</f>
        <v>kayac</v>
      </c>
      <c r="H921" s="3" t="s">
        <v>2519</v>
      </c>
      <c r="I921" s="3" t="s">
        <v>2521</v>
      </c>
      <c r="J921" s="3" t="s">
        <v>2519</v>
      </c>
    </row>
    <row r="922">
      <c r="A922" s="3">
        <v>900.0</v>
      </c>
      <c r="B922" s="3" t="s">
        <v>189</v>
      </c>
      <c r="C922" s="3" t="s">
        <v>190</v>
      </c>
      <c r="D922" s="3" t="s">
        <v>2522</v>
      </c>
      <c r="E922" s="3" t="s">
        <v>2520</v>
      </c>
      <c r="F922" s="3" t="s">
        <v>2519</v>
      </c>
      <c r="G922" s="3" t="str">
        <f>IFERROR(__xludf.DUMMYFUNCTION("GOOGLETRANSLATE(D922,""fr"",""es"")"),"kayaks")</f>
        <v>kayaks</v>
      </c>
    </row>
    <row r="923">
      <c r="A923" s="3">
        <v>901.0</v>
      </c>
      <c r="B923" s="3" t="s">
        <v>189</v>
      </c>
      <c r="C923" s="3" t="s">
        <v>190</v>
      </c>
      <c r="D923" s="3" t="s">
        <v>2523</v>
      </c>
      <c r="E923" s="3" t="s">
        <v>1018</v>
      </c>
      <c r="F923" s="3" t="s">
        <v>1019</v>
      </c>
      <c r="G923" s="3" t="str">
        <f>IFERROR(__xludf.DUMMYFUNCTION("GOOGLETRANSLATE(D923,""fr"",""es"")"),"khâgne")</f>
        <v>khâgne</v>
      </c>
    </row>
    <row r="924">
      <c r="A924" s="3">
        <v>902.0</v>
      </c>
      <c r="B924" s="3" t="s">
        <v>189</v>
      </c>
      <c r="C924" s="3" t="s">
        <v>190</v>
      </c>
      <c r="D924" s="3" t="s">
        <v>2524</v>
      </c>
      <c r="E924" s="3" t="s">
        <v>1018</v>
      </c>
      <c r="F924" s="3" t="s">
        <v>1019</v>
      </c>
      <c r="G924" s="3" t="str">
        <f>IFERROR(__xludf.DUMMYFUNCTION("GOOGLETRANSLATE(D924,""fr"",""es"")"),"Khâgnes")</f>
        <v>Khâgnes</v>
      </c>
    </row>
    <row r="925">
      <c r="A925" s="3">
        <v>903.0</v>
      </c>
      <c r="B925" s="3" t="s">
        <v>189</v>
      </c>
      <c r="C925" s="3" t="s">
        <v>190</v>
      </c>
      <c r="D925" s="3" t="s">
        <v>2525</v>
      </c>
      <c r="E925" s="3" t="s">
        <v>2526</v>
      </c>
      <c r="F925" s="3" t="s">
        <v>2525</v>
      </c>
      <c r="G925" s="3" t="str">
        <f>IFERROR(__xludf.DUMMYFUNCTION("GOOGLETRANSLATE(D925,""fr"",""es"")"),"kiki")</f>
        <v>kiki</v>
      </c>
    </row>
    <row r="926">
      <c r="A926" s="3">
        <v>904.0</v>
      </c>
      <c r="B926" s="3" t="s">
        <v>189</v>
      </c>
      <c r="C926" s="3" t="s">
        <v>190</v>
      </c>
      <c r="D926" s="3" t="s">
        <v>2527</v>
      </c>
      <c r="E926" s="3" t="s">
        <v>2526</v>
      </c>
      <c r="F926" s="3" t="s">
        <v>2525</v>
      </c>
      <c r="G926" s="3" t="str">
        <f>IFERROR(__xludf.DUMMYFUNCTION("GOOGLETRANSLATE(D926,""fr"",""es"")"),"kikis")</f>
        <v>kikis</v>
      </c>
    </row>
    <row r="927">
      <c r="A927" s="3">
        <v>905.0</v>
      </c>
      <c r="B927" s="3" t="s">
        <v>189</v>
      </c>
      <c r="C927" s="3" t="s">
        <v>190</v>
      </c>
      <c r="D927" s="3" t="s">
        <v>2528</v>
      </c>
      <c r="E927" s="3" t="s">
        <v>2529</v>
      </c>
      <c r="F927" s="3" t="s">
        <v>2528</v>
      </c>
      <c r="G927" s="3" t="str">
        <f>IFERROR(__xludf.DUMMYFUNCTION("GOOGLETRANSLATE(D927,""fr"",""es"")"),"kil")</f>
        <v>kil</v>
      </c>
    </row>
    <row r="928">
      <c r="A928" s="3">
        <v>906.0</v>
      </c>
      <c r="B928" s="3" t="s">
        <v>189</v>
      </c>
      <c r="C928" s="3" t="s">
        <v>190</v>
      </c>
      <c r="D928" s="3" t="s">
        <v>2530</v>
      </c>
      <c r="E928" s="3" t="s">
        <v>2529</v>
      </c>
      <c r="F928" s="3" t="s">
        <v>2528</v>
      </c>
      <c r="G928" s="3" t="str">
        <f>IFERROR(__xludf.DUMMYFUNCTION("GOOGLETRANSLATE(D928,""fr"",""es"")"),"kils")</f>
        <v>kils</v>
      </c>
    </row>
    <row r="929">
      <c r="A929" s="3">
        <v>907.0</v>
      </c>
      <c r="B929" s="3" t="s">
        <v>189</v>
      </c>
      <c r="C929" s="3" t="s">
        <v>190</v>
      </c>
      <c r="D929" s="3" t="s">
        <v>2531</v>
      </c>
      <c r="E929" s="3" t="s">
        <v>2532</v>
      </c>
      <c r="F929" s="3" t="s">
        <v>129</v>
      </c>
      <c r="G929" s="3" t="str">
        <f>IFERROR(__xludf.DUMMYFUNCTION("GOOGLETRANSLATE(D929,""fr"",""es"")"),"quiste")</f>
        <v>quiste</v>
      </c>
      <c r="H929" s="3" t="s">
        <v>2533</v>
      </c>
      <c r="I929" s="3" t="s">
        <v>2534</v>
      </c>
      <c r="J929" s="3" t="s">
        <v>2534</v>
      </c>
    </row>
    <row r="930">
      <c r="A930" s="3">
        <v>908.0</v>
      </c>
      <c r="B930" s="3" t="s">
        <v>189</v>
      </c>
      <c r="C930" s="3" t="s">
        <v>190</v>
      </c>
      <c r="D930" s="3" t="s">
        <v>2535</v>
      </c>
      <c r="E930" s="3" t="s">
        <v>2532</v>
      </c>
      <c r="F930" s="3" t="s">
        <v>129</v>
      </c>
      <c r="G930" s="3" t="str">
        <f>IFERROR(__xludf.DUMMYFUNCTION("GOOGLETRANSLATE(D930,""fr"",""es"")"),"quistes")</f>
        <v>quistes</v>
      </c>
    </row>
    <row r="931">
      <c r="A931" s="3">
        <v>909.0</v>
      </c>
      <c r="B931" s="3" t="s">
        <v>189</v>
      </c>
      <c r="C931" s="3" t="s">
        <v>190</v>
      </c>
      <c r="D931" s="3" t="s">
        <v>2536</v>
      </c>
      <c r="E931" s="3" t="s">
        <v>361</v>
      </c>
      <c r="F931" s="3" t="s">
        <v>362</v>
      </c>
      <c r="G931" s="3" t="str">
        <f>IFERROR(__xludf.DUMMYFUNCTION("GOOGLETRANSLATE(D931,""fr"",""es"")"),"L")</f>
        <v>L</v>
      </c>
    </row>
    <row r="932">
      <c r="A932" s="3">
        <v>910.0</v>
      </c>
      <c r="B932" s="3" t="s">
        <v>189</v>
      </c>
      <c r="C932" s="3" t="s">
        <v>190</v>
      </c>
      <c r="D932" s="3" t="s">
        <v>2537</v>
      </c>
      <c r="E932" s="3" t="s">
        <v>2538</v>
      </c>
      <c r="F932" s="3" t="s">
        <v>2539</v>
      </c>
      <c r="G932" s="3" t="str">
        <f>IFERROR(__xludf.DUMMYFUNCTION("GOOGLETRANSLATE(D932,""fr"",""es"")"),"YO'")</f>
        <v>YO'</v>
      </c>
    </row>
    <row r="933">
      <c r="A933" s="3">
        <v>911.0</v>
      </c>
      <c r="B933" s="3" t="s">
        <v>189</v>
      </c>
      <c r="C933" s="3" t="s">
        <v>190</v>
      </c>
      <c r="D933" s="3" t="s">
        <v>2540</v>
      </c>
      <c r="E933" s="3" t="s">
        <v>2541</v>
      </c>
      <c r="F933" s="3" t="s">
        <v>2540</v>
      </c>
      <c r="G933" s="3" t="str">
        <f>IFERROR(__xludf.DUMMYFUNCTION("GOOGLETRANSLATE(D933,""fr"",""es"")"),"la")</f>
        <v>la</v>
      </c>
      <c r="H933" s="3" t="s">
        <v>2542</v>
      </c>
      <c r="I933" s="3" t="s">
        <v>2542</v>
      </c>
      <c r="J933" s="3" t="s">
        <v>2543</v>
      </c>
      <c r="K933" s="3" t="s">
        <v>2540</v>
      </c>
      <c r="L933" s="3" t="s">
        <v>2544</v>
      </c>
      <c r="M933" s="3" t="s">
        <v>2540</v>
      </c>
      <c r="N933" s="3" t="s">
        <v>2544</v>
      </c>
      <c r="O933" s="3" t="s">
        <v>2545</v>
      </c>
      <c r="P933" s="3" t="s">
        <v>2546</v>
      </c>
      <c r="Q933" s="3" t="s">
        <v>2547</v>
      </c>
      <c r="R933" s="3" t="s">
        <v>2548</v>
      </c>
      <c r="S933" s="3" t="s">
        <v>2549</v>
      </c>
      <c r="T933" s="3" t="s">
        <v>2550</v>
      </c>
      <c r="U933" s="3" t="s">
        <v>2548</v>
      </c>
      <c r="V933" s="3" t="s">
        <v>2549</v>
      </c>
      <c r="W933" s="3" t="s">
        <v>2550</v>
      </c>
      <c r="X933" s="3" t="s">
        <v>2548</v>
      </c>
      <c r="Y933" s="3" t="s">
        <v>2549</v>
      </c>
      <c r="Z933" s="3" t="s">
        <v>2550</v>
      </c>
    </row>
    <row r="934">
      <c r="A934" s="3">
        <v>912.0</v>
      </c>
      <c r="B934" s="3" t="s">
        <v>189</v>
      </c>
      <c r="C934" s="3" t="s">
        <v>190</v>
      </c>
      <c r="D934" s="3" t="s">
        <v>2551</v>
      </c>
      <c r="E934" s="3" t="s">
        <v>2552</v>
      </c>
      <c r="F934" s="3" t="s">
        <v>2553</v>
      </c>
      <c r="G934" s="3" t="str">
        <f>IFERROR(__xludf.DUMMYFUNCTION("GOOGLETRANSLATE(D934,""fr"",""es"")"),"El palice")</f>
        <v>El palice</v>
      </c>
    </row>
    <row r="935">
      <c r="A935" s="3">
        <v>913.0</v>
      </c>
      <c r="B935" s="3" t="s">
        <v>189</v>
      </c>
      <c r="C935" s="3" t="s">
        <v>190</v>
      </c>
      <c r="D935" s="3" t="s">
        <v>2554</v>
      </c>
      <c r="E935" s="3" t="s">
        <v>2555</v>
      </c>
      <c r="F935" s="3" t="s">
        <v>2556</v>
      </c>
      <c r="G935" s="3" t="str">
        <f>IFERROR(__xludf.DUMMYFUNCTION("GOOGLETRANSLATE(D935,""fr"",""es"")"),"lago")</f>
        <v>lago</v>
      </c>
      <c r="H935" s="3" t="s">
        <v>2557</v>
      </c>
      <c r="I935" s="3" t="s">
        <v>2558</v>
      </c>
      <c r="J935" s="3" t="s">
        <v>2559</v>
      </c>
      <c r="K935" s="3" t="s">
        <v>2554</v>
      </c>
      <c r="L935" s="3" t="s">
        <v>2557</v>
      </c>
      <c r="M935" s="3" t="s">
        <v>2557</v>
      </c>
    </row>
    <row r="936">
      <c r="A936" s="3">
        <v>914.0</v>
      </c>
      <c r="B936" s="3" t="s">
        <v>189</v>
      </c>
      <c r="C936" s="3" t="s">
        <v>190</v>
      </c>
      <c r="D936" s="3" t="s">
        <v>2560</v>
      </c>
      <c r="E936" s="3" t="s">
        <v>2561</v>
      </c>
      <c r="F936" s="3" t="s">
        <v>2562</v>
      </c>
      <c r="G936" s="3" t="str">
        <f>IFERROR(__xludf.DUMMYFUNCTION("GOOGLETRANSLATE(D936,""fr"",""es"")"),"Laçai")</f>
        <v>Laçai</v>
      </c>
    </row>
    <row r="937">
      <c r="A937" s="3">
        <v>915.0</v>
      </c>
      <c r="B937" s="3" t="s">
        <v>189</v>
      </c>
      <c r="C937" s="3" t="s">
        <v>190</v>
      </c>
      <c r="D937" s="3" t="s">
        <v>2563</v>
      </c>
      <c r="E937" s="3" t="s">
        <v>2561</v>
      </c>
      <c r="F937" s="3" t="s">
        <v>2562</v>
      </c>
      <c r="G937" s="3" t="str">
        <f>IFERROR(__xludf.DUMMYFUNCTION("GOOGLETRANSLATE(D937,""fr"",""es"")"),"establecido")</f>
        <v>establecido</v>
      </c>
    </row>
    <row r="938">
      <c r="A938" s="3">
        <v>916.0</v>
      </c>
      <c r="B938" s="3" t="s">
        <v>189</v>
      </c>
      <c r="C938" s="3" t="s">
        <v>190</v>
      </c>
      <c r="D938" s="3" t="s">
        <v>2564</v>
      </c>
      <c r="E938" s="3" t="s">
        <v>2561</v>
      </c>
      <c r="F938" s="3" t="s">
        <v>2562</v>
      </c>
      <c r="G938" s="3" t="str">
        <f>IFERROR(__xludf.DUMMYFUNCTION("GOOGLETRANSLATE(D938,""fr"",""es"")"),"Laçais")</f>
        <v>Laçais</v>
      </c>
    </row>
    <row r="939">
      <c r="A939" s="3">
        <v>917.0</v>
      </c>
      <c r="B939" s="3" t="s">
        <v>189</v>
      </c>
      <c r="C939" s="3" t="s">
        <v>190</v>
      </c>
      <c r="D939" s="3" t="s">
        <v>2565</v>
      </c>
      <c r="E939" s="3" t="s">
        <v>2561</v>
      </c>
      <c r="F939" s="3" t="s">
        <v>2562</v>
      </c>
      <c r="G939" s="3" t="str">
        <f>IFERROR(__xludf.DUMMYFUNCTION("GOOGLETRANSLATE(D939,""fr"",""es"")"),"Laçoit")</f>
        <v>Laçoit</v>
      </c>
    </row>
    <row r="940">
      <c r="A940" s="3">
        <v>918.0</v>
      </c>
      <c r="B940" s="3" t="s">
        <v>189</v>
      </c>
      <c r="C940" s="3" t="s">
        <v>190</v>
      </c>
      <c r="D940" s="3" t="s">
        <v>2566</v>
      </c>
      <c r="E940" s="3" t="s">
        <v>2567</v>
      </c>
      <c r="F940" s="3" t="s">
        <v>2568</v>
      </c>
      <c r="G940" s="3" t="str">
        <f>IFERROR(__xludf.DUMMYFUNCTION("GOOGLETRANSLATE(D940,""fr"",""es"")"),"Laçon")</f>
        <v>Laçon</v>
      </c>
    </row>
    <row r="941">
      <c r="A941" s="3">
        <v>919.0</v>
      </c>
      <c r="B941" s="3" t="s">
        <v>189</v>
      </c>
      <c r="C941" s="3" t="s">
        <v>190</v>
      </c>
      <c r="D941" s="3" t="s">
        <v>2569</v>
      </c>
      <c r="E941" s="3" t="s">
        <v>2570</v>
      </c>
      <c r="F941" s="3" t="s">
        <v>2571</v>
      </c>
      <c r="G941" s="3" t="str">
        <f>IFERROR(__xludf.DUMMYFUNCTION("GOOGLETRANSLATE(D941,""fr"",""es"")"),"la caja")</f>
        <v>la caja</v>
      </c>
    </row>
    <row r="942">
      <c r="A942" s="3">
        <v>920.0</v>
      </c>
      <c r="B942" s="3" t="s">
        <v>189</v>
      </c>
      <c r="C942" s="3" t="s">
        <v>190</v>
      </c>
      <c r="D942" s="3" t="s">
        <v>2572</v>
      </c>
      <c r="E942" s="3" t="s">
        <v>2570</v>
      </c>
      <c r="F942" s="3" t="s">
        <v>2571</v>
      </c>
      <c r="G942" s="3" t="str">
        <f>IFERROR(__xludf.DUMMYFUNCTION("GOOGLETRANSLATE(D942,""fr"",""es"")"),"establecido")</f>
        <v>establecido</v>
      </c>
    </row>
    <row r="943">
      <c r="A943" s="3">
        <v>921.0</v>
      </c>
      <c r="B943" s="3" t="s">
        <v>189</v>
      </c>
      <c r="C943" s="3" t="s">
        <v>190</v>
      </c>
      <c r="D943" s="3" t="s">
        <v>2573</v>
      </c>
      <c r="E943" s="3" t="s">
        <v>2570</v>
      </c>
      <c r="F943" s="3" t="s">
        <v>2571</v>
      </c>
      <c r="G943" s="3" t="str">
        <f>IFERROR(__xludf.DUMMYFUNCTION("GOOGLETRANSLATE(D943,""fr"",""es"")"),"Laçonasses")</f>
        <v>Laçonasses</v>
      </c>
    </row>
    <row r="944">
      <c r="A944" s="3">
        <v>922.0</v>
      </c>
      <c r="B944" s="3" t="s">
        <v>189</v>
      </c>
      <c r="C944" s="3" t="s">
        <v>190</v>
      </c>
      <c r="D944" s="3" t="s">
        <v>2574</v>
      </c>
      <c r="E944" s="3" t="s">
        <v>2575</v>
      </c>
      <c r="F944" s="3" t="s">
        <v>2562</v>
      </c>
      <c r="G944" s="3" t="str">
        <f>IFERROR(__xludf.DUMMYFUNCTION("GOOGLETRANSLATE(D944,""fr"",""es"")"),"Laçon")</f>
        <v>Laçon</v>
      </c>
    </row>
    <row r="945">
      <c r="A945" s="3">
        <v>923.0</v>
      </c>
      <c r="B945" s="3" t="s">
        <v>189</v>
      </c>
      <c r="C945" s="3" t="s">
        <v>190</v>
      </c>
      <c r="D945" s="3" t="s">
        <v>2576</v>
      </c>
      <c r="E945" s="3" t="s">
        <v>2577</v>
      </c>
      <c r="F945" s="3" t="s">
        <v>2578</v>
      </c>
      <c r="G945" s="3" t="str">
        <f>IFERROR(__xludf.DUMMYFUNCTION("GOOGLETRANSLATE(D945,""fr"",""es"")"),"cordón")</f>
        <v>cordón</v>
      </c>
    </row>
    <row r="946">
      <c r="A946" s="3">
        <v>924.0</v>
      </c>
      <c r="B946" s="3" t="s">
        <v>189</v>
      </c>
      <c r="C946" s="3" t="s">
        <v>190</v>
      </c>
      <c r="D946" s="3" t="s">
        <v>2579</v>
      </c>
      <c r="E946" s="3" t="s">
        <v>2577</v>
      </c>
      <c r="F946" s="3" t="s">
        <v>2578</v>
      </c>
      <c r="G946" s="3" t="str">
        <f>IFERROR(__xludf.DUMMYFUNCTION("GOOGLETRANSLATE(D946,""fr"",""es"")"),"lacente")</f>
        <v>lacente</v>
      </c>
    </row>
    <row r="947">
      <c r="A947" s="3">
        <v>925.0</v>
      </c>
      <c r="B947" s="3" t="s">
        <v>189</v>
      </c>
      <c r="C947" s="3" t="s">
        <v>190</v>
      </c>
      <c r="D947" s="3" t="s">
        <v>2580</v>
      </c>
      <c r="E947" s="3" t="s">
        <v>2577</v>
      </c>
      <c r="F947" s="3" t="s">
        <v>2578</v>
      </c>
      <c r="G947" s="3" t="str">
        <f>IFERROR(__xludf.DUMMYFUNCTION("GOOGLETRANSLATE(D947,""fr"",""es"")"),"cordones")</f>
        <v>cordones</v>
      </c>
    </row>
    <row r="948">
      <c r="A948" s="3">
        <v>926.0</v>
      </c>
      <c r="B948" s="3" t="s">
        <v>189</v>
      </c>
      <c r="C948" s="3" t="s">
        <v>190</v>
      </c>
      <c r="D948" s="3" t="s">
        <v>2581</v>
      </c>
      <c r="E948" s="3" t="s">
        <v>2561</v>
      </c>
      <c r="F948" s="3" t="s">
        <v>2562</v>
      </c>
      <c r="G948" s="3" t="str">
        <f>IFERROR(__xludf.DUMMYFUNCTION("GOOGLETRANSLATE(D948,""fr"",""es"")"),"cordón")</f>
        <v>cordón</v>
      </c>
      <c r="H948" s="3" t="s">
        <v>2576</v>
      </c>
      <c r="I948" s="3" t="s">
        <v>2582</v>
      </c>
    </row>
    <row r="949">
      <c r="A949" s="3">
        <v>927.0</v>
      </c>
      <c r="B949" s="3" t="s">
        <v>189</v>
      </c>
      <c r="C949" s="3" t="s">
        <v>190</v>
      </c>
      <c r="D949" s="3" t="s">
        <v>2583</v>
      </c>
      <c r="E949" s="3" t="s">
        <v>2561</v>
      </c>
      <c r="F949" s="3" t="s">
        <v>2562</v>
      </c>
      <c r="G949" s="3" t="str">
        <f>IFERROR(__xludf.DUMMYFUNCTION("GOOGLETRANSLATE(D949,""fr"",""es"")"),"cordones")</f>
        <v>cordones</v>
      </c>
    </row>
    <row r="950">
      <c r="A950" s="3">
        <v>928.0</v>
      </c>
      <c r="B950" s="3" t="s">
        <v>189</v>
      </c>
      <c r="C950" s="3" t="s">
        <v>190</v>
      </c>
      <c r="D950" s="3" t="s">
        <v>2584</v>
      </c>
      <c r="E950" s="3" t="s">
        <v>2585</v>
      </c>
      <c r="F950" s="3" t="s">
        <v>2586</v>
      </c>
      <c r="G950" s="3" t="str">
        <f>IFERROR(__xludf.DUMMYFUNCTION("GOOGLETRANSLATE(D950,""fr"",""es"")"),"Déjalo ir")</f>
        <v>Déjalo ir</v>
      </c>
    </row>
    <row r="951">
      <c r="A951" s="3">
        <v>929.0</v>
      </c>
      <c r="B951" s="3" t="s">
        <v>189</v>
      </c>
      <c r="C951" s="3" t="s">
        <v>190</v>
      </c>
      <c r="D951" s="3" t="s">
        <v>2587</v>
      </c>
      <c r="E951" s="3" t="s">
        <v>2585</v>
      </c>
      <c r="F951" s="3" t="s">
        <v>2586</v>
      </c>
      <c r="G951" s="3" t="str">
        <f>IFERROR(__xludf.DUMMYFUNCTION("GOOGLETRANSLATE(D951,""fr"",""es"")"),"Déjalo ir")</f>
        <v>Déjalo ir</v>
      </c>
    </row>
    <row r="952">
      <c r="A952" s="3">
        <v>930.0</v>
      </c>
      <c r="B952" s="3" t="s">
        <v>189</v>
      </c>
      <c r="C952" s="3" t="s">
        <v>190</v>
      </c>
      <c r="D952" s="3" t="s">
        <v>2588</v>
      </c>
      <c r="E952" s="3" t="s">
        <v>2585</v>
      </c>
      <c r="F952" s="3" t="s">
        <v>2586</v>
      </c>
      <c r="G952" s="3" t="str">
        <f>IFERROR(__xludf.DUMMYFUNCTION("GOOGLETRANSLATE(D952,""fr"",""es"")"),"Déjalo ir")</f>
        <v>Déjalo ir</v>
      </c>
    </row>
    <row r="953">
      <c r="A953" s="3">
        <v>931.0</v>
      </c>
      <c r="B953" s="3" t="s">
        <v>189</v>
      </c>
      <c r="C953" s="3" t="s">
        <v>190</v>
      </c>
      <c r="D953" s="3" t="s">
        <v>2589</v>
      </c>
      <c r="E953" s="3" t="s">
        <v>2585</v>
      </c>
      <c r="F953" s="3" t="s">
        <v>2586</v>
      </c>
      <c r="G953" s="3" t="str">
        <f>IFERROR(__xludf.DUMMYFUNCTION("GOOGLETRANSLATE(D953,""fr"",""es"")"),"Déjalo ir")</f>
        <v>Déjalo ir</v>
      </c>
    </row>
    <row r="954">
      <c r="A954" s="3">
        <v>932.0</v>
      </c>
      <c r="B954" s="3" t="s">
        <v>189</v>
      </c>
      <c r="C954" s="3" t="s">
        <v>190</v>
      </c>
      <c r="D954" s="3" t="s">
        <v>2590</v>
      </c>
      <c r="E954" s="3" t="s">
        <v>2591</v>
      </c>
      <c r="F954" s="3" t="s">
        <v>2592</v>
      </c>
      <c r="G954" s="3" t="str">
        <f>IFERROR(__xludf.DUMMYFUNCTION("GOOGLETRANSLATE(D954,""fr"",""es"")"),"Lâchâme")</f>
        <v>Lâchâme</v>
      </c>
    </row>
    <row r="955">
      <c r="A955" s="3">
        <v>933.0</v>
      </c>
      <c r="B955" s="3" t="s">
        <v>189</v>
      </c>
      <c r="C955" s="3" t="s">
        <v>190</v>
      </c>
      <c r="D955" s="3" t="s">
        <v>2593</v>
      </c>
      <c r="E955" s="3" t="s">
        <v>2594</v>
      </c>
      <c r="F955" s="3" t="s">
        <v>2595</v>
      </c>
      <c r="G955" s="3" t="str">
        <f>IFERROR(__xludf.DUMMYFUNCTION("GOOGLETRANSLATE(D955,""fr"",""es"")"),"la caza")</f>
        <v>la caza</v>
      </c>
    </row>
    <row r="956">
      <c r="A956" s="3">
        <v>934.0</v>
      </c>
      <c r="B956" s="3" t="s">
        <v>189</v>
      </c>
      <c r="C956" s="3" t="s">
        <v>190</v>
      </c>
      <c r="D956" s="3" t="s">
        <v>2596</v>
      </c>
      <c r="E956" s="3" t="s">
        <v>2594</v>
      </c>
      <c r="F956" s="3" t="s">
        <v>2595</v>
      </c>
      <c r="G956" s="3" t="str">
        <f>IFERROR(__xludf.DUMMYFUNCTION("GOOGLETRANSLATE(D956,""fr"",""es"")"),"Déjalo ir")</f>
        <v>Déjalo ir</v>
      </c>
    </row>
    <row r="957">
      <c r="A957" s="3">
        <v>935.0</v>
      </c>
      <c r="B957" s="3" t="s">
        <v>189</v>
      </c>
      <c r="C957" s="3" t="s">
        <v>190</v>
      </c>
      <c r="D957" s="3" t="s">
        <v>2597</v>
      </c>
      <c r="E957" s="3" t="s">
        <v>2594</v>
      </c>
      <c r="F957" s="3" t="s">
        <v>2595</v>
      </c>
      <c r="G957" s="3" t="str">
        <f>IFERROR(__xludf.DUMMYFUNCTION("GOOGLETRANSLATE(D957,""fr"",""es"")"),"liberado")</f>
        <v>liberado</v>
      </c>
    </row>
    <row r="958">
      <c r="A958" s="3">
        <v>936.0</v>
      </c>
      <c r="B958" s="3" t="s">
        <v>189</v>
      </c>
      <c r="C958" s="3" t="s">
        <v>190</v>
      </c>
      <c r="D958" s="3" t="s">
        <v>2598</v>
      </c>
      <c r="E958" s="3" t="s">
        <v>2599</v>
      </c>
      <c r="F958" s="3" t="s">
        <v>1920</v>
      </c>
      <c r="G958" s="3" t="str">
        <f>IFERROR(__xludf.DUMMYFUNCTION("GOOGLETRANSLATE(D958,""fr"",""es"")"),"cobardemente")</f>
        <v>cobardemente</v>
      </c>
      <c r="H958" s="3" t="s">
        <v>2600</v>
      </c>
      <c r="I958" s="3" t="s">
        <v>2601</v>
      </c>
      <c r="J958" s="3" t="s">
        <v>2602</v>
      </c>
      <c r="K958" s="3" t="s">
        <v>2603</v>
      </c>
      <c r="L958" s="3" t="s">
        <v>2604</v>
      </c>
      <c r="M958" s="3" t="s">
        <v>2605</v>
      </c>
      <c r="N958" s="3" t="s">
        <v>2606</v>
      </c>
      <c r="O958" s="3" t="s">
        <v>2607</v>
      </c>
      <c r="P958" s="3" t="s">
        <v>2608</v>
      </c>
      <c r="Q958" s="3" t="s">
        <v>2609</v>
      </c>
      <c r="R958" s="3" t="s">
        <v>2610</v>
      </c>
      <c r="S958" s="3" t="s">
        <v>2611</v>
      </c>
      <c r="T958" s="3" t="s">
        <v>2612</v>
      </c>
      <c r="U958" s="3" t="s">
        <v>2613</v>
      </c>
      <c r="V958" s="3" t="s">
        <v>2614</v>
      </c>
      <c r="W958" s="3" t="s">
        <v>2615</v>
      </c>
      <c r="X958" s="3" t="s">
        <v>2616</v>
      </c>
      <c r="Y958" s="3" t="s">
        <v>2617</v>
      </c>
    </row>
    <row r="959">
      <c r="A959" s="3">
        <v>937.0</v>
      </c>
      <c r="B959" s="3" t="s">
        <v>189</v>
      </c>
      <c r="C959" s="3" t="s">
        <v>190</v>
      </c>
      <c r="D959" s="3" t="s">
        <v>2618</v>
      </c>
      <c r="E959" s="3" t="s">
        <v>2599</v>
      </c>
      <c r="F959" s="3" t="s">
        <v>1920</v>
      </c>
      <c r="G959" s="3" t="str">
        <f>IFERROR(__xludf.DUMMYFUNCTION("GOOGLETRANSLATE(D959,""fr"",""es"")"),"Déjalo ir")</f>
        <v>Déjalo ir</v>
      </c>
    </row>
    <row r="960">
      <c r="A960" s="3">
        <v>938.0</v>
      </c>
      <c r="B960" s="3" t="s">
        <v>189</v>
      </c>
      <c r="C960" s="3" t="s">
        <v>190</v>
      </c>
      <c r="D960" s="3" t="s">
        <v>2619</v>
      </c>
      <c r="E960" s="3" t="s">
        <v>2599</v>
      </c>
      <c r="F960" s="3" t="s">
        <v>1920</v>
      </c>
      <c r="G960" s="3" t="str">
        <f>IFERROR(__xludf.DUMMYFUNCTION("GOOGLETRANSLATE(D960,""fr"",""es"")"),"cobardemente")</f>
        <v>cobardemente</v>
      </c>
    </row>
    <row r="961">
      <c r="A961" s="3">
        <v>939.0</v>
      </c>
      <c r="B961" s="3" t="s">
        <v>189</v>
      </c>
      <c r="C961" s="3" t="s">
        <v>190</v>
      </c>
      <c r="D961" s="3" t="s">
        <v>2620</v>
      </c>
      <c r="E961" s="3" t="s">
        <v>2621</v>
      </c>
      <c r="F961" s="3" t="s">
        <v>2622</v>
      </c>
      <c r="G961" s="3" t="str">
        <f>IFERROR(__xludf.DUMMYFUNCTION("GOOGLETRANSLATE(D961,""fr"",""es"")"),"lacis")</f>
        <v>lacis</v>
      </c>
    </row>
    <row r="962">
      <c r="A962" s="3">
        <v>940.0</v>
      </c>
      <c r="B962" s="3" t="s">
        <v>189</v>
      </c>
      <c r="C962" s="3" t="s">
        <v>190</v>
      </c>
      <c r="D962" s="3" t="s">
        <v>2623</v>
      </c>
      <c r="E962" s="3" t="s">
        <v>2541</v>
      </c>
      <c r="F962" s="3" t="s">
        <v>2540</v>
      </c>
      <c r="G962" s="3" t="str">
        <f>IFERROR(__xludf.DUMMYFUNCTION("GOOGLETRANSLATE(D962,""fr"",""es"")"),"lai")</f>
        <v>lai</v>
      </c>
    </row>
    <row r="963">
      <c r="A963" s="3">
        <v>941.0</v>
      </c>
      <c r="B963" s="3" t="s">
        <v>189</v>
      </c>
      <c r="C963" s="3" t="s">
        <v>190</v>
      </c>
      <c r="D963" s="3" t="s">
        <v>2624</v>
      </c>
      <c r="E963" s="3" t="s">
        <v>2541</v>
      </c>
      <c r="F963" s="3" t="s">
        <v>2540</v>
      </c>
      <c r="G963" s="3" t="str">
        <f>IFERROR(__xludf.DUMMYFUNCTION("GOOGLETRANSLATE(D963,""fr"",""es"")"),"feo")</f>
        <v>feo</v>
      </c>
      <c r="H963" s="3" t="s">
        <v>2625</v>
      </c>
      <c r="I963" s="3" t="s">
        <v>2626</v>
      </c>
      <c r="J963" s="3" t="s">
        <v>2627</v>
      </c>
      <c r="K963" s="3" t="s">
        <v>2628</v>
      </c>
      <c r="L963" s="3" t="s">
        <v>2629</v>
      </c>
      <c r="M963" s="3" t="s">
        <v>2630</v>
      </c>
      <c r="N963" s="3" t="s">
        <v>2631</v>
      </c>
      <c r="O963" s="3" t="s">
        <v>2632</v>
      </c>
      <c r="P963" s="3" t="s">
        <v>2633</v>
      </c>
      <c r="Q963" s="3" t="s">
        <v>2634</v>
      </c>
      <c r="R963" s="3" t="s">
        <v>2633</v>
      </c>
      <c r="S963" s="3" t="s">
        <v>2635</v>
      </c>
      <c r="T963" s="3" t="s">
        <v>2636</v>
      </c>
      <c r="U963" s="3" t="s">
        <v>2637</v>
      </c>
      <c r="V963" s="3" t="s">
        <v>2638</v>
      </c>
      <c r="W963" s="3" t="s">
        <v>2639</v>
      </c>
      <c r="X963" s="3" t="s">
        <v>2640</v>
      </c>
      <c r="Y963" s="3" t="s">
        <v>2633</v>
      </c>
    </row>
    <row r="964">
      <c r="A964" s="3">
        <v>942.0</v>
      </c>
      <c r="B964" s="3" t="s">
        <v>189</v>
      </c>
      <c r="C964" s="3" t="s">
        <v>190</v>
      </c>
      <c r="D964" s="3" t="s">
        <v>2641</v>
      </c>
      <c r="E964" s="3" t="s">
        <v>2541</v>
      </c>
      <c r="F964" s="3" t="s">
        <v>2540</v>
      </c>
      <c r="G964" s="3" t="str">
        <f>IFERROR(__xludf.DUMMYFUNCTION("GOOGLETRANSLATE(D964,""fr"",""es"")"),"feo")</f>
        <v>feo</v>
      </c>
    </row>
    <row r="965">
      <c r="A965" s="3">
        <v>943.0</v>
      </c>
      <c r="B965" s="3" t="s">
        <v>189</v>
      </c>
      <c r="C965" s="3" t="s">
        <v>190</v>
      </c>
      <c r="D965" s="3" t="s">
        <v>2642</v>
      </c>
      <c r="E965" s="3" t="s">
        <v>2643</v>
      </c>
      <c r="F965" s="3" t="s">
        <v>2644</v>
      </c>
      <c r="G965" s="3" t="str">
        <f>IFERROR(__xludf.DUMMYFUNCTION("GOOGLETRANSLATE(D965,""fr"",""es"")"),"Lainai")</f>
        <v>Lainai</v>
      </c>
    </row>
    <row r="966">
      <c r="A966" s="3">
        <v>944.0</v>
      </c>
      <c r="B966" s="3" t="s">
        <v>189</v>
      </c>
      <c r="C966" s="3" t="s">
        <v>190</v>
      </c>
      <c r="D966" s="3" t="s">
        <v>2645</v>
      </c>
      <c r="E966" s="3" t="s">
        <v>2643</v>
      </c>
      <c r="F966" s="3" t="s">
        <v>2644</v>
      </c>
      <c r="G966" s="3" t="str">
        <f>IFERROR(__xludf.DUMMYFUNCTION("GOOGLETRANSLATE(D966,""fr"",""es"")"),"cableado")</f>
        <v>cableado</v>
      </c>
    </row>
    <row r="967">
      <c r="A967" s="3">
        <v>945.0</v>
      </c>
      <c r="B967" s="3" t="s">
        <v>189</v>
      </c>
      <c r="C967" s="3" t="s">
        <v>190</v>
      </c>
      <c r="D967" s="3" t="s">
        <v>2646</v>
      </c>
      <c r="E967" s="3" t="s">
        <v>2643</v>
      </c>
      <c r="F967" s="3" t="s">
        <v>2644</v>
      </c>
      <c r="G967" s="3" t="str">
        <f>IFERROR(__xludf.DUMMYFUNCTION("GOOGLETRANSLATE(D967,""fr"",""es"")"),"Lainais")</f>
        <v>Lainais</v>
      </c>
    </row>
    <row r="968">
      <c r="A968" s="3">
        <v>946.0</v>
      </c>
      <c r="B968" s="3" t="s">
        <v>189</v>
      </c>
      <c r="C968" s="3" t="s">
        <v>190</v>
      </c>
      <c r="D968" s="3" t="s">
        <v>2647</v>
      </c>
      <c r="E968" s="3" t="s">
        <v>2643</v>
      </c>
      <c r="F968" s="3" t="s">
        <v>2644</v>
      </c>
      <c r="G968" s="3" t="str">
        <f>IFERROR(__xludf.DUMMYFUNCTION("GOOGLETRANSLATE(D968,""fr"",""es"")"),"cortejado")</f>
        <v>cortejado</v>
      </c>
    </row>
    <row r="969">
      <c r="A969" s="3">
        <v>947.0</v>
      </c>
      <c r="B969" s="3" t="s">
        <v>189</v>
      </c>
      <c r="C969" s="3" t="s">
        <v>190</v>
      </c>
      <c r="D969" s="3" t="s">
        <v>2648</v>
      </c>
      <c r="E969" s="3" t="s">
        <v>2649</v>
      </c>
      <c r="F969" s="3" t="s">
        <v>2650</v>
      </c>
      <c r="G969" s="3" t="str">
        <f>IFERROR(__xludf.DUMMYFUNCTION("GOOGLETRANSLATE(D969,""fr"",""es"")"),"córneo")</f>
        <v>córneo</v>
      </c>
    </row>
    <row r="970">
      <c r="A970" s="3">
        <v>948.0</v>
      </c>
      <c r="B970" s="3" t="s">
        <v>189</v>
      </c>
      <c r="C970" s="3" t="s">
        <v>190</v>
      </c>
      <c r="D970" s="3" t="s">
        <v>2651</v>
      </c>
      <c r="E970" s="3" t="s">
        <v>2652</v>
      </c>
      <c r="F970" s="3" t="s">
        <v>2653</v>
      </c>
      <c r="G970" s="3" t="str">
        <f>IFERROR(__xludf.DUMMYFUNCTION("GOOGLETRANSLATE(D970,""fr"",""es"")"),"Lainasse")</f>
        <v>Lainasse</v>
      </c>
    </row>
    <row r="971">
      <c r="A971" s="3">
        <v>949.0</v>
      </c>
      <c r="B971" s="3" t="s">
        <v>189</v>
      </c>
      <c r="C971" s="3" t="s">
        <v>190</v>
      </c>
      <c r="D971" s="3" t="s">
        <v>2654</v>
      </c>
      <c r="E971" s="3" t="s">
        <v>2652</v>
      </c>
      <c r="F971" s="3" t="s">
        <v>2653</v>
      </c>
      <c r="G971" s="3" t="str">
        <f>IFERROR(__xludf.DUMMYFUNCTION("GOOGLETRANSLATE(D971,""fr"",""es"")"),"Lainse")</f>
        <v>Lainse</v>
      </c>
    </row>
    <row r="972">
      <c r="A972" s="3">
        <v>950.0</v>
      </c>
      <c r="B972" s="3" t="s">
        <v>189</v>
      </c>
      <c r="C972" s="3" t="s">
        <v>190</v>
      </c>
      <c r="D972" s="3" t="s">
        <v>2655</v>
      </c>
      <c r="E972" s="3" t="s">
        <v>2652</v>
      </c>
      <c r="F972" s="3" t="s">
        <v>2653</v>
      </c>
      <c r="G972" s="3" t="str">
        <f>IFERROR(__xludf.DUMMYFUNCTION("GOOGLETRANSLATE(D972,""fr"",""es"")"),"Lainasse")</f>
        <v>Lainasse</v>
      </c>
    </row>
    <row r="973">
      <c r="A973" s="3">
        <v>951.0</v>
      </c>
      <c r="B973" s="3" t="s">
        <v>189</v>
      </c>
      <c r="C973" s="3" t="s">
        <v>190</v>
      </c>
      <c r="D973" s="3" t="s">
        <v>2656</v>
      </c>
      <c r="E973" s="3" t="s">
        <v>2657</v>
      </c>
      <c r="F973" s="3" t="s">
        <v>2658</v>
      </c>
      <c r="G973" s="3" t="str">
        <f>IFERROR(__xludf.DUMMYFUNCTION("GOOGLETRANSLATE(D973,""fr"",""es"")"),"chico mayor")</f>
        <v>chico mayor</v>
      </c>
      <c r="H973" s="3" t="s">
        <v>2659</v>
      </c>
      <c r="I973" s="3" t="s">
        <v>2660</v>
      </c>
      <c r="J973" s="3" t="s">
        <v>2661</v>
      </c>
      <c r="K973" s="3" t="s">
        <v>2660</v>
      </c>
      <c r="L973" s="3" t="s">
        <v>2662</v>
      </c>
      <c r="M973" s="3" t="s">
        <v>2663</v>
      </c>
      <c r="N973" s="3" t="s">
        <v>2660</v>
      </c>
    </row>
    <row r="974">
      <c r="A974" s="3">
        <v>952.0</v>
      </c>
      <c r="B974" s="3" t="s">
        <v>189</v>
      </c>
      <c r="C974" s="3" t="s">
        <v>190</v>
      </c>
      <c r="D974" s="3" t="s">
        <v>2664</v>
      </c>
      <c r="E974" s="3" t="s">
        <v>2657</v>
      </c>
      <c r="F974" s="3" t="s">
        <v>2658</v>
      </c>
      <c r="G974" s="3" t="str">
        <f>IFERROR(__xludf.DUMMYFUNCTION("GOOGLETRANSLATE(D974,""fr"",""es"")"),"de lana")</f>
        <v>de lana</v>
      </c>
    </row>
    <row r="975">
      <c r="A975" s="3">
        <v>953.0</v>
      </c>
      <c r="B975" s="3" t="s">
        <v>189</v>
      </c>
      <c r="C975" s="3" t="s">
        <v>190</v>
      </c>
      <c r="D975" s="3" t="s">
        <v>2665</v>
      </c>
      <c r="E975" s="3" t="s">
        <v>2657</v>
      </c>
      <c r="F975" s="3" t="s">
        <v>2658</v>
      </c>
      <c r="G975" s="3" t="str">
        <f>IFERROR(__xludf.DUMMYFUNCTION("GOOGLETRANSLATE(D975,""fr"",""es"")"),"lana")</f>
        <v>lana</v>
      </c>
    </row>
    <row r="976">
      <c r="A976" s="3">
        <v>954.0</v>
      </c>
      <c r="B976" s="3" t="s">
        <v>189</v>
      </c>
      <c r="C976" s="3" t="s">
        <v>190</v>
      </c>
      <c r="D976" s="3" t="s">
        <v>2666</v>
      </c>
      <c r="E976" s="3" t="s">
        <v>2541</v>
      </c>
      <c r="F976" s="3" t="s">
        <v>2540</v>
      </c>
      <c r="G976" s="3" t="str">
        <f>IFERROR(__xludf.DUMMYFUNCTION("GOOGLETRANSLATE(D976,""fr"",""es"")"),"laisa")</f>
        <v>laisa</v>
      </c>
    </row>
    <row r="977">
      <c r="A977" s="3">
        <v>955.0</v>
      </c>
      <c r="B977" s="3" t="s">
        <v>189</v>
      </c>
      <c r="C977" s="3" t="s">
        <v>190</v>
      </c>
      <c r="D977" s="3" t="s">
        <v>2667</v>
      </c>
      <c r="E977" s="3" t="s">
        <v>2561</v>
      </c>
      <c r="F977" s="3" t="s">
        <v>2562</v>
      </c>
      <c r="G977" s="3" t="str">
        <f>IFERROR(__xludf.DUMMYFUNCTION("GOOGLETRANSLATE(D977,""fr"",""es"")"),"izquierda")</f>
        <v>izquierda</v>
      </c>
    </row>
    <row r="978">
      <c r="A978" s="3">
        <v>956.0</v>
      </c>
      <c r="B978" s="3" t="s">
        <v>189</v>
      </c>
      <c r="C978" s="3" t="s">
        <v>190</v>
      </c>
      <c r="D978" s="3" t="s">
        <v>2668</v>
      </c>
      <c r="E978" s="3" t="s">
        <v>2561</v>
      </c>
      <c r="F978" s="3" t="s">
        <v>2562</v>
      </c>
      <c r="G978" s="3" t="str">
        <f>IFERROR(__xludf.DUMMYFUNCTION("GOOGLETRANSLATE(D978,""fr"",""es"")"),"izquierda")</f>
        <v>izquierda</v>
      </c>
    </row>
    <row r="979">
      <c r="A979" s="3">
        <v>957.0</v>
      </c>
      <c r="B979" s="3" t="s">
        <v>189</v>
      </c>
      <c r="C979" s="3" t="s">
        <v>190</v>
      </c>
      <c r="D979" s="3" t="s">
        <v>2669</v>
      </c>
      <c r="E979" s="3" t="s">
        <v>2561</v>
      </c>
      <c r="F979" s="3" t="s">
        <v>2562</v>
      </c>
      <c r="G979" s="3" t="str">
        <f>IFERROR(__xludf.DUMMYFUNCTION("GOOGLETRANSLATE(D979,""fr"",""es"")"),"izquierda")</f>
        <v>izquierda</v>
      </c>
    </row>
    <row r="980">
      <c r="A980" s="3">
        <v>958.0</v>
      </c>
      <c r="B980" s="3" t="s">
        <v>189</v>
      </c>
      <c r="C980" s="3" t="s">
        <v>190</v>
      </c>
      <c r="D980" s="3" t="s">
        <v>2670</v>
      </c>
      <c r="E980" s="3" t="s">
        <v>2561</v>
      </c>
      <c r="F980" s="3" t="s">
        <v>2562</v>
      </c>
      <c r="G980" s="3" t="str">
        <f>IFERROR(__xludf.DUMMYFUNCTION("GOOGLETRANSLATE(D980,""fr"",""es"")"),"izquierda")</f>
        <v>izquierda</v>
      </c>
    </row>
    <row r="981">
      <c r="A981" s="3">
        <v>959.0</v>
      </c>
      <c r="B981" s="3" t="s">
        <v>189</v>
      </c>
      <c r="C981" s="3" t="s">
        <v>190</v>
      </c>
      <c r="D981" s="3" t="s">
        <v>2671</v>
      </c>
      <c r="E981" s="3" t="s">
        <v>2672</v>
      </c>
      <c r="F981" s="3" t="s">
        <v>2568</v>
      </c>
      <c r="G981" s="3" t="str">
        <f>IFERROR(__xludf.DUMMYFUNCTION("GOOGLETRANSLATE(D981,""fr"",""es"")"),"izquierda")</f>
        <v>izquierda</v>
      </c>
    </row>
    <row r="982">
      <c r="A982" s="3">
        <v>960.0</v>
      </c>
      <c r="B982" s="3" t="s">
        <v>189</v>
      </c>
      <c r="C982" s="3" t="s">
        <v>190</v>
      </c>
      <c r="D982" s="3" t="s">
        <v>2673</v>
      </c>
      <c r="E982" s="3" t="s">
        <v>2570</v>
      </c>
      <c r="F982" s="3" t="s">
        <v>2571</v>
      </c>
      <c r="G982" s="3" t="str">
        <f>IFERROR(__xludf.DUMMYFUNCTION("GOOGLETRANSLATE(D982,""fr"",""es"")"),"abandonar")</f>
        <v>abandonar</v>
      </c>
    </row>
    <row r="983">
      <c r="A983" s="3">
        <v>961.0</v>
      </c>
      <c r="B983" s="3" t="s">
        <v>189</v>
      </c>
      <c r="C983" s="3" t="s">
        <v>190</v>
      </c>
      <c r="D983" s="3" t="s">
        <v>2674</v>
      </c>
      <c r="E983" s="3" t="s">
        <v>2570</v>
      </c>
      <c r="F983" s="3" t="s">
        <v>2571</v>
      </c>
      <c r="G983" s="3" t="str">
        <f>IFERROR(__xludf.DUMMYFUNCTION("GOOGLETRANSLATE(D983,""fr"",""es"")"),"abandonar")</f>
        <v>abandonar</v>
      </c>
    </row>
    <row r="984">
      <c r="A984" s="3">
        <v>962.0</v>
      </c>
      <c r="B984" s="3" t="s">
        <v>189</v>
      </c>
      <c r="C984" s="3" t="s">
        <v>190</v>
      </c>
      <c r="D984" s="3" t="s">
        <v>2675</v>
      </c>
      <c r="E984" s="3" t="s">
        <v>2570</v>
      </c>
      <c r="F984" s="3" t="s">
        <v>2571</v>
      </c>
      <c r="G984" s="3" t="str">
        <f>IFERROR(__xludf.DUMMYFUNCTION("GOOGLETRANSLATE(D984,""fr"",""es"")"),"abandonar")</f>
        <v>abandonar</v>
      </c>
    </row>
    <row r="985">
      <c r="A985" s="3">
        <v>963.0</v>
      </c>
      <c r="B985" s="3" t="s">
        <v>189</v>
      </c>
      <c r="C985" s="3" t="s">
        <v>190</v>
      </c>
      <c r="D985" s="3" t="s">
        <v>2676</v>
      </c>
      <c r="E985" s="3" t="s">
        <v>2577</v>
      </c>
      <c r="F985" s="3" t="s">
        <v>2578</v>
      </c>
      <c r="G985" s="3" t="str">
        <f>IFERROR(__xludf.DUMMYFUNCTION("GOOGLETRANSLATE(D985,""fr"",""es"")"),"dejar solo")</f>
        <v>dejar solo</v>
      </c>
      <c r="H985" s="3" t="s">
        <v>2677</v>
      </c>
      <c r="I985" s="3" t="s">
        <v>2678</v>
      </c>
      <c r="J985" s="3" t="s">
        <v>2679</v>
      </c>
      <c r="K985" s="3" t="s">
        <v>2678</v>
      </c>
      <c r="L985" s="3" t="s">
        <v>2678</v>
      </c>
      <c r="M985" s="3" t="s">
        <v>2680</v>
      </c>
      <c r="N985" s="3" t="s">
        <v>2681</v>
      </c>
    </row>
    <row r="986">
      <c r="A986" s="3">
        <v>964.0</v>
      </c>
      <c r="B986" s="3" t="s">
        <v>189</v>
      </c>
      <c r="C986" s="3" t="s">
        <v>190</v>
      </c>
      <c r="D986" s="3" t="s">
        <v>2682</v>
      </c>
      <c r="E986" s="3" t="s">
        <v>2577</v>
      </c>
      <c r="F986" s="3" t="s">
        <v>2578</v>
      </c>
      <c r="G986" s="3" t="str">
        <f>IFERROR(__xludf.DUMMYFUNCTION("GOOGLETRANSLATE(D986,""fr"",""es"")"),"abandonar")</f>
        <v>abandonar</v>
      </c>
    </row>
    <row r="987">
      <c r="A987" s="3">
        <v>965.0</v>
      </c>
      <c r="B987" s="3" t="s">
        <v>189</v>
      </c>
      <c r="C987" s="3" t="s">
        <v>190</v>
      </c>
      <c r="D987" s="3" t="s">
        <v>2683</v>
      </c>
      <c r="E987" s="3" t="s">
        <v>2577</v>
      </c>
      <c r="F987" s="3" t="s">
        <v>2578</v>
      </c>
      <c r="G987" s="3" t="str">
        <f>IFERROR(__xludf.DUMMYFUNCTION("GOOGLETRANSLATE(D987,""fr"",""es"")"),"abandonar")</f>
        <v>abandonar</v>
      </c>
    </row>
    <row r="988">
      <c r="A988" s="3">
        <v>966.0</v>
      </c>
      <c r="B988" s="3" t="s">
        <v>189</v>
      </c>
      <c r="C988" s="3" t="s">
        <v>190</v>
      </c>
      <c r="D988" s="3" t="s">
        <v>2684</v>
      </c>
      <c r="E988" s="3" t="s">
        <v>2541</v>
      </c>
      <c r="F988" s="3" t="s">
        <v>2540</v>
      </c>
      <c r="G988" s="3" t="str">
        <f>IFERROR(__xludf.DUMMYFUNCTION("GOOGLETRANSLATE(D988,""fr"",""es"")"),"Leche")</f>
        <v>Leche</v>
      </c>
      <c r="H988" s="3" t="s">
        <v>2685</v>
      </c>
      <c r="I988" s="3" t="s">
        <v>2685</v>
      </c>
      <c r="J988" s="3" t="s">
        <v>2685</v>
      </c>
      <c r="K988" s="3" t="s">
        <v>2685</v>
      </c>
      <c r="L988" s="3" t="s">
        <v>2685</v>
      </c>
      <c r="M988" s="3" t="s">
        <v>2685</v>
      </c>
      <c r="N988" s="3" t="s">
        <v>2686</v>
      </c>
      <c r="O988" s="3" t="s">
        <v>2687</v>
      </c>
    </row>
    <row r="989">
      <c r="A989" s="3">
        <v>967.0</v>
      </c>
      <c r="B989" s="3" t="s">
        <v>189</v>
      </c>
      <c r="C989" s="3" t="s">
        <v>190</v>
      </c>
      <c r="D989" s="3" t="s">
        <v>2688</v>
      </c>
      <c r="E989" s="3" t="s">
        <v>2541</v>
      </c>
      <c r="F989" s="3" t="s">
        <v>2540</v>
      </c>
      <c r="G989" s="3" t="str">
        <f>IFERROR(__xludf.DUMMYFUNCTION("GOOGLETRANSLATE(D989,""fr"",""es"")"),"lápiz")</f>
        <v>lápiz</v>
      </c>
    </row>
    <row r="990">
      <c r="A990" s="3">
        <v>968.0</v>
      </c>
      <c r="B990" s="3" t="s">
        <v>189</v>
      </c>
      <c r="C990" s="3" t="s">
        <v>190</v>
      </c>
      <c r="D990" s="3" t="s">
        <v>2689</v>
      </c>
      <c r="E990" s="3" t="s">
        <v>2690</v>
      </c>
      <c r="F990" s="3" t="s">
        <v>2691</v>
      </c>
      <c r="G990" s="3" t="str">
        <f>IFERROR(__xludf.DUMMYFUNCTION("GOOGLETRANSLATE(D990,""fr"",""es"")"),"espada")</f>
        <v>espada</v>
      </c>
      <c r="H990" s="3" t="s">
        <v>2692</v>
      </c>
      <c r="I990" s="3" t="s">
        <v>2693</v>
      </c>
      <c r="J990" s="3" t="s">
        <v>2694</v>
      </c>
      <c r="K990" s="3" t="s">
        <v>2692</v>
      </c>
      <c r="L990" s="3" t="s">
        <v>2695</v>
      </c>
    </row>
    <row r="991">
      <c r="A991" s="3">
        <v>969.0</v>
      </c>
      <c r="B991" s="3" t="s">
        <v>189</v>
      </c>
      <c r="C991" s="3" t="s">
        <v>190</v>
      </c>
      <c r="D991" s="3" t="s">
        <v>2696</v>
      </c>
      <c r="E991" s="3" t="s">
        <v>2697</v>
      </c>
      <c r="F991" s="3" t="s">
        <v>2698</v>
      </c>
      <c r="G991" s="3" t="str">
        <f>IFERROR(__xludf.DUMMYFUNCTION("GOOGLETRANSLATE(D991,""fr"",""es"")"),"lámina")</f>
        <v>lámina</v>
      </c>
      <c r="H991" s="3" t="s">
        <v>2699</v>
      </c>
      <c r="I991" s="3" t="s">
        <v>2700</v>
      </c>
    </row>
    <row r="992">
      <c r="A992" s="3">
        <v>970.0</v>
      </c>
      <c r="B992" s="3" t="s">
        <v>189</v>
      </c>
      <c r="C992" s="3" t="s">
        <v>190</v>
      </c>
      <c r="D992" s="3" t="s">
        <v>2701</v>
      </c>
      <c r="E992" s="3" t="s">
        <v>2697</v>
      </c>
      <c r="F992" s="3" t="s">
        <v>2698</v>
      </c>
      <c r="G992" s="3" t="str">
        <f>IFERROR(__xludf.DUMMYFUNCTION("GOOGLETRANSLATE(D992,""fr"",""es"")"),"láminas")</f>
        <v>láminas</v>
      </c>
    </row>
    <row r="993">
      <c r="A993" s="3">
        <v>971.0</v>
      </c>
      <c r="B993" s="3" t="s">
        <v>189</v>
      </c>
      <c r="C993" s="3" t="s">
        <v>190</v>
      </c>
      <c r="D993" s="3" t="s">
        <v>2702</v>
      </c>
      <c r="E993" s="3" t="s">
        <v>2690</v>
      </c>
      <c r="F993" s="3" t="s">
        <v>2691</v>
      </c>
      <c r="G993" s="3" t="str">
        <f>IFERROR(__xludf.DUMMYFUNCTION("GOOGLETRANSLATE(D993,""fr"",""es"")"),"cuchillas")</f>
        <v>cuchillas</v>
      </c>
    </row>
    <row r="994">
      <c r="A994" s="3">
        <v>972.0</v>
      </c>
      <c r="B994" s="3" t="s">
        <v>189</v>
      </c>
      <c r="C994" s="3" t="s">
        <v>190</v>
      </c>
      <c r="D994" s="3" t="s">
        <v>2703</v>
      </c>
      <c r="E994" s="3" t="s">
        <v>2704</v>
      </c>
      <c r="F994" s="3" t="s">
        <v>2695</v>
      </c>
      <c r="G994" s="3" t="str">
        <f>IFERROR(__xludf.DUMMYFUNCTION("GOOGLETRANSLATE(D994,""fr"",""es"")"),"lámina")</f>
        <v>lámina</v>
      </c>
    </row>
    <row r="995">
      <c r="A995" s="3">
        <v>973.0</v>
      </c>
      <c r="B995" s="3" t="s">
        <v>189</v>
      </c>
      <c r="C995" s="3" t="s">
        <v>190</v>
      </c>
      <c r="D995" s="3" t="s">
        <v>2705</v>
      </c>
      <c r="E995" s="3" t="s">
        <v>2704</v>
      </c>
      <c r="F995" s="3" t="s">
        <v>2695</v>
      </c>
      <c r="G995" s="3" t="str">
        <f>IFERROR(__xludf.DUMMYFUNCTION("GOOGLETRANSLATE(D995,""fr"",""es"")"),"laminado")</f>
        <v>laminado</v>
      </c>
    </row>
    <row r="996">
      <c r="A996" s="3">
        <v>974.0</v>
      </c>
      <c r="B996" s="3" t="s">
        <v>189</v>
      </c>
      <c r="C996" s="3" t="s">
        <v>190</v>
      </c>
      <c r="D996" s="3" t="s">
        <v>2706</v>
      </c>
      <c r="E996" s="3" t="s">
        <v>2704</v>
      </c>
      <c r="F996" s="3" t="s">
        <v>2695</v>
      </c>
      <c r="G996" s="3" t="str">
        <f>IFERROR(__xludf.DUMMYFUNCTION("GOOGLETRANSLATE(D996,""fr"",""es"")"),"lámina")</f>
        <v>lámina</v>
      </c>
    </row>
    <row r="997">
      <c r="A997" s="3">
        <v>975.0</v>
      </c>
      <c r="B997" s="3" t="s">
        <v>189</v>
      </c>
      <c r="C997" s="3" t="s">
        <v>190</v>
      </c>
      <c r="D997" s="3" t="s">
        <v>2707</v>
      </c>
      <c r="E997" s="3" t="s">
        <v>2704</v>
      </c>
      <c r="F997" s="3" t="s">
        <v>2695</v>
      </c>
      <c r="G997" s="3" t="str">
        <f>IFERROR(__xludf.DUMMYFUNCTION("GOOGLETRANSLATE(D997,""fr"",""es"")"),"laminado")</f>
        <v>laminado</v>
      </c>
    </row>
    <row r="998">
      <c r="A998" s="3">
        <v>976.0</v>
      </c>
      <c r="B998" s="3" t="s">
        <v>189</v>
      </c>
      <c r="C998" s="3" t="s">
        <v>190</v>
      </c>
      <c r="D998" s="3" t="s">
        <v>2708</v>
      </c>
      <c r="E998" s="3" t="s">
        <v>2709</v>
      </c>
      <c r="F998" s="3" t="s">
        <v>2710</v>
      </c>
      <c r="G998" s="3" t="str">
        <f>IFERROR(__xludf.DUMMYFUNCTION("GOOGLETRANSLATE(D998,""fr"",""es"")"),"laminado")</f>
        <v>laminado</v>
      </c>
    </row>
    <row r="999">
      <c r="A999" s="3">
        <v>977.0</v>
      </c>
      <c r="B999" s="3" t="s">
        <v>189</v>
      </c>
      <c r="C999" s="3" t="s">
        <v>190</v>
      </c>
      <c r="D999" s="3" t="s">
        <v>2711</v>
      </c>
      <c r="E999" s="3" t="s">
        <v>2712</v>
      </c>
      <c r="F999" s="3" t="s">
        <v>2713</v>
      </c>
      <c r="G999" s="3" t="str">
        <f>IFERROR(__xludf.DUMMYFUNCTION("GOOGLETRANSLATE(D999,""fr"",""es"")"),"laminaciónesidad")</f>
        <v>laminaciónesidad</v>
      </c>
    </row>
    <row r="1000">
      <c r="A1000" s="3">
        <v>978.0</v>
      </c>
      <c r="B1000" s="3" t="s">
        <v>189</v>
      </c>
      <c r="C1000" s="3" t="s">
        <v>190</v>
      </c>
      <c r="D1000" s="3" t="s">
        <v>2714</v>
      </c>
      <c r="E1000" s="3" t="s">
        <v>2712</v>
      </c>
      <c r="F1000" s="3" t="s">
        <v>2713</v>
      </c>
      <c r="G1000" s="3" t="str">
        <f>IFERROR(__xludf.DUMMYFUNCTION("GOOGLETRANSLATE(D1000,""fr"",""es"")"),"laminasse")</f>
        <v>laminasse</v>
      </c>
    </row>
    <row r="1001">
      <c r="A1001" s="3">
        <v>979.0</v>
      </c>
      <c r="B1001" s="3" t="s">
        <v>189</v>
      </c>
      <c r="C1001" s="3" t="s">
        <v>190</v>
      </c>
      <c r="D1001" s="3" t="s">
        <v>2715</v>
      </c>
      <c r="E1001" s="3" t="s">
        <v>2712</v>
      </c>
      <c r="F1001" s="3" t="s">
        <v>2713</v>
      </c>
      <c r="G1001" s="3" t="str">
        <f>IFERROR(__xludf.DUMMYFUNCTION("GOOGLETRANSLATE(D1001,""fr"",""es"")"),"laminaciones")</f>
        <v>laminaciones</v>
      </c>
    </row>
    <row r="1002">
      <c r="A1002" s="3">
        <v>980.0</v>
      </c>
      <c r="B1002" s="3" t="s">
        <v>189</v>
      </c>
      <c r="C1002" s="3" t="s">
        <v>190</v>
      </c>
      <c r="D1002" s="3" t="s">
        <v>2716</v>
      </c>
      <c r="E1002" s="3" t="s">
        <v>2717</v>
      </c>
      <c r="F1002" s="3" t="s">
        <v>2718</v>
      </c>
      <c r="G1002" s="3" t="str">
        <f>IFERROR(__xludf.DUMMYFUNCTION("GOOGLETRANSLATE(D1002,""fr"",""es"")"),"la mina")</f>
        <v>la mina</v>
      </c>
    </row>
    <row r="1003">
      <c r="A1003" s="3">
        <v>981.0</v>
      </c>
      <c r="B1003" s="3" t="s">
        <v>189</v>
      </c>
      <c r="C1003" s="3" t="s">
        <v>190</v>
      </c>
      <c r="D1003" s="3" t="s">
        <v>2719</v>
      </c>
      <c r="E1003" s="3" t="s">
        <v>2717</v>
      </c>
      <c r="F1003" s="3" t="s">
        <v>2718</v>
      </c>
      <c r="G1003" s="3" t="str">
        <f>IFERROR(__xludf.DUMMYFUNCTION("GOOGLETRANSLATE(D1003,""fr"",""es"")"),"laminente")</f>
        <v>laminente</v>
      </c>
    </row>
    <row r="1004">
      <c r="A1004" s="3">
        <v>982.0</v>
      </c>
      <c r="B1004" s="3" t="s">
        <v>189</v>
      </c>
      <c r="C1004" s="3" t="s">
        <v>190</v>
      </c>
      <c r="D1004" s="3" t="s">
        <v>2720</v>
      </c>
      <c r="E1004" s="3" t="s">
        <v>2717</v>
      </c>
      <c r="F1004" s="3" t="s">
        <v>2718</v>
      </c>
      <c r="G1004" s="3" t="str">
        <f>IFERROR(__xludf.DUMMYFUNCTION("GOOGLETRANSLATE(D1004,""fr"",""es"")"),"lámina")</f>
        <v>lámina</v>
      </c>
    </row>
    <row r="1005">
      <c r="A1005" s="3">
        <v>983.0</v>
      </c>
      <c r="B1005" s="3" t="s">
        <v>189</v>
      </c>
      <c r="C1005" s="3" t="s">
        <v>190</v>
      </c>
      <c r="D1005" s="3" t="s">
        <v>2721</v>
      </c>
      <c r="E1005" s="3" t="s">
        <v>2722</v>
      </c>
      <c r="F1005" s="3" t="s">
        <v>2723</v>
      </c>
      <c r="G1005" s="3" t="str">
        <f>IFERROR(__xludf.DUMMYFUNCTION("GOOGLETRANSLATE(D1005,""fr"",""es"")"),"lapái")</f>
        <v>lapái</v>
      </c>
    </row>
    <row r="1006">
      <c r="A1006" s="3">
        <v>984.0</v>
      </c>
      <c r="B1006" s="3" t="s">
        <v>189</v>
      </c>
      <c r="C1006" s="3" t="s">
        <v>190</v>
      </c>
      <c r="D1006" s="3" t="s">
        <v>2724</v>
      </c>
      <c r="E1006" s="3" t="s">
        <v>2722</v>
      </c>
      <c r="F1006" s="3" t="s">
        <v>2723</v>
      </c>
      <c r="G1006" s="3" t="str">
        <f>IFERROR(__xludf.DUMMYFUNCTION("GOOGLETRANSLATE(D1006,""fr"",""es"")"),"lás")</f>
        <v>lás</v>
      </c>
    </row>
    <row r="1007">
      <c r="A1007" s="3">
        <v>985.0</v>
      </c>
      <c r="B1007" s="3" t="s">
        <v>189</v>
      </c>
      <c r="C1007" s="3" t="s">
        <v>190</v>
      </c>
      <c r="D1007" s="3" t="s">
        <v>2725</v>
      </c>
      <c r="E1007" s="3" t="s">
        <v>2722</v>
      </c>
      <c r="F1007" s="3" t="s">
        <v>2723</v>
      </c>
      <c r="G1007" s="3" t="str">
        <f>IFERROR(__xludf.DUMMYFUNCTION("GOOGLETRANSLATE(D1007,""fr"",""es"")"),"lapais")</f>
        <v>lapais</v>
      </c>
    </row>
    <row r="1008">
      <c r="A1008" s="3">
        <v>986.0</v>
      </c>
      <c r="B1008" s="3" t="s">
        <v>189</v>
      </c>
      <c r="C1008" s="3" t="s">
        <v>190</v>
      </c>
      <c r="D1008" s="3" t="s">
        <v>2726</v>
      </c>
      <c r="E1008" s="3" t="s">
        <v>2722</v>
      </c>
      <c r="F1008" s="3" t="s">
        <v>2723</v>
      </c>
      <c r="G1008" s="3" t="str">
        <f>IFERROR(__xludf.DUMMYFUNCTION("GOOGLETRANSLATE(D1008,""fr"",""es"")"),"lapas")</f>
        <v>lapas</v>
      </c>
    </row>
    <row r="1009">
      <c r="A1009" s="3">
        <v>987.0</v>
      </c>
      <c r="B1009" s="3" t="s">
        <v>189</v>
      </c>
      <c r="C1009" s="3" t="s">
        <v>190</v>
      </c>
      <c r="D1009" s="3" t="s">
        <v>2727</v>
      </c>
      <c r="E1009" s="3" t="s">
        <v>2728</v>
      </c>
      <c r="F1009" s="3" t="s">
        <v>2729</v>
      </c>
      <c r="G1009" s="3" t="str">
        <f>IFERROR(__xludf.DUMMYFUNCTION("GOOGLETRANSLATE(D1009,""fr"",""es"")"),"lóbulo")</f>
        <v>lóbulo</v>
      </c>
    </row>
    <row r="1010">
      <c r="A1010" s="3">
        <v>988.0</v>
      </c>
      <c r="B1010" s="3" t="s">
        <v>189</v>
      </c>
      <c r="C1010" s="3" t="s">
        <v>190</v>
      </c>
      <c r="D1010" s="3" t="s">
        <v>2730</v>
      </c>
      <c r="E1010" s="3" t="s">
        <v>2731</v>
      </c>
      <c r="F1010" s="3" t="s">
        <v>2732</v>
      </c>
      <c r="G1010" s="3" t="str">
        <f>IFERROR(__xludf.DUMMYFUNCTION("GOOGLETRANSLATE(D1010,""fr"",""es"")"),"El permiso")</f>
        <v>El permiso</v>
      </c>
    </row>
    <row r="1011">
      <c r="A1011" s="3">
        <v>989.0</v>
      </c>
      <c r="B1011" s="3" t="s">
        <v>189</v>
      </c>
      <c r="C1011" s="3" t="s">
        <v>190</v>
      </c>
      <c r="D1011" s="3" t="s">
        <v>2733</v>
      </c>
      <c r="E1011" s="3" t="s">
        <v>2731</v>
      </c>
      <c r="F1011" s="3" t="s">
        <v>2732</v>
      </c>
      <c r="G1011" s="3" t="str">
        <f>IFERROR(__xludf.DUMMYFUNCTION("GOOGLETRANSLATE(D1011,""fr"",""es"")"),"lapasé")</f>
        <v>lapasé</v>
      </c>
    </row>
    <row r="1012">
      <c r="A1012" s="3">
        <v>990.0</v>
      </c>
      <c r="B1012" s="3" t="s">
        <v>189</v>
      </c>
      <c r="C1012" s="3" t="s">
        <v>190</v>
      </c>
      <c r="D1012" s="3" t="s">
        <v>2734</v>
      </c>
      <c r="E1012" s="3" t="s">
        <v>2731</v>
      </c>
      <c r="F1012" s="3" t="s">
        <v>2732</v>
      </c>
      <c r="G1012" s="3" t="str">
        <f>IFERROR(__xludf.DUMMYFUNCTION("GOOGLETRANSLATE(D1012,""fr"",""es"")"),"lapasses")</f>
        <v>lapasses</v>
      </c>
    </row>
    <row r="1013">
      <c r="A1013" s="3">
        <v>991.0</v>
      </c>
      <c r="B1013" s="3" t="s">
        <v>189</v>
      </c>
      <c r="C1013" s="3" t="s">
        <v>190</v>
      </c>
      <c r="D1013" s="3" t="s">
        <v>2735</v>
      </c>
      <c r="E1013" s="3" t="s">
        <v>2736</v>
      </c>
      <c r="F1013" s="3" t="s">
        <v>2737</v>
      </c>
      <c r="G1013" s="3" t="str">
        <f>IFERROR(__xludf.DUMMYFUNCTION("GOOGLETRANSLATE(D1013,""fr"",""es"")"),"atar")</f>
        <v>atar</v>
      </c>
    </row>
    <row r="1014">
      <c r="A1014" s="3">
        <v>992.0</v>
      </c>
      <c r="B1014" s="3" t="s">
        <v>189</v>
      </c>
      <c r="C1014" s="3" t="s">
        <v>190</v>
      </c>
      <c r="D1014" s="3" t="s">
        <v>2738</v>
      </c>
      <c r="E1014" s="3" t="s">
        <v>2736</v>
      </c>
      <c r="F1014" s="3" t="s">
        <v>2737</v>
      </c>
      <c r="G1014" s="3" t="str">
        <f>IFERROR(__xludf.DUMMYFUNCTION("GOOGLETRANSLATE(D1014,""fr"",""es"")"),"lapent")</f>
        <v>lapent</v>
      </c>
    </row>
    <row r="1015">
      <c r="A1015" s="3">
        <v>993.0</v>
      </c>
      <c r="B1015" s="3" t="s">
        <v>189</v>
      </c>
      <c r="C1015" s="3" t="s">
        <v>190</v>
      </c>
      <c r="D1015" s="3" t="s">
        <v>2739</v>
      </c>
      <c r="E1015" s="3" t="s">
        <v>2736</v>
      </c>
      <c r="F1015" s="3" t="s">
        <v>2737</v>
      </c>
      <c r="G1015" s="3" t="str">
        <f>IFERROR(__xludf.DUMMYFUNCTION("GOOGLETRANSLATE(D1015,""fr"",""es"")"),"lapas")</f>
        <v>lapas</v>
      </c>
    </row>
    <row r="1016">
      <c r="A1016" s="3">
        <v>994.0</v>
      </c>
      <c r="B1016" s="3" t="s">
        <v>189</v>
      </c>
      <c r="C1016" s="3" t="s">
        <v>190</v>
      </c>
      <c r="D1016" s="3" t="s">
        <v>2740</v>
      </c>
      <c r="E1016" s="3" t="s">
        <v>2741</v>
      </c>
      <c r="F1016" s="3" t="s">
        <v>2742</v>
      </c>
      <c r="G1016" s="3" t="str">
        <f>IFERROR(__xludf.DUMMYFUNCTION("GOOGLETRANSLATE(D1016,""fr"",""es"")"),"Lapinai")</f>
        <v>Lapinai</v>
      </c>
    </row>
    <row r="1017">
      <c r="A1017" s="3">
        <v>995.0</v>
      </c>
      <c r="B1017" s="3" t="s">
        <v>189</v>
      </c>
      <c r="C1017" s="3" t="s">
        <v>190</v>
      </c>
      <c r="D1017" s="3" t="s">
        <v>2743</v>
      </c>
      <c r="E1017" s="3" t="s">
        <v>2741</v>
      </c>
      <c r="F1017" s="3" t="s">
        <v>2742</v>
      </c>
      <c r="G1017" s="3" t="str">
        <f>IFERROR(__xludf.DUMMYFUNCTION("GOOGLETRANSLATE(D1017,""fr"",""es"")"),"lapinado")</f>
        <v>lapinado</v>
      </c>
    </row>
    <row r="1018">
      <c r="A1018" s="3">
        <v>996.0</v>
      </c>
      <c r="B1018" s="3" t="s">
        <v>189</v>
      </c>
      <c r="C1018" s="3" t="s">
        <v>190</v>
      </c>
      <c r="D1018" s="3" t="s">
        <v>2744</v>
      </c>
      <c r="E1018" s="3" t="s">
        <v>2741</v>
      </c>
      <c r="F1018" s="3" t="s">
        <v>2742</v>
      </c>
      <c r="G1018" s="3" t="str">
        <f>IFERROR(__xludf.DUMMYFUNCTION("GOOGLETRANSLATE(D1018,""fr"",""es"")"),"Lapina")</f>
        <v>Lapina</v>
      </c>
    </row>
    <row r="1019">
      <c r="A1019" s="3">
        <v>997.0</v>
      </c>
      <c r="B1019" s="3" t="s">
        <v>189</v>
      </c>
      <c r="C1019" s="3" t="s">
        <v>190</v>
      </c>
      <c r="D1019" s="3" t="s">
        <v>2745</v>
      </c>
      <c r="E1019" s="3" t="s">
        <v>2741</v>
      </c>
      <c r="F1019" s="3" t="s">
        <v>2742</v>
      </c>
      <c r="G1019" s="3" t="str">
        <f>IFERROR(__xludf.DUMMYFUNCTION("GOOGLETRANSLATE(D1019,""fr"",""es"")"),"fusil")</f>
        <v>fusil</v>
      </c>
    </row>
    <row r="1020">
      <c r="A1020" s="3">
        <v>998.0</v>
      </c>
      <c r="B1020" s="3" t="s">
        <v>189</v>
      </c>
      <c r="C1020" s="3" t="s">
        <v>190</v>
      </c>
      <c r="D1020" s="3" t="s">
        <v>2746</v>
      </c>
      <c r="E1020" s="3" t="s">
        <v>2747</v>
      </c>
      <c r="F1020" s="3" t="s">
        <v>2748</v>
      </c>
      <c r="G1020" s="3" t="str">
        <f>IFERROR(__xludf.DUMMYFUNCTION("GOOGLETRANSLATE(D1020,""fr"",""es"")"),"Conejo")</f>
        <v>Conejo</v>
      </c>
    </row>
    <row r="1021">
      <c r="A1021" s="3">
        <v>999.0</v>
      </c>
      <c r="B1021" s="3" t="s">
        <v>189</v>
      </c>
      <c r="C1021" s="3" t="s">
        <v>190</v>
      </c>
      <c r="D1021" s="3" t="s">
        <v>2749</v>
      </c>
      <c r="E1021" s="3" t="s">
        <v>2750</v>
      </c>
      <c r="F1021" s="3" t="s">
        <v>2751</v>
      </c>
      <c r="G1021" s="3" t="str">
        <f>IFERROR(__xludf.DUMMYFUNCTION("GOOGLETRANSLATE(D1021,""fr"",""es"")"),"lapinasa")</f>
        <v>lapinasa</v>
      </c>
    </row>
    <row r="1022">
      <c r="A1022" s="3">
        <v>1000.0</v>
      </c>
      <c r="B1022" s="3" t="s">
        <v>189</v>
      </c>
      <c r="C1022" s="3" t="s">
        <v>190</v>
      </c>
      <c r="D1022" s="3" t="s">
        <v>2752</v>
      </c>
      <c r="E1022" s="3" t="s">
        <v>2750</v>
      </c>
      <c r="F1022" s="3" t="s">
        <v>2751</v>
      </c>
      <c r="G1022" s="3" t="str">
        <f>IFERROR(__xludf.DUMMYFUNCTION("GOOGLETRANSLATE(D1022,""fr"",""es"")"),"lapinasa")</f>
        <v>lapinasa</v>
      </c>
    </row>
    <row r="1023">
      <c r="A1023" s="3">
        <v>1001.0</v>
      </c>
      <c r="B1023" s="3" t="s">
        <v>189</v>
      </c>
      <c r="C1023" s="3" t="s">
        <v>190</v>
      </c>
      <c r="D1023" s="3" t="s">
        <v>2753</v>
      </c>
      <c r="E1023" s="3" t="s">
        <v>2750</v>
      </c>
      <c r="F1023" s="3" t="s">
        <v>2751</v>
      </c>
      <c r="G1023" s="3" t="str">
        <f>IFERROR(__xludf.DUMMYFUNCTION("GOOGLETRANSLATE(D1023,""fr"",""es"")"),"lapinasa")</f>
        <v>lapinasa</v>
      </c>
    </row>
    <row r="1024">
      <c r="A1024" s="3">
        <v>1002.0</v>
      </c>
      <c r="B1024" s="3" t="s">
        <v>189</v>
      </c>
      <c r="C1024" s="3" t="s">
        <v>190</v>
      </c>
      <c r="D1024" s="3" t="s">
        <v>2754</v>
      </c>
      <c r="E1024" s="3" t="s">
        <v>2755</v>
      </c>
      <c r="F1024" s="3" t="s">
        <v>2756</v>
      </c>
      <c r="G1024" s="3" t="str">
        <f>IFERROR(__xludf.DUMMYFUNCTION("GOOGLETRANSLATE(D1024,""fr"",""es"")"),"Conejo")</f>
        <v>Conejo</v>
      </c>
      <c r="H1024" s="3" t="s">
        <v>2757</v>
      </c>
    </row>
    <row r="1025">
      <c r="A1025" s="3">
        <v>1003.0</v>
      </c>
      <c r="B1025" s="3" t="s">
        <v>189</v>
      </c>
      <c r="C1025" s="3" t="s">
        <v>190</v>
      </c>
      <c r="D1025" s="3" t="s">
        <v>2758</v>
      </c>
      <c r="E1025" s="3" t="s">
        <v>2755</v>
      </c>
      <c r="F1025" s="3" t="s">
        <v>2756</v>
      </c>
      <c r="G1025" s="3" t="str">
        <f>IFERROR(__xludf.DUMMYFUNCTION("GOOGLETRANSLATE(D1025,""fr"",""es"")"),"lúpito")</f>
        <v>lúpito</v>
      </c>
    </row>
    <row r="1026">
      <c r="A1026" s="3">
        <v>1004.0</v>
      </c>
      <c r="B1026" s="3" t="s">
        <v>189</v>
      </c>
      <c r="C1026" s="3" t="s">
        <v>190</v>
      </c>
      <c r="D1026" s="3" t="s">
        <v>2759</v>
      </c>
      <c r="E1026" s="3" t="s">
        <v>2755</v>
      </c>
      <c r="F1026" s="3" t="s">
        <v>2756</v>
      </c>
      <c r="G1026" s="3" t="str">
        <f>IFERROR(__xludf.DUMMYFUNCTION("GOOGLETRANSLATE(D1026,""fr"",""es"")"),"conejos")</f>
        <v>conejos</v>
      </c>
    </row>
    <row r="1027">
      <c r="A1027" s="3">
        <v>1005.0</v>
      </c>
      <c r="B1027" s="3" t="s">
        <v>189</v>
      </c>
      <c r="C1027" s="3" t="s">
        <v>190</v>
      </c>
      <c r="D1027" s="3" t="s">
        <v>2760</v>
      </c>
      <c r="E1027" s="3" t="s">
        <v>2761</v>
      </c>
      <c r="F1027" s="3" t="s">
        <v>2760</v>
      </c>
      <c r="G1027" s="3" t="str">
        <f>IFERROR(__xludf.DUMMYFUNCTION("GOOGLETRANSLATE(D1027,""fr"",""es"")"),"lapis")</f>
        <v>lapis</v>
      </c>
    </row>
    <row r="1028">
      <c r="A1028" s="3">
        <v>1006.0</v>
      </c>
      <c r="B1028" s="3" t="s">
        <v>189</v>
      </c>
      <c r="C1028" s="3" t="s">
        <v>190</v>
      </c>
      <c r="D1028" s="3" t="s">
        <v>2762</v>
      </c>
      <c r="E1028" s="3" t="s">
        <v>2763</v>
      </c>
      <c r="F1028" s="3" t="s">
        <v>2764</v>
      </c>
      <c r="G1028" s="3" t="str">
        <f>IFERROR(__xludf.DUMMYFUNCTION("GOOGLETRANSLATE(D1028,""fr"",""es"")"),"el puerto")</f>
        <v>el puerto</v>
      </c>
    </row>
    <row r="1029">
      <c r="A1029" s="3">
        <v>1007.0</v>
      </c>
      <c r="B1029" s="3" t="s">
        <v>189</v>
      </c>
      <c r="C1029" s="3" t="s">
        <v>190</v>
      </c>
      <c r="D1029" s="3" t="s">
        <v>2765</v>
      </c>
      <c r="E1029" s="3" t="s">
        <v>2763</v>
      </c>
      <c r="F1029" s="3" t="s">
        <v>2764</v>
      </c>
      <c r="G1029" s="3" t="str">
        <f>IFERROR(__xludf.DUMMYFUNCTION("GOOGLETRANSLATE(D1029,""fr"",""es"")"),"carecía de")</f>
        <v>carecía de</v>
      </c>
    </row>
    <row r="1030">
      <c r="A1030" s="3">
        <v>1008.0</v>
      </c>
      <c r="B1030" s="3" t="s">
        <v>189</v>
      </c>
      <c r="C1030" s="3" t="s">
        <v>190</v>
      </c>
      <c r="D1030" s="3" t="s">
        <v>2766</v>
      </c>
      <c r="E1030" s="3" t="s">
        <v>2763</v>
      </c>
      <c r="F1030" s="3" t="s">
        <v>2764</v>
      </c>
      <c r="G1030" s="3" t="str">
        <f>IFERROR(__xludf.DUMMYFUNCTION("GOOGLETRANSLATE(D1030,""fr"",""es"")"),"lacayo")</f>
        <v>lacayo</v>
      </c>
    </row>
    <row r="1031">
      <c r="A1031" s="3">
        <v>1009.0</v>
      </c>
      <c r="B1031" s="3" t="s">
        <v>189</v>
      </c>
      <c r="C1031" s="3" t="s">
        <v>190</v>
      </c>
      <c r="D1031" s="3" t="s">
        <v>2767</v>
      </c>
      <c r="E1031" s="3" t="s">
        <v>2763</v>
      </c>
      <c r="F1031" s="3" t="s">
        <v>2764</v>
      </c>
      <c r="G1031" s="3" t="str">
        <f>IFERROR(__xludf.DUMMYFUNCTION("GOOGLETRANSLATE(D1031,""fr"",""es"")"),"laca")</f>
        <v>laca</v>
      </c>
    </row>
    <row r="1032">
      <c r="A1032" s="3">
        <v>1010.0</v>
      </c>
      <c r="B1032" s="3" t="s">
        <v>189</v>
      </c>
      <c r="C1032" s="3" t="s">
        <v>190</v>
      </c>
      <c r="D1032" s="3" t="s">
        <v>2768</v>
      </c>
      <c r="E1032" s="3" t="s">
        <v>2769</v>
      </c>
      <c r="F1032" s="3" t="s">
        <v>2770</v>
      </c>
      <c r="G1032" s="3" t="str">
        <f>IFERROR(__xludf.DUMMYFUNCTION("GOOGLETRANSLATE(D1032,""fr"",""es"")"),"laca")</f>
        <v>laca</v>
      </c>
    </row>
    <row r="1033">
      <c r="A1033" s="3">
        <v>1011.0</v>
      </c>
      <c r="B1033" s="3" t="s">
        <v>189</v>
      </c>
      <c r="C1033" s="3" t="s">
        <v>190</v>
      </c>
      <c r="D1033" s="3" t="s">
        <v>2771</v>
      </c>
      <c r="E1033" s="3" t="s">
        <v>2772</v>
      </c>
      <c r="F1033" s="3" t="s">
        <v>2773</v>
      </c>
      <c r="G1033" s="3" t="str">
        <f>IFERROR(__xludf.DUMMYFUNCTION("GOOGLETRANSLATE(D1033,""fr"",""es"")"),"Laquasse")</f>
        <v>Laquasse</v>
      </c>
    </row>
    <row r="1034">
      <c r="A1034" s="3">
        <v>1012.0</v>
      </c>
      <c r="B1034" s="3" t="s">
        <v>189</v>
      </c>
      <c r="C1034" s="3" t="s">
        <v>190</v>
      </c>
      <c r="D1034" s="3" t="s">
        <v>2774</v>
      </c>
      <c r="E1034" s="3" t="s">
        <v>2772</v>
      </c>
      <c r="F1034" s="3" t="s">
        <v>2773</v>
      </c>
      <c r="G1034" s="3" t="str">
        <f>IFERROR(__xludf.DUMMYFUNCTION("GOOGLETRANSLATE(D1034,""fr"",""es"")"),"laca")</f>
        <v>laca</v>
      </c>
    </row>
    <row r="1035">
      <c r="A1035" s="3">
        <v>1013.0</v>
      </c>
      <c r="B1035" s="3" t="s">
        <v>189</v>
      </c>
      <c r="C1035" s="3" t="s">
        <v>190</v>
      </c>
      <c r="D1035" s="3" t="s">
        <v>2775</v>
      </c>
      <c r="E1035" s="3" t="s">
        <v>2772</v>
      </c>
      <c r="F1035" s="3" t="s">
        <v>2773</v>
      </c>
      <c r="G1035" s="3" t="str">
        <f>IFERROR(__xludf.DUMMYFUNCTION("GOOGLETRANSLATE(D1035,""fr"",""es"")"),"laquásica")</f>
        <v>laquásica</v>
      </c>
    </row>
    <row r="1036">
      <c r="A1036" s="3">
        <v>1014.0</v>
      </c>
      <c r="B1036" s="3" t="s">
        <v>189</v>
      </c>
      <c r="C1036" s="3" t="s">
        <v>190</v>
      </c>
      <c r="D1036" s="3" t="s">
        <v>2776</v>
      </c>
      <c r="E1036" s="3" t="s">
        <v>2555</v>
      </c>
      <c r="F1036" s="3" t="s">
        <v>2556</v>
      </c>
      <c r="G1036" s="3" t="str">
        <f>IFERROR(__xludf.DUMMYFUNCTION("GOOGLETRANSLATE(D1036,""fr"",""es"")"),"barniz")</f>
        <v>barniz</v>
      </c>
      <c r="H1036" s="3" t="s">
        <v>2777</v>
      </c>
      <c r="I1036" s="3" t="s">
        <v>2778</v>
      </c>
      <c r="J1036" s="3" t="s">
        <v>2779</v>
      </c>
      <c r="K1036" s="3" t="s">
        <v>2557</v>
      </c>
      <c r="L1036" s="3" t="s">
        <v>2554</v>
      </c>
      <c r="M1036" s="3" t="s">
        <v>2780</v>
      </c>
    </row>
    <row r="1037">
      <c r="A1037" s="3">
        <v>1015.0</v>
      </c>
      <c r="B1037" s="3" t="s">
        <v>189</v>
      </c>
      <c r="C1037" s="3" t="s">
        <v>190</v>
      </c>
      <c r="D1037" s="3" t="s">
        <v>2781</v>
      </c>
      <c r="E1037" s="3" t="s">
        <v>2782</v>
      </c>
      <c r="F1037" s="3" t="s">
        <v>2783</v>
      </c>
      <c r="G1037" s="3" t="str">
        <f>IFERROR(__xludf.DUMMYFUNCTION("GOOGLETRANSLATE(D1037,""fr"",""es"")"),"cuál")</f>
        <v>cuál</v>
      </c>
    </row>
    <row r="1038">
      <c r="A1038" s="3">
        <v>1016.0</v>
      </c>
      <c r="B1038" s="3" t="s">
        <v>189</v>
      </c>
      <c r="C1038" s="3" t="s">
        <v>190</v>
      </c>
      <c r="D1038" s="3" t="s">
        <v>2784</v>
      </c>
      <c r="E1038" s="3" t="s">
        <v>2555</v>
      </c>
      <c r="F1038" s="3" t="s">
        <v>2556</v>
      </c>
      <c r="G1038" s="3" t="str">
        <f>IFERROR(__xludf.DUMMYFUNCTION("GOOGLETRANSLATE(D1038,""fr"",""es"")"),"barniz")</f>
        <v>barniz</v>
      </c>
    </row>
    <row r="1039">
      <c r="A1039" s="3">
        <v>1017.0</v>
      </c>
      <c r="B1039" s="3" t="s">
        <v>189</v>
      </c>
      <c r="C1039" s="3" t="s">
        <v>190</v>
      </c>
      <c r="D1039" s="3" t="s">
        <v>2785</v>
      </c>
      <c r="E1039" s="3" t="s">
        <v>2555</v>
      </c>
      <c r="F1039" s="3" t="s">
        <v>2556</v>
      </c>
      <c r="G1039" s="3" t="str">
        <f>IFERROR(__xludf.DUMMYFUNCTION("GOOGLETRANSLATE(D1039,""fr"",""es"")"),"lacas")</f>
        <v>lacas</v>
      </c>
    </row>
    <row r="1040">
      <c r="A1040" s="3">
        <v>1018.0</v>
      </c>
      <c r="B1040" s="3" t="s">
        <v>189</v>
      </c>
      <c r="C1040" s="3" t="s">
        <v>190</v>
      </c>
      <c r="D1040" s="3" t="s">
        <v>2786</v>
      </c>
      <c r="E1040" s="3" t="s">
        <v>2561</v>
      </c>
      <c r="F1040" s="3" t="s">
        <v>2562</v>
      </c>
      <c r="G1040" s="3" t="str">
        <f>IFERROR(__xludf.DUMMYFUNCTION("GOOGLETRANSLATE(D1040,""fr"",""es"")"),"Lassai")</f>
        <v>Lassai</v>
      </c>
    </row>
    <row r="1041">
      <c r="A1041" s="3">
        <v>1019.0</v>
      </c>
      <c r="B1041" s="3" t="s">
        <v>189</v>
      </c>
      <c r="C1041" s="3" t="s">
        <v>190</v>
      </c>
      <c r="D1041" s="3" t="s">
        <v>2787</v>
      </c>
      <c r="E1041" s="3" t="s">
        <v>2561</v>
      </c>
      <c r="F1041" s="3" t="s">
        <v>2562</v>
      </c>
      <c r="G1041" s="3" t="str">
        <f>IFERROR(__xludf.DUMMYFUNCTION("GOOGLETRANSLATE(D1041,""fr"",""es"")"),"durado")</f>
        <v>durado</v>
      </c>
    </row>
    <row r="1042">
      <c r="A1042" s="3">
        <v>1020.0</v>
      </c>
      <c r="B1042" s="3" t="s">
        <v>189</v>
      </c>
      <c r="C1042" s="3" t="s">
        <v>190</v>
      </c>
      <c r="D1042" s="3" t="s">
        <v>2788</v>
      </c>
      <c r="E1042" s="3" t="s">
        <v>2561</v>
      </c>
      <c r="F1042" s="3" t="s">
        <v>2562</v>
      </c>
      <c r="G1042" s="3" t="str">
        <f>IFERROR(__xludf.DUMMYFUNCTION("GOOGLETRANSLATE(D1042,""fr"",""es"")"),"Lassese")</f>
        <v>Lassese</v>
      </c>
    </row>
    <row r="1043">
      <c r="A1043" s="3">
        <v>1021.0</v>
      </c>
      <c r="B1043" s="3" t="s">
        <v>189</v>
      </c>
      <c r="C1043" s="3" t="s">
        <v>190</v>
      </c>
      <c r="D1043" s="3" t="s">
        <v>2789</v>
      </c>
      <c r="E1043" s="3" t="s">
        <v>2561</v>
      </c>
      <c r="F1043" s="3" t="s">
        <v>2562</v>
      </c>
      <c r="G1043" s="3" t="str">
        <f>IFERROR(__xludf.DUMMYFUNCTION("GOOGLETRANSLATE(D1043,""fr"",""es"")"),"cansado")</f>
        <v>cansado</v>
      </c>
    </row>
    <row r="1044">
      <c r="A1044" s="3">
        <v>1022.0</v>
      </c>
      <c r="B1044" s="3" t="s">
        <v>189</v>
      </c>
      <c r="C1044" s="3" t="s">
        <v>190</v>
      </c>
      <c r="D1044" s="3" t="s">
        <v>2790</v>
      </c>
      <c r="E1044" s="3" t="s">
        <v>2672</v>
      </c>
      <c r="F1044" s="3" t="s">
        <v>2568</v>
      </c>
      <c r="G1044" s="3" t="str">
        <f>IFERROR(__xludf.DUMMYFUNCTION("GOOGLETRANSLATE(D1044,""fr"",""es"")"),"lassâme")</f>
        <v>lassâme</v>
      </c>
    </row>
    <row r="1045">
      <c r="A1045" s="3">
        <v>1023.0</v>
      </c>
      <c r="B1045" s="3" t="s">
        <v>189</v>
      </c>
      <c r="C1045" s="3" t="s">
        <v>190</v>
      </c>
      <c r="D1045" s="3" t="s">
        <v>2791</v>
      </c>
      <c r="E1045" s="3" t="s">
        <v>2570</v>
      </c>
      <c r="F1045" s="3" t="s">
        <v>2571</v>
      </c>
      <c r="G1045" s="3" t="str">
        <f>IFERROR(__xludf.DUMMYFUNCTION("GOOGLETRANSLATE(D1045,""fr"",""es"")"),"chava")</f>
        <v>chava</v>
      </c>
    </row>
    <row r="1046">
      <c r="A1046" s="3">
        <v>1024.0</v>
      </c>
      <c r="B1046" s="3" t="s">
        <v>189</v>
      </c>
      <c r="C1046" s="3" t="s">
        <v>190</v>
      </c>
      <c r="D1046" s="3" t="s">
        <v>2792</v>
      </c>
      <c r="E1046" s="3" t="s">
        <v>2570</v>
      </c>
      <c r="F1046" s="3" t="s">
        <v>2571</v>
      </c>
      <c r="G1046" s="3" t="str">
        <f>IFERROR(__xludf.DUMMYFUNCTION("GOOGLETRANSLATE(D1046,""fr"",""es"")"),"lásse")</f>
        <v>lásse</v>
      </c>
    </row>
    <row r="1047">
      <c r="A1047" s="3">
        <v>1025.0</v>
      </c>
      <c r="B1047" s="3" t="s">
        <v>189</v>
      </c>
      <c r="C1047" s="3" t="s">
        <v>190</v>
      </c>
      <c r="D1047" s="3" t="s">
        <v>2793</v>
      </c>
      <c r="E1047" s="3" t="s">
        <v>2570</v>
      </c>
      <c r="F1047" s="3" t="s">
        <v>2571</v>
      </c>
      <c r="G1047" s="3" t="str">
        <f>IFERROR(__xludf.DUMMYFUNCTION("GOOGLETRANSLATE(D1047,""fr"",""es"")"),"Lassassus")</f>
        <v>Lassassus</v>
      </c>
    </row>
    <row r="1048">
      <c r="A1048" s="3">
        <v>1026.0</v>
      </c>
      <c r="B1048" s="3" t="s">
        <v>189</v>
      </c>
      <c r="C1048" s="3" t="s">
        <v>190</v>
      </c>
      <c r="D1048" s="3" t="s">
        <v>2794</v>
      </c>
      <c r="E1048" s="3" t="s">
        <v>2577</v>
      </c>
      <c r="F1048" s="3" t="s">
        <v>2578</v>
      </c>
      <c r="G1048" s="3" t="str">
        <f>IFERROR(__xludf.DUMMYFUNCTION("GOOGLETRANSLATE(D1048,""fr"",""es"")"),"cansado")</f>
        <v>cansado</v>
      </c>
    </row>
    <row r="1049">
      <c r="A1049" s="3">
        <v>1027.0</v>
      </c>
      <c r="B1049" s="3" t="s">
        <v>189</v>
      </c>
      <c r="C1049" s="3" t="s">
        <v>190</v>
      </c>
      <c r="D1049" s="3" t="s">
        <v>2795</v>
      </c>
      <c r="E1049" s="3" t="s">
        <v>2577</v>
      </c>
      <c r="F1049" s="3" t="s">
        <v>2578</v>
      </c>
      <c r="G1049" s="3" t="str">
        <f>IFERROR(__xludf.DUMMYFUNCTION("GOOGLETRANSLATE(D1049,""fr"",""es"")"),"cansado")</f>
        <v>cansado</v>
      </c>
    </row>
    <row r="1050">
      <c r="A1050" s="3">
        <v>1028.0</v>
      </c>
      <c r="B1050" s="3" t="s">
        <v>189</v>
      </c>
      <c r="C1050" s="3" t="s">
        <v>190</v>
      </c>
      <c r="D1050" s="3" t="s">
        <v>2796</v>
      </c>
      <c r="E1050" s="3" t="s">
        <v>2577</v>
      </c>
      <c r="F1050" s="3" t="s">
        <v>2578</v>
      </c>
      <c r="G1050" s="3" t="str">
        <f>IFERROR(__xludf.DUMMYFUNCTION("GOOGLETRANSLATE(D1050,""fr"",""es"")"),"cansado")</f>
        <v>cansado</v>
      </c>
    </row>
    <row r="1051">
      <c r="A1051" s="3">
        <v>1029.0</v>
      </c>
      <c r="B1051" s="3" t="s">
        <v>189</v>
      </c>
      <c r="C1051" s="3" t="s">
        <v>190</v>
      </c>
      <c r="D1051" s="3" t="s">
        <v>2797</v>
      </c>
      <c r="E1051" s="3" t="s">
        <v>2798</v>
      </c>
      <c r="F1051" s="3" t="s">
        <v>2799</v>
      </c>
      <c r="G1051" s="3" t="str">
        <f>IFERROR(__xludf.DUMMYFUNCTION("GOOGLETRANSLATE(D1051,""fr"",""es"")"),"lattai")</f>
        <v>lattai</v>
      </c>
    </row>
    <row r="1052">
      <c r="A1052" s="3">
        <v>1030.0</v>
      </c>
      <c r="B1052" s="3" t="s">
        <v>189</v>
      </c>
      <c r="C1052" s="3" t="s">
        <v>190</v>
      </c>
      <c r="D1052" s="3" t="s">
        <v>2800</v>
      </c>
      <c r="E1052" s="3" t="s">
        <v>2798</v>
      </c>
      <c r="F1052" s="3" t="s">
        <v>2799</v>
      </c>
      <c r="G1052" s="3" t="str">
        <f>IFERROR(__xludf.DUMMYFUNCTION("GOOGLETRANSLATE(D1052,""fr"",""es"")"),"latta")</f>
        <v>latta</v>
      </c>
    </row>
    <row r="1053">
      <c r="A1053" s="3">
        <v>1031.0</v>
      </c>
      <c r="B1053" s="3" t="s">
        <v>189</v>
      </c>
      <c r="C1053" s="3" t="s">
        <v>190</v>
      </c>
      <c r="D1053" s="3" t="s">
        <v>2801</v>
      </c>
      <c r="E1053" s="3" t="s">
        <v>2798</v>
      </c>
      <c r="F1053" s="3" t="s">
        <v>2799</v>
      </c>
      <c r="G1053" s="3" t="str">
        <f>IFERROR(__xludf.DUMMYFUNCTION("GOOGLETRANSLATE(D1053,""fr"",""es"")"),"Lattais")</f>
        <v>Lattais</v>
      </c>
    </row>
    <row r="1054">
      <c r="A1054" s="3">
        <v>1032.0</v>
      </c>
      <c r="B1054" s="3" t="s">
        <v>189</v>
      </c>
      <c r="C1054" s="3" t="s">
        <v>190</v>
      </c>
      <c r="D1054" s="3" t="s">
        <v>2802</v>
      </c>
      <c r="E1054" s="3" t="s">
        <v>2798</v>
      </c>
      <c r="F1054" s="3" t="s">
        <v>2799</v>
      </c>
      <c r="G1054" s="3" t="str">
        <f>IFERROR(__xludf.DUMMYFUNCTION("GOOGLETRANSLATE(D1054,""fr"",""es"")"),"regañador")</f>
        <v>regañador</v>
      </c>
    </row>
    <row r="1055">
      <c r="A1055" s="3">
        <v>1033.0</v>
      </c>
      <c r="B1055" s="3" t="s">
        <v>189</v>
      </c>
      <c r="C1055" s="3" t="s">
        <v>190</v>
      </c>
      <c r="D1055" s="3" t="s">
        <v>2803</v>
      </c>
      <c r="E1055" s="3" t="s">
        <v>2804</v>
      </c>
      <c r="F1055" s="3" t="s">
        <v>2805</v>
      </c>
      <c r="G1055" s="3" t="str">
        <f>IFERROR(__xludf.DUMMYFUNCTION("GOOGLETRANSLATE(D1055,""fr"",""es"")"),"lattâme")</f>
        <v>lattâme</v>
      </c>
    </row>
    <row r="1056">
      <c r="A1056" s="3">
        <v>1034.0</v>
      </c>
      <c r="B1056" s="3" t="s">
        <v>189</v>
      </c>
      <c r="C1056" s="3" t="s">
        <v>190</v>
      </c>
      <c r="D1056" s="3" t="s">
        <v>2806</v>
      </c>
      <c r="E1056" s="3" t="s">
        <v>2807</v>
      </c>
      <c r="F1056" s="3" t="s">
        <v>2808</v>
      </c>
      <c r="G1056" s="3" t="str">
        <f>IFERROR(__xludf.DUMMYFUNCTION("GOOGLETRANSLATE(D1056,""fr"",""es"")"),"latte")</f>
        <v>latte</v>
      </c>
    </row>
    <row r="1057">
      <c r="A1057" s="3">
        <v>1035.0</v>
      </c>
      <c r="B1057" s="3" t="s">
        <v>189</v>
      </c>
      <c r="C1057" s="3" t="s">
        <v>190</v>
      </c>
      <c r="D1057" s="3" t="s">
        <v>2809</v>
      </c>
      <c r="E1057" s="3" t="s">
        <v>2807</v>
      </c>
      <c r="F1057" s="3" t="s">
        <v>2808</v>
      </c>
      <c r="G1057" s="3" t="str">
        <f>IFERROR(__xludf.DUMMYFUNCTION("GOOGLETRANSLATE(D1057,""fr"",""es"")"),"de color")</f>
        <v>de color</v>
      </c>
    </row>
    <row r="1058">
      <c r="A1058" s="3">
        <v>1036.0</v>
      </c>
      <c r="B1058" s="3" t="s">
        <v>189</v>
      </c>
      <c r="C1058" s="3" t="s">
        <v>190</v>
      </c>
      <c r="D1058" s="3" t="s">
        <v>2810</v>
      </c>
      <c r="E1058" s="3" t="s">
        <v>2807</v>
      </c>
      <c r="F1058" s="3" t="s">
        <v>2808</v>
      </c>
      <c r="G1058" s="3" t="str">
        <f>IFERROR(__xludf.DUMMYFUNCTION("GOOGLETRANSLATE(D1058,""fr"",""es"")"),"lattacas")</f>
        <v>lattacas</v>
      </c>
    </row>
    <row r="1059">
      <c r="A1059" s="3">
        <v>1037.0</v>
      </c>
      <c r="B1059" s="3" t="s">
        <v>189</v>
      </c>
      <c r="C1059" s="3" t="s">
        <v>190</v>
      </c>
      <c r="D1059" s="3" t="s">
        <v>2811</v>
      </c>
      <c r="E1059" s="3" t="s">
        <v>2599</v>
      </c>
      <c r="F1059" s="3" t="s">
        <v>1920</v>
      </c>
      <c r="G1059" s="3" t="str">
        <f>IFERROR(__xludf.DUMMYFUNCTION("GOOGLETRANSLATE(D1059,""fr"",""es"")"),"lamer")</f>
        <v>lamer</v>
      </c>
    </row>
    <row r="1060">
      <c r="A1060" s="3">
        <v>1038.0</v>
      </c>
      <c r="B1060" s="3" t="s">
        <v>189</v>
      </c>
      <c r="C1060" s="3" t="s">
        <v>190</v>
      </c>
      <c r="D1060" s="3" t="s">
        <v>2812</v>
      </c>
      <c r="E1060" s="3" t="s">
        <v>2599</v>
      </c>
      <c r="F1060" s="3" t="s">
        <v>1920</v>
      </c>
      <c r="G1060" s="3" t="str">
        <f>IFERROR(__xludf.DUMMYFUNCTION("GOOGLETRANSLATE(D1060,""fr"",""es"")"),"lamer")</f>
        <v>lamer</v>
      </c>
    </row>
    <row r="1061">
      <c r="A1061" s="3">
        <v>1039.0</v>
      </c>
      <c r="B1061" s="3" t="s">
        <v>189</v>
      </c>
      <c r="C1061" s="3" t="s">
        <v>190</v>
      </c>
      <c r="D1061" s="3" t="s">
        <v>2813</v>
      </c>
      <c r="E1061" s="3" t="s">
        <v>2599</v>
      </c>
      <c r="F1061" s="3" t="s">
        <v>1920</v>
      </c>
      <c r="G1061" s="3" t="str">
        <f>IFERROR(__xludf.DUMMYFUNCTION("GOOGLETRANSLATE(D1061,""fr"",""es"")"),"lame")</f>
        <v>lame</v>
      </c>
    </row>
    <row r="1062">
      <c r="A1062" s="3">
        <v>1040.0</v>
      </c>
      <c r="B1062" s="3" t="s">
        <v>189</v>
      </c>
      <c r="C1062" s="3" t="s">
        <v>190</v>
      </c>
      <c r="D1062" s="3" t="s">
        <v>2814</v>
      </c>
      <c r="E1062" s="3" t="s">
        <v>2577</v>
      </c>
      <c r="F1062" s="3" t="s">
        <v>2578</v>
      </c>
      <c r="G1062" s="3" t="str">
        <f>IFERROR(__xludf.DUMMYFUNCTION("GOOGLETRANSLATE(D1062,""fr"",""es"")"),"lastre")</f>
        <v>lastre</v>
      </c>
      <c r="H1062" s="3" t="s">
        <v>2815</v>
      </c>
      <c r="I1062" s="3" t="s">
        <v>2815</v>
      </c>
      <c r="J1062" s="3" t="s">
        <v>2815</v>
      </c>
      <c r="K1062" s="3" t="s">
        <v>2816</v>
      </c>
      <c r="L1062" s="3" t="s">
        <v>2817</v>
      </c>
      <c r="M1062" s="3" t="s">
        <v>2815</v>
      </c>
      <c r="N1062" s="3" t="s">
        <v>2818</v>
      </c>
      <c r="O1062" s="3" t="s">
        <v>2815</v>
      </c>
      <c r="P1062" s="3" t="s">
        <v>2815</v>
      </c>
    </row>
    <row r="1063">
      <c r="A1063" s="3">
        <v>1041.0</v>
      </c>
      <c r="B1063" s="3" t="s">
        <v>189</v>
      </c>
      <c r="C1063" s="3" t="s">
        <v>190</v>
      </c>
      <c r="D1063" s="3" t="s">
        <v>2819</v>
      </c>
      <c r="E1063" s="3" t="s">
        <v>2577</v>
      </c>
      <c r="F1063" s="3" t="s">
        <v>2578</v>
      </c>
      <c r="G1063" s="3" t="str">
        <f>IFERROR(__xludf.DUMMYFUNCTION("GOOGLETRANSLATE(D1063,""fr"",""es"")"),"cariñoso")</f>
        <v>cariñoso</v>
      </c>
    </row>
    <row r="1064">
      <c r="A1064" s="3">
        <v>1042.0</v>
      </c>
      <c r="B1064" s="3" t="s">
        <v>189</v>
      </c>
      <c r="C1064" s="3" t="s">
        <v>190</v>
      </c>
      <c r="D1064" s="3" t="s">
        <v>2820</v>
      </c>
      <c r="E1064" s="3" t="s">
        <v>2577</v>
      </c>
      <c r="F1064" s="3" t="s">
        <v>2578</v>
      </c>
      <c r="G1064" s="3" t="str">
        <f>IFERROR(__xludf.DUMMYFUNCTION("GOOGLETRANSLATE(D1064,""fr"",""es"")"),"pileta")</f>
        <v>pileta</v>
      </c>
    </row>
    <row r="1065">
      <c r="A1065" s="3">
        <v>1043.0</v>
      </c>
      <c r="B1065" s="3" t="s">
        <v>189</v>
      </c>
      <c r="C1065" s="3" t="s">
        <v>190</v>
      </c>
      <c r="D1065" s="3" t="s">
        <v>2821</v>
      </c>
      <c r="E1065" s="3" t="s">
        <v>2577</v>
      </c>
      <c r="F1065" s="3" t="s">
        <v>2578</v>
      </c>
      <c r="G1065" s="3" t="str">
        <f>IFERROR(__xludf.DUMMYFUNCTION("GOOGLETRANSLATE(D1065,""fr"",""es"")"),"prestado")</f>
        <v>prestado</v>
      </c>
    </row>
    <row r="1066">
      <c r="A1066" s="3">
        <v>1044.0</v>
      </c>
      <c r="B1066" s="3" t="s">
        <v>189</v>
      </c>
      <c r="C1066" s="3" t="s">
        <v>190</v>
      </c>
      <c r="D1066" s="3" t="s">
        <v>2822</v>
      </c>
      <c r="E1066" s="3" t="s">
        <v>2577</v>
      </c>
      <c r="F1066" s="3" t="s">
        <v>2578</v>
      </c>
      <c r="G1066" s="3" t="str">
        <f>IFERROR(__xludf.DUMMYFUNCTION("GOOGLETRANSLATE(D1066,""fr"",""es"")"),"lujuria")</f>
        <v>lujuria</v>
      </c>
    </row>
    <row r="1067">
      <c r="A1067" s="3">
        <v>1045.0</v>
      </c>
      <c r="B1067" s="3" t="s">
        <v>189</v>
      </c>
      <c r="C1067" s="3" t="s">
        <v>190</v>
      </c>
      <c r="D1067" s="3" t="s">
        <v>2823</v>
      </c>
      <c r="E1067" s="3" t="s">
        <v>2541</v>
      </c>
      <c r="F1067" s="3" t="s">
        <v>2540</v>
      </c>
      <c r="G1067" s="3" t="str">
        <f>IFERROR(__xludf.DUMMYFUNCTION("GOOGLETRANSLATE(D1067,""fr"",""es"")"),"lez")</f>
        <v>lez</v>
      </c>
    </row>
    <row r="1068">
      <c r="A1068" s="3">
        <v>1046.0</v>
      </c>
      <c r="B1068" s="3" t="s">
        <v>189</v>
      </c>
      <c r="C1068" s="3" t="s">
        <v>190</v>
      </c>
      <c r="D1068" s="3" t="s">
        <v>2824</v>
      </c>
      <c r="E1068" s="3" t="s">
        <v>2825</v>
      </c>
      <c r="F1068" s="3" t="s">
        <v>2826</v>
      </c>
      <c r="G1068" s="3" t="str">
        <f>IFERROR(__xludf.DUMMYFUNCTION("GOOGLETRANSLATE(D1068,""fr"",""es"")"),"pérdida")</f>
        <v>pérdida</v>
      </c>
    </row>
    <row r="1069">
      <c r="A1069" s="3">
        <v>1047.0</v>
      </c>
      <c r="B1069" s="3" t="s">
        <v>189</v>
      </c>
      <c r="C1069" s="3" t="s">
        <v>190</v>
      </c>
      <c r="D1069" s="3" t="s">
        <v>2827</v>
      </c>
      <c r="E1069" s="3" t="s">
        <v>2825</v>
      </c>
      <c r="F1069" s="3" t="s">
        <v>2826</v>
      </c>
      <c r="G1069" s="3" t="str">
        <f>IFERROR(__xludf.DUMMYFUNCTION("GOOGLETRANSLATE(D1069,""fr"",""es"")"),"pañales")</f>
        <v>pañales</v>
      </c>
    </row>
    <row r="1070">
      <c r="A1070" s="3">
        <v>1048.0</v>
      </c>
      <c r="B1070" s="3" t="s">
        <v>189</v>
      </c>
      <c r="C1070" s="3" t="s">
        <v>190</v>
      </c>
      <c r="D1070" s="3" t="s">
        <v>2828</v>
      </c>
      <c r="E1070" s="3" t="s">
        <v>2829</v>
      </c>
      <c r="F1070" s="3" t="s">
        <v>2830</v>
      </c>
      <c r="G1070" s="3" t="str">
        <f>IFERROR(__xludf.DUMMYFUNCTION("GOOGLETRANSLATE(D1070,""fr"",""es"")"),"liquen")</f>
        <v>liquen</v>
      </c>
      <c r="H1070" s="3" t="s">
        <v>2828</v>
      </c>
      <c r="I1070" s="3" t="s">
        <v>2828</v>
      </c>
    </row>
    <row r="1071">
      <c r="A1071" s="3">
        <v>1049.0</v>
      </c>
      <c r="B1071" s="3" t="s">
        <v>189</v>
      </c>
      <c r="C1071" s="3" t="s">
        <v>190</v>
      </c>
      <c r="D1071" s="3" t="s">
        <v>2831</v>
      </c>
      <c r="E1071" s="3" t="s">
        <v>2829</v>
      </c>
      <c r="F1071" s="3" t="s">
        <v>2830</v>
      </c>
      <c r="G1071" s="3" t="str">
        <f>IFERROR(__xludf.DUMMYFUNCTION("GOOGLETRANSLATE(D1071,""fr"",""es"")"),"líquenes")</f>
        <v>líquenes</v>
      </c>
    </row>
    <row r="1072">
      <c r="A1072" s="3">
        <v>1050.0</v>
      </c>
      <c r="B1072" s="3" t="s">
        <v>189</v>
      </c>
      <c r="C1072" s="3" t="s">
        <v>190</v>
      </c>
      <c r="D1072" s="3" t="s">
        <v>2832</v>
      </c>
      <c r="E1072" s="3" t="s">
        <v>2833</v>
      </c>
      <c r="F1072" s="3" t="s">
        <v>2834</v>
      </c>
      <c r="G1072" s="3" t="str">
        <f>IFERROR(__xludf.DUMMYFUNCTION("GOOGLETRANSLATE(D1072,""fr"",""es"")"),"lícitai")</f>
        <v>lícitai</v>
      </c>
    </row>
    <row r="1073">
      <c r="A1073" s="3">
        <v>1051.0</v>
      </c>
      <c r="B1073" s="3" t="s">
        <v>189</v>
      </c>
      <c r="C1073" s="3" t="s">
        <v>190</v>
      </c>
      <c r="D1073" s="3" t="s">
        <v>2835</v>
      </c>
      <c r="E1073" s="3" t="s">
        <v>2833</v>
      </c>
      <c r="F1073" s="3" t="s">
        <v>2834</v>
      </c>
      <c r="G1073" s="3" t="str">
        <f>IFERROR(__xludf.DUMMYFUNCTION("GOOGLETRANSLATE(D1073,""fr"",""es"")"),"licitado")</f>
        <v>licitado</v>
      </c>
    </row>
    <row r="1074">
      <c r="A1074" s="3">
        <v>1052.0</v>
      </c>
      <c r="B1074" s="3" t="s">
        <v>189</v>
      </c>
      <c r="C1074" s="3" t="s">
        <v>190</v>
      </c>
      <c r="D1074" s="3" t="s">
        <v>2836</v>
      </c>
      <c r="E1074" s="3" t="s">
        <v>2833</v>
      </c>
      <c r="F1074" s="3" t="s">
        <v>2834</v>
      </c>
      <c r="G1074" s="3" t="str">
        <f>IFERROR(__xludf.DUMMYFUNCTION("GOOGLETRANSLATE(D1074,""fr"",""es"")"),"Licitiano")</f>
        <v>Licitiano</v>
      </c>
    </row>
    <row r="1075">
      <c r="A1075" s="3">
        <v>1053.0</v>
      </c>
      <c r="B1075" s="3" t="s">
        <v>189</v>
      </c>
      <c r="C1075" s="3" t="s">
        <v>190</v>
      </c>
      <c r="D1075" s="3" t="s">
        <v>2837</v>
      </c>
      <c r="E1075" s="3" t="s">
        <v>2833</v>
      </c>
      <c r="F1075" s="3" t="s">
        <v>2834</v>
      </c>
      <c r="G1075" s="3" t="str">
        <f>IFERROR(__xludf.DUMMYFUNCTION("GOOGLETRANSLATE(D1075,""fr"",""es"")"),"ficticio")</f>
        <v>ficticio</v>
      </c>
    </row>
    <row r="1076">
      <c r="A1076" s="3">
        <v>1054.0</v>
      </c>
      <c r="B1076" s="3" t="s">
        <v>189</v>
      </c>
      <c r="C1076" s="3" t="s">
        <v>190</v>
      </c>
      <c r="D1076" s="3" t="s">
        <v>2838</v>
      </c>
      <c r="E1076" s="3" t="s">
        <v>2839</v>
      </c>
      <c r="F1076" s="3" t="s">
        <v>2840</v>
      </c>
      <c r="G1076" s="3" t="str">
        <f>IFERROR(__xludf.DUMMYFUNCTION("GOOGLETRANSLATE(D1076,""fr"",""es"")"),"unicitâme")</f>
        <v>unicitâme</v>
      </c>
    </row>
    <row r="1077">
      <c r="A1077" s="3">
        <v>1055.0</v>
      </c>
      <c r="B1077" s="3" t="s">
        <v>189</v>
      </c>
      <c r="C1077" s="3" t="s">
        <v>190</v>
      </c>
      <c r="D1077" s="3" t="s">
        <v>2841</v>
      </c>
      <c r="E1077" s="3" t="s">
        <v>2842</v>
      </c>
      <c r="F1077" s="3" t="s">
        <v>2843</v>
      </c>
      <c r="G1077" s="3" t="str">
        <f>IFERROR(__xludf.DUMMYFUNCTION("GOOGLETRANSLATE(D1077,""fr"",""es"")"),"licitasse")</f>
        <v>licitasse</v>
      </c>
    </row>
    <row r="1078">
      <c r="A1078" s="3">
        <v>1056.0</v>
      </c>
      <c r="B1078" s="3" t="s">
        <v>189</v>
      </c>
      <c r="C1078" s="3" t="s">
        <v>190</v>
      </c>
      <c r="D1078" s="3" t="s">
        <v>2844</v>
      </c>
      <c r="E1078" s="3" t="s">
        <v>2842</v>
      </c>
      <c r="F1078" s="3" t="s">
        <v>2843</v>
      </c>
      <c r="G1078" s="3" t="str">
        <f>IFERROR(__xludf.DUMMYFUNCTION("GOOGLETRANSLATE(D1078,""fr"",""es"")"),"licitasse")</f>
        <v>licitasse</v>
      </c>
    </row>
    <row r="1079">
      <c r="A1079" s="3">
        <v>1057.0</v>
      </c>
      <c r="B1079" s="3" t="s">
        <v>189</v>
      </c>
      <c r="C1079" s="3" t="s">
        <v>190</v>
      </c>
      <c r="D1079" s="3" t="s">
        <v>2845</v>
      </c>
      <c r="E1079" s="3" t="s">
        <v>2842</v>
      </c>
      <c r="F1079" s="3" t="s">
        <v>2843</v>
      </c>
      <c r="G1079" s="3" t="str">
        <f>IFERROR(__xludf.DUMMYFUNCTION("GOOGLETRANSLATE(D1079,""fr"",""es"")"),"licitasses")</f>
        <v>licitasses</v>
      </c>
    </row>
    <row r="1080">
      <c r="A1080" s="3">
        <v>1058.0</v>
      </c>
      <c r="B1080" s="3" t="s">
        <v>189</v>
      </c>
      <c r="C1080" s="3" t="s">
        <v>190</v>
      </c>
      <c r="D1080" s="3" t="s">
        <v>2846</v>
      </c>
      <c r="E1080" s="3" t="s">
        <v>2847</v>
      </c>
      <c r="F1080" s="3" t="s">
        <v>2848</v>
      </c>
      <c r="G1080" s="3" t="str">
        <f>IFERROR(__xludf.DUMMYFUNCTION("GOOGLETRANSLATE(D1080,""fr"",""es"")"),"cabestro")</f>
        <v>cabestro</v>
      </c>
    </row>
    <row r="1081">
      <c r="A1081" s="3">
        <v>1059.0</v>
      </c>
      <c r="B1081" s="3" t="s">
        <v>189</v>
      </c>
      <c r="C1081" s="3" t="s">
        <v>190</v>
      </c>
      <c r="D1081" s="3" t="s">
        <v>2849</v>
      </c>
      <c r="E1081" s="3" t="s">
        <v>2847</v>
      </c>
      <c r="F1081" s="3" t="s">
        <v>2848</v>
      </c>
      <c r="G1081" s="3" t="str">
        <f>IFERROR(__xludf.DUMMYFUNCTION("GOOGLETRANSLATE(D1081,""fr"",""es"")"),"lógico")</f>
        <v>lógico</v>
      </c>
    </row>
    <row r="1082">
      <c r="A1082" s="3">
        <v>1060.0</v>
      </c>
      <c r="B1082" s="3" t="s">
        <v>189</v>
      </c>
      <c r="C1082" s="3" t="s">
        <v>190</v>
      </c>
      <c r="D1082" s="3" t="s">
        <v>2850</v>
      </c>
      <c r="E1082" s="3" t="s">
        <v>2851</v>
      </c>
      <c r="F1082" s="3" t="s">
        <v>2852</v>
      </c>
      <c r="G1082" s="3" t="str">
        <f>IFERROR(__xludf.DUMMYFUNCTION("GOOGLETRANSLATE(D1082,""fr"",""es"")"),"relacionado")</f>
        <v>relacionado</v>
      </c>
      <c r="H1082" s="3" t="s">
        <v>2853</v>
      </c>
      <c r="I1082" s="3" t="s">
        <v>2854</v>
      </c>
      <c r="J1082" s="3" t="s">
        <v>2855</v>
      </c>
      <c r="K1082" s="3" t="s">
        <v>2856</v>
      </c>
      <c r="L1082" s="3" t="s">
        <v>2857</v>
      </c>
      <c r="M1082" s="3" t="s">
        <v>2857</v>
      </c>
      <c r="N1082" s="3" t="s">
        <v>2858</v>
      </c>
      <c r="O1082" s="3" t="s">
        <v>2859</v>
      </c>
      <c r="P1082" s="3" t="s">
        <v>2860</v>
      </c>
      <c r="Q1082" s="3" t="s">
        <v>2861</v>
      </c>
      <c r="R1082" s="3" t="s">
        <v>2862</v>
      </c>
      <c r="S1082" s="3" t="s">
        <v>2863</v>
      </c>
      <c r="T1082" s="3" t="s">
        <v>2864</v>
      </c>
      <c r="U1082" s="3" t="s">
        <v>2865</v>
      </c>
    </row>
    <row r="1083">
      <c r="A1083" s="3">
        <v>1061.0</v>
      </c>
      <c r="B1083" s="3" t="s">
        <v>189</v>
      </c>
      <c r="C1083" s="3" t="s">
        <v>190</v>
      </c>
      <c r="D1083" s="3" t="s">
        <v>2866</v>
      </c>
      <c r="E1083" s="3" t="s">
        <v>2851</v>
      </c>
      <c r="F1083" s="3" t="s">
        <v>2852</v>
      </c>
      <c r="G1083" s="3" t="str">
        <f>IFERROR(__xludf.DUMMYFUNCTION("GOOGLETRANSLATE(D1083,""fr"",""es"")"),"unir")</f>
        <v>unir</v>
      </c>
    </row>
    <row r="1084">
      <c r="A1084" s="3">
        <v>1062.0</v>
      </c>
      <c r="B1084" s="3" t="s">
        <v>189</v>
      </c>
      <c r="C1084" s="3" t="s">
        <v>190</v>
      </c>
      <c r="D1084" s="3" t="s">
        <v>2867</v>
      </c>
      <c r="E1084" s="3" t="s">
        <v>2851</v>
      </c>
      <c r="F1084" s="3" t="s">
        <v>2852</v>
      </c>
      <c r="G1084" s="3" t="str">
        <f>IFERROR(__xludf.DUMMYFUNCTION("GOOGLETRANSLATE(D1084,""fr"",""es"")"),"mentiras")</f>
        <v>mentiras</v>
      </c>
    </row>
    <row r="1085">
      <c r="A1085" s="3">
        <v>1063.0</v>
      </c>
      <c r="B1085" s="3" t="s">
        <v>189</v>
      </c>
      <c r="C1085" s="3" t="s">
        <v>190</v>
      </c>
      <c r="D1085" s="3" t="s">
        <v>2868</v>
      </c>
      <c r="E1085" s="3" t="s">
        <v>2869</v>
      </c>
      <c r="F1085" s="3" t="s">
        <v>2870</v>
      </c>
      <c r="G1085" s="3" t="str">
        <f>IFERROR(__xludf.DUMMYFUNCTION("GOOGLETRANSLATE(D1085,""fr"",""es"")"),"lignis")</f>
        <v>lignis</v>
      </c>
    </row>
    <row r="1086">
      <c r="A1086" s="3">
        <v>1064.0</v>
      </c>
      <c r="B1086" s="3" t="s">
        <v>189</v>
      </c>
      <c r="C1086" s="3" t="s">
        <v>190</v>
      </c>
      <c r="D1086" s="3" t="s">
        <v>2871</v>
      </c>
      <c r="E1086" s="3" t="s">
        <v>2869</v>
      </c>
      <c r="F1086" s="3" t="s">
        <v>2870</v>
      </c>
      <c r="G1086" s="3" t="str">
        <f>IFERROR(__xludf.DUMMYFUNCTION("GOOGLETRANSLATE(D1086,""fr"",""es"")"),"línea")</f>
        <v>línea</v>
      </c>
    </row>
    <row r="1087">
      <c r="A1087" s="3">
        <v>1065.0</v>
      </c>
      <c r="B1087" s="3" t="s">
        <v>189</v>
      </c>
      <c r="C1087" s="3" t="s">
        <v>190</v>
      </c>
      <c r="D1087" s="3" t="s">
        <v>2872</v>
      </c>
      <c r="E1087" s="3" t="s">
        <v>2869</v>
      </c>
      <c r="F1087" s="3" t="s">
        <v>2870</v>
      </c>
      <c r="G1087" s="3" t="str">
        <f>IFERROR(__xludf.DUMMYFUNCTION("GOOGLETRANSLATE(D1087,""fr"",""es"")"),"Lignais")</f>
        <v>Lignais</v>
      </c>
    </row>
    <row r="1088">
      <c r="A1088" s="3">
        <v>1066.0</v>
      </c>
      <c r="B1088" s="3" t="s">
        <v>189</v>
      </c>
      <c r="C1088" s="3" t="s">
        <v>190</v>
      </c>
      <c r="D1088" s="3" t="s">
        <v>2873</v>
      </c>
      <c r="E1088" s="3" t="s">
        <v>2869</v>
      </c>
      <c r="F1088" s="3" t="s">
        <v>2870</v>
      </c>
      <c r="G1088" s="3" t="str">
        <f>IFERROR(__xludf.DUMMYFUNCTION("GOOGLETRANSLATE(D1088,""fr"",""es"")"),"lignado")</f>
        <v>lignado</v>
      </c>
    </row>
    <row r="1089">
      <c r="A1089" s="3">
        <v>1067.0</v>
      </c>
      <c r="B1089" s="3" t="s">
        <v>189</v>
      </c>
      <c r="C1089" s="3" t="s">
        <v>190</v>
      </c>
      <c r="D1089" s="3" t="s">
        <v>2874</v>
      </c>
      <c r="E1089" s="3" t="s">
        <v>2875</v>
      </c>
      <c r="F1089" s="3" t="s">
        <v>2876</v>
      </c>
      <c r="G1089" s="3" t="str">
        <f>IFERROR(__xludf.DUMMYFUNCTION("GOOGLETRANSLATE(D1089,""fr"",""es"")"),"lignante")</f>
        <v>lignante</v>
      </c>
    </row>
    <row r="1090">
      <c r="A1090" s="3">
        <v>1068.0</v>
      </c>
      <c r="B1090" s="3" t="s">
        <v>189</v>
      </c>
      <c r="C1090" s="3" t="s">
        <v>190</v>
      </c>
      <c r="D1090" s="3" t="s">
        <v>2877</v>
      </c>
      <c r="E1090" s="3" t="s">
        <v>2878</v>
      </c>
      <c r="F1090" s="3" t="s">
        <v>2879</v>
      </c>
      <c r="G1090" s="3" t="str">
        <f>IFERROR(__xludf.DUMMYFUNCTION("GOOGLETRANSLATE(D1090,""fr"",""es"")"),"linaje")</f>
        <v>linaje</v>
      </c>
    </row>
    <row r="1091">
      <c r="A1091" s="3">
        <v>1069.0</v>
      </c>
      <c r="B1091" s="3" t="s">
        <v>189</v>
      </c>
      <c r="C1091" s="3" t="s">
        <v>190</v>
      </c>
      <c r="D1091" s="3" t="s">
        <v>2880</v>
      </c>
      <c r="E1091" s="3" t="s">
        <v>2878</v>
      </c>
      <c r="F1091" s="3" t="s">
        <v>2879</v>
      </c>
      <c r="G1091" s="3" t="str">
        <f>IFERROR(__xludf.DUMMYFUNCTION("GOOGLETRANSLATE(D1091,""fr"",""es"")"),"línea")</f>
        <v>línea</v>
      </c>
    </row>
    <row r="1092">
      <c r="A1092" s="3">
        <v>1070.0</v>
      </c>
      <c r="B1092" s="3" t="s">
        <v>189</v>
      </c>
      <c r="C1092" s="3" t="s">
        <v>190</v>
      </c>
      <c r="D1092" s="3" t="s">
        <v>2881</v>
      </c>
      <c r="E1092" s="3" t="s">
        <v>2878</v>
      </c>
      <c r="F1092" s="3" t="s">
        <v>2879</v>
      </c>
      <c r="G1092" s="3" t="str">
        <f>IFERROR(__xludf.DUMMYFUNCTION("GOOGLETRANSLATE(D1092,""fr"",""es"")"),"linaje")</f>
        <v>linaje</v>
      </c>
    </row>
    <row r="1093">
      <c r="A1093" s="3">
        <v>1071.0</v>
      </c>
      <c r="B1093" s="3" t="s">
        <v>189</v>
      </c>
      <c r="C1093" s="3" t="s">
        <v>190</v>
      </c>
      <c r="D1093" s="3" t="s">
        <v>2882</v>
      </c>
      <c r="E1093" s="3" t="s">
        <v>2883</v>
      </c>
      <c r="F1093" s="3" t="s">
        <v>2884</v>
      </c>
      <c r="G1093" s="3" t="str">
        <f>IFERROR(__xludf.DUMMYFUNCTION("GOOGLETRANSLATE(D1093,""fr"",""es"")"),"línea")</f>
        <v>línea</v>
      </c>
      <c r="H1093" s="3" t="s">
        <v>1499</v>
      </c>
      <c r="I1093" s="3" t="s">
        <v>1499</v>
      </c>
      <c r="J1093" s="3" t="s">
        <v>1499</v>
      </c>
      <c r="K1093" s="3" t="s">
        <v>2885</v>
      </c>
      <c r="L1093" s="3" t="s">
        <v>2886</v>
      </c>
      <c r="M1093" s="3" t="s">
        <v>2887</v>
      </c>
      <c r="N1093" s="3" t="s">
        <v>2888</v>
      </c>
      <c r="O1093" s="3" t="s">
        <v>2889</v>
      </c>
      <c r="P1093" s="3" t="s">
        <v>2890</v>
      </c>
      <c r="Q1093" s="3" t="s">
        <v>2891</v>
      </c>
      <c r="R1093" s="3" t="s">
        <v>2892</v>
      </c>
      <c r="S1093" s="3" t="s">
        <v>2893</v>
      </c>
      <c r="T1093" s="3" t="s">
        <v>1499</v>
      </c>
      <c r="U1093" s="3" t="s">
        <v>2894</v>
      </c>
      <c r="V1093" s="3" t="s">
        <v>1499</v>
      </c>
      <c r="W1093" s="3" t="s">
        <v>2895</v>
      </c>
      <c r="X1093" s="3" t="s">
        <v>2896</v>
      </c>
      <c r="Y1093" s="3" t="s">
        <v>2897</v>
      </c>
      <c r="Z1093" s="3" t="s">
        <v>1187</v>
      </c>
      <c r="AA1093" s="3" t="s">
        <v>1500</v>
      </c>
      <c r="AB1093" s="3" t="s">
        <v>1499</v>
      </c>
      <c r="AC1093" s="3" t="s">
        <v>2898</v>
      </c>
      <c r="AD1093" s="3" t="s">
        <v>1581</v>
      </c>
      <c r="AE1093" s="3" t="s">
        <v>1274</v>
      </c>
      <c r="AF1093" s="3" t="s">
        <v>1499</v>
      </c>
      <c r="AG1093" s="3" t="s">
        <v>1499</v>
      </c>
      <c r="AH1093" s="3" t="s">
        <v>1499</v>
      </c>
      <c r="AI1093" s="3" t="s">
        <v>1499</v>
      </c>
      <c r="AJ1093" s="3" t="s">
        <v>2894</v>
      </c>
      <c r="AK1093" s="3" t="s">
        <v>2894</v>
      </c>
      <c r="AL1093" s="3" t="s">
        <v>2899</v>
      </c>
      <c r="AM1093" s="3" t="s">
        <v>1499</v>
      </c>
      <c r="AN1093" s="3" t="s">
        <v>1499</v>
      </c>
      <c r="AO1093" s="3" t="s">
        <v>1499</v>
      </c>
      <c r="AP1093" s="3" t="s">
        <v>2231</v>
      </c>
      <c r="AQ1093" s="3" t="s">
        <v>2894</v>
      </c>
      <c r="AR1093" s="3" t="s">
        <v>2900</v>
      </c>
      <c r="AS1093" s="3" t="s">
        <v>2901</v>
      </c>
      <c r="AT1093" s="3" t="s">
        <v>2902</v>
      </c>
      <c r="AU1093" s="3" t="s">
        <v>1499</v>
      </c>
      <c r="AV1093" s="3" t="s">
        <v>2903</v>
      </c>
      <c r="AW1093" s="3" t="s">
        <v>2904</v>
      </c>
      <c r="AX1093" s="3" t="s">
        <v>2882</v>
      </c>
      <c r="AY1093" s="3" t="s">
        <v>2905</v>
      </c>
      <c r="AZ1093" s="3" t="s">
        <v>1499</v>
      </c>
      <c r="BA1093" s="3" t="s">
        <v>1499</v>
      </c>
      <c r="BB1093" s="3" t="s">
        <v>2906</v>
      </c>
      <c r="BC1093" s="3" t="s">
        <v>2907</v>
      </c>
      <c r="BD1093" s="3" t="s">
        <v>2908</v>
      </c>
      <c r="BE1093" s="3" t="s">
        <v>2909</v>
      </c>
      <c r="BF1093" s="3" t="s">
        <v>2910</v>
      </c>
      <c r="BG1093" s="3" t="s">
        <v>2911</v>
      </c>
      <c r="BH1093" s="3" t="s">
        <v>1499</v>
      </c>
      <c r="BI1093" s="3" t="s">
        <v>1274</v>
      </c>
    </row>
    <row r="1094">
      <c r="A1094" s="3">
        <v>1072.0</v>
      </c>
      <c r="B1094" s="3" t="s">
        <v>189</v>
      </c>
      <c r="C1094" s="3" t="s">
        <v>190</v>
      </c>
      <c r="D1094" s="3" t="s">
        <v>2912</v>
      </c>
      <c r="E1094" s="3" t="s">
        <v>2883</v>
      </c>
      <c r="F1094" s="3" t="s">
        <v>2884</v>
      </c>
      <c r="G1094" s="3" t="str">
        <f>IFERROR(__xludf.DUMMYFUNCTION("GOOGLETRANSLATE(D1094,""fr"",""es"")"),"línea")</f>
        <v>línea</v>
      </c>
    </row>
    <row r="1095">
      <c r="A1095" s="3">
        <v>1073.0</v>
      </c>
      <c r="B1095" s="3" t="s">
        <v>189</v>
      </c>
      <c r="C1095" s="3" t="s">
        <v>190</v>
      </c>
      <c r="D1095" s="3" t="s">
        <v>2913</v>
      </c>
      <c r="E1095" s="3" t="s">
        <v>2883</v>
      </c>
      <c r="F1095" s="3" t="s">
        <v>2884</v>
      </c>
      <c r="G1095" s="3" t="str">
        <f>IFERROR(__xludf.DUMMYFUNCTION("GOOGLETRANSLATE(D1095,""fr"",""es"")"),"líneas")</f>
        <v>líneas</v>
      </c>
    </row>
    <row r="1096">
      <c r="A1096" s="3">
        <v>1074.0</v>
      </c>
      <c r="B1096" s="3" t="s">
        <v>189</v>
      </c>
      <c r="C1096" s="3" t="s">
        <v>190</v>
      </c>
      <c r="D1096" s="3" t="s">
        <v>2914</v>
      </c>
      <c r="E1096" s="3" t="s">
        <v>2915</v>
      </c>
      <c r="F1096" s="3" t="s">
        <v>2916</v>
      </c>
      <c r="G1096" s="3" t="str">
        <f>IFERROR(__xludf.DUMMYFUNCTION("GOOGLETRANSLATE(D1096,""fr"",""es"")"),"Lille")</f>
        <v>Lille</v>
      </c>
      <c r="H1096" s="3" t="s">
        <v>2914</v>
      </c>
    </row>
    <row r="1097">
      <c r="A1097" s="3">
        <v>1075.0</v>
      </c>
      <c r="B1097" s="3" t="s">
        <v>189</v>
      </c>
      <c r="C1097" s="3" t="s">
        <v>190</v>
      </c>
      <c r="D1097" s="3" t="s">
        <v>2917</v>
      </c>
      <c r="E1097" s="3" t="s">
        <v>2918</v>
      </c>
      <c r="F1097" s="3" t="s">
        <v>2919</v>
      </c>
      <c r="G1097" s="3" t="str">
        <f>IFERROR(__xludf.DUMMYFUNCTION("GOOGLETRANSLATE(D1097,""fr"",""es"")"),"babosa")</f>
        <v>babosa</v>
      </c>
      <c r="H1097" s="3" t="s">
        <v>2135</v>
      </c>
      <c r="I1097" s="3" t="s">
        <v>2920</v>
      </c>
      <c r="J1097" s="3" t="s">
        <v>2921</v>
      </c>
      <c r="K1097" s="3" t="s">
        <v>2922</v>
      </c>
      <c r="L1097" s="3" t="s">
        <v>2923</v>
      </c>
      <c r="M1097" s="3" t="s">
        <v>2135</v>
      </c>
      <c r="N1097" s="3" t="s">
        <v>2924</v>
      </c>
      <c r="O1097" s="3" t="s">
        <v>2925</v>
      </c>
      <c r="P1097" s="3" t="s">
        <v>2135</v>
      </c>
      <c r="Q1097" s="3" t="s">
        <v>2135</v>
      </c>
    </row>
    <row r="1098">
      <c r="A1098" s="3">
        <v>1076.0</v>
      </c>
      <c r="B1098" s="3" t="s">
        <v>189</v>
      </c>
      <c r="C1098" s="3" t="s">
        <v>190</v>
      </c>
      <c r="D1098" s="3" t="s">
        <v>2926</v>
      </c>
      <c r="E1098" s="3" t="s">
        <v>2918</v>
      </c>
      <c r="F1098" s="3" t="s">
        <v>2919</v>
      </c>
      <c r="G1098" s="3" t="str">
        <f>IFERROR(__xludf.DUMMYFUNCTION("GOOGLETRANSLATE(D1098,""fr"",""es"")"),"babosas")</f>
        <v>babosas</v>
      </c>
    </row>
    <row r="1099">
      <c r="A1099" s="3">
        <v>1077.0</v>
      </c>
      <c r="B1099" s="3" t="s">
        <v>189</v>
      </c>
      <c r="C1099" s="3" t="s">
        <v>190</v>
      </c>
      <c r="D1099" s="3" t="s">
        <v>2927</v>
      </c>
      <c r="E1099" s="3" t="s">
        <v>2928</v>
      </c>
      <c r="F1099" s="3" t="s">
        <v>2929</v>
      </c>
      <c r="G1099" s="3" t="str">
        <f>IFERROR(__xludf.DUMMYFUNCTION("GOOGLETRANSLATE(D1099,""fr"",""es"")"),"limai")</f>
        <v>limai</v>
      </c>
    </row>
    <row r="1100">
      <c r="A1100" s="3">
        <v>1078.0</v>
      </c>
      <c r="B1100" s="3" t="s">
        <v>189</v>
      </c>
      <c r="C1100" s="3" t="s">
        <v>190</v>
      </c>
      <c r="D1100" s="3" t="s">
        <v>2930</v>
      </c>
      <c r="E1100" s="3" t="s">
        <v>2928</v>
      </c>
      <c r="F1100" s="3" t="s">
        <v>2929</v>
      </c>
      <c r="G1100" s="3" t="str">
        <f>IFERROR(__xludf.DUMMYFUNCTION("GOOGLETRANSLATE(D1100,""fr"",""es"")"),"fueron llenados")</f>
        <v>fueron llenados</v>
      </c>
    </row>
    <row r="1101">
      <c r="A1101" s="3">
        <v>1079.0</v>
      </c>
      <c r="B1101" s="3" t="s">
        <v>189</v>
      </c>
      <c r="C1101" s="3" t="s">
        <v>190</v>
      </c>
      <c r="D1101" s="3" t="s">
        <v>2931</v>
      </c>
      <c r="E1101" s="3" t="s">
        <v>2932</v>
      </c>
      <c r="F1101" s="3" t="s">
        <v>2933</v>
      </c>
      <c r="G1101" s="3" t="str">
        <f>IFERROR(__xludf.DUMMYFUNCTION("GOOGLETRANSLATE(D1101,""fr"",""es"")"),"presentación")</f>
        <v>presentación</v>
      </c>
    </row>
    <row r="1102">
      <c r="A1102" s="3">
        <v>1080.0</v>
      </c>
      <c r="B1102" s="3" t="s">
        <v>189</v>
      </c>
      <c r="C1102" s="3" t="s">
        <v>190</v>
      </c>
      <c r="D1102" s="3" t="s">
        <v>2934</v>
      </c>
      <c r="E1102" s="3" t="s">
        <v>2932</v>
      </c>
      <c r="F1102" s="3" t="s">
        <v>2933</v>
      </c>
      <c r="G1102" s="3" t="str">
        <f>IFERROR(__xludf.DUMMYFUNCTION("GOOGLETRANSLATE(D1102,""fr"",""es"")"),"limaduras")</f>
        <v>limaduras</v>
      </c>
    </row>
    <row r="1103">
      <c r="A1103" s="3">
        <v>1081.0</v>
      </c>
      <c r="B1103" s="3" t="s">
        <v>189</v>
      </c>
      <c r="C1103" s="3" t="s">
        <v>190</v>
      </c>
      <c r="D1103" s="3" t="s">
        <v>2935</v>
      </c>
      <c r="E1103" s="3" t="s">
        <v>2928</v>
      </c>
      <c r="F1103" s="3" t="s">
        <v>2929</v>
      </c>
      <c r="G1103" s="3" t="str">
        <f>IFERROR(__xludf.DUMMYFUNCTION("GOOGLETRANSLATE(D1103,""fr"",""es"")"),"limdis")</f>
        <v>limdis</v>
      </c>
    </row>
    <row r="1104">
      <c r="A1104" s="3">
        <v>1082.0</v>
      </c>
      <c r="B1104" s="3" t="s">
        <v>189</v>
      </c>
      <c r="C1104" s="3" t="s">
        <v>190</v>
      </c>
      <c r="D1104" s="3" t="s">
        <v>2936</v>
      </c>
      <c r="E1104" s="3" t="s">
        <v>2928</v>
      </c>
      <c r="F1104" s="3" t="s">
        <v>2929</v>
      </c>
      <c r="G1104" s="3" t="str">
        <f>IFERROR(__xludf.DUMMYFUNCTION("GOOGLETRANSLATE(D1104,""fr"",""es"")"),"lavado")</f>
        <v>lavado</v>
      </c>
    </row>
    <row r="1105">
      <c r="A1105" s="3">
        <v>1083.0</v>
      </c>
      <c r="B1105" s="3" t="s">
        <v>189</v>
      </c>
      <c r="C1105" s="3" t="s">
        <v>190</v>
      </c>
      <c r="D1105" s="3" t="s">
        <v>2937</v>
      </c>
      <c r="E1105" s="3" t="s">
        <v>2938</v>
      </c>
      <c r="F1105" s="3" t="s">
        <v>2939</v>
      </c>
      <c r="G1105" s="3" t="str">
        <f>IFERROR(__xludf.DUMMYFUNCTION("GOOGLETRANSLATE(D1105,""fr"",""es"")"),"limo")</f>
        <v>limo</v>
      </c>
    </row>
    <row r="1106">
      <c r="A1106" s="3">
        <v>1084.0</v>
      </c>
      <c r="B1106" s="3" t="s">
        <v>189</v>
      </c>
      <c r="C1106" s="3" t="s">
        <v>190</v>
      </c>
      <c r="D1106" s="3" t="s">
        <v>2940</v>
      </c>
      <c r="E1106" s="3" t="s">
        <v>2918</v>
      </c>
      <c r="F1106" s="3" t="s">
        <v>2919</v>
      </c>
      <c r="G1106" s="3" t="str">
        <f>IFERROR(__xludf.DUMMYFUNCTION("GOOGLETRANSLATE(D1106,""fr"",""es"")"),"Lima")</f>
        <v>Lima</v>
      </c>
    </row>
    <row r="1107">
      <c r="A1107" s="3">
        <v>1085.0</v>
      </c>
      <c r="B1107" s="3" t="s">
        <v>189</v>
      </c>
      <c r="C1107" s="3" t="s">
        <v>190</v>
      </c>
      <c r="D1107" s="3" t="s">
        <v>2941</v>
      </c>
      <c r="E1107" s="3" t="s">
        <v>2918</v>
      </c>
      <c r="F1107" s="3" t="s">
        <v>2919</v>
      </c>
      <c r="G1107" s="3" t="str">
        <f>IFERROR(__xludf.DUMMYFUNCTION("GOOGLETRANSLATE(D1107,""fr"",""es"")"),"ritmo")</f>
        <v>ritmo</v>
      </c>
    </row>
    <row r="1108">
      <c r="A1108" s="3">
        <v>1086.0</v>
      </c>
      <c r="B1108" s="3" t="s">
        <v>189</v>
      </c>
      <c r="C1108" s="3" t="s">
        <v>190</v>
      </c>
      <c r="D1108" s="3" t="s">
        <v>2942</v>
      </c>
      <c r="E1108" s="3" t="s">
        <v>2918</v>
      </c>
      <c r="F1108" s="3" t="s">
        <v>2919</v>
      </c>
      <c r="G1108" s="3" t="str">
        <f>IFERROR(__xludf.DUMMYFUNCTION("GOOGLETRANSLATE(D1108,""fr"",""es"")"),"limasas")</f>
        <v>limasas</v>
      </c>
    </row>
    <row r="1109">
      <c r="A1109" s="3">
        <v>1087.0</v>
      </c>
      <c r="B1109" s="3" t="s">
        <v>189</v>
      </c>
      <c r="C1109" s="3" t="s">
        <v>190</v>
      </c>
      <c r="D1109" s="3" t="s">
        <v>2943</v>
      </c>
      <c r="E1109" s="3" t="s">
        <v>2944</v>
      </c>
      <c r="F1109" s="3" t="s">
        <v>2945</v>
      </c>
      <c r="G1109" s="3" t="str">
        <f>IFERROR(__xludf.DUMMYFUNCTION("GOOGLETRANSLATE(D1109,""fr"",""es"")"),"Lima")</f>
        <v>Lima</v>
      </c>
    </row>
    <row r="1110">
      <c r="A1110" s="3">
        <v>1088.0</v>
      </c>
      <c r="B1110" s="3" t="s">
        <v>189</v>
      </c>
      <c r="C1110" s="3" t="s">
        <v>190</v>
      </c>
      <c r="D1110" s="3" t="s">
        <v>2946</v>
      </c>
      <c r="E1110" s="3" t="s">
        <v>2944</v>
      </c>
      <c r="F1110" s="3" t="s">
        <v>2945</v>
      </c>
      <c r="G1110" s="3" t="str">
        <f>IFERROR(__xludf.DUMMYFUNCTION("GOOGLETRANSLATE(D1110,""fr"",""es"")"),"Lima")</f>
        <v>Lima</v>
      </c>
    </row>
    <row r="1111">
      <c r="A1111" s="3">
        <v>1089.0</v>
      </c>
      <c r="B1111" s="3" t="s">
        <v>189</v>
      </c>
      <c r="C1111" s="3" t="s">
        <v>190</v>
      </c>
      <c r="D1111" s="3" t="s">
        <v>2947</v>
      </c>
      <c r="E1111" s="3" t="s">
        <v>2944</v>
      </c>
      <c r="F1111" s="3" t="s">
        <v>2945</v>
      </c>
      <c r="G1111" s="3" t="str">
        <f>IFERROR(__xludf.DUMMYFUNCTION("GOOGLETRANSLATE(D1111,""fr"",""es"")"),"limas")</f>
        <v>limas</v>
      </c>
    </row>
    <row r="1112">
      <c r="A1112" s="3">
        <v>1090.0</v>
      </c>
      <c r="B1112" s="3" t="s">
        <v>189</v>
      </c>
      <c r="C1112" s="3" t="s">
        <v>190</v>
      </c>
      <c r="D1112" s="3" t="s">
        <v>2948</v>
      </c>
      <c r="E1112" s="3" t="s">
        <v>2949</v>
      </c>
      <c r="F1112" s="3" t="s">
        <v>2950</v>
      </c>
      <c r="G1112" s="3" t="str">
        <f>IFERROR(__xludf.DUMMYFUNCTION("GOOGLETRANSLATE(D1112,""fr"",""es"")"),"limitado")</f>
        <v>limitado</v>
      </c>
    </row>
    <row r="1113">
      <c r="A1113" s="3">
        <v>1091.0</v>
      </c>
      <c r="B1113" s="3" t="s">
        <v>189</v>
      </c>
      <c r="C1113" s="3" t="s">
        <v>190</v>
      </c>
      <c r="D1113" s="3" t="s">
        <v>2951</v>
      </c>
      <c r="E1113" s="3" t="s">
        <v>2949</v>
      </c>
      <c r="F1113" s="3" t="s">
        <v>2950</v>
      </c>
      <c r="G1113" s="3" t="str">
        <f>IFERROR(__xludf.DUMMYFUNCTION("GOOGLETRANSLATE(D1113,""fr"",""es"")"),"limitado")</f>
        <v>limitado</v>
      </c>
    </row>
    <row r="1114">
      <c r="A1114" s="3">
        <v>1092.0</v>
      </c>
      <c r="B1114" s="3" t="s">
        <v>189</v>
      </c>
      <c r="C1114" s="3" t="s">
        <v>190</v>
      </c>
      <c r="D1114" s="3" t="s">
        <v>2952</v>
      </c>
      <c r="E1114" s="3" t="s">
        <v>2949</v>
      </c>
      <c r="F1114" s="3" t="s">
        <v>2950</v>
      </c>
      <c r="G1114" s="3" t="str">
        <f>IFERROR(__xludf.DUMMYFUNCTION("GOOGLETRANSLATE(D1114,""fr"",""es"")"),"limitado")</f>
        <v>limitado</v>
      </c>
    </row>
    <row r="1115">
      <c r="A1115" s="3">
        <v>1093.0</v>
      </c>
      <c r="B1115" s="3" t="s">
        <v>189</v>
      </c>
      <c r="C1115" s="3" t="s">
        <v>190</v>
      </c>
      <c r="D1115" s="3" t="s">
        <v>2953</v>
      </c>
      <c r="E1115" s="3" t="s">
        <v>2949</v>
      </c>
      <c r="F1115" s="3" t="s">
        <v>2950</v>
      </c>
      <c r="G1115" s="3" t="str">
        <f>IFERROR(__xludf.DUMMYFUNCTION("GOOGLETRANSLATE(D1115,""fr"",""es"")"),"limitado")</f>
        <v>limitado</v>
      </c>
    </row>
    <row r="1116">
      <c r="A1116" s="3">
        <v>1094.0</v>
      </c>
      <c r="B1116" s="3" t="s">
        <v>189</v>
      </c>
      <c r="C1116" s="3" t="s">
        <v>190</v>
      </c>
      <c r="D1116" s="3" t="s">
        <v>2954</v>
      </c>
      <c r="E1116" s="3" t="s">
        <v>2955</v>
      </c>
      <c r="F1116" s="3" t="s">
        <v>2956</v>
      </c>
      <c r="G1116" s="3" t="str">
        <f>IFERROR(__xludf.DUMMYFUNCTION("GOOGLETRANSLATE(D1116,""fr"",""es"")"),"límites")</f>
        <v>límites</v>
      </c>
    </row>
    <row r="1117">
      <c r="A1117" s="3">
        <v>1095.0</v>
      </c>
      <c r="B1117" s="3" t="s">
        <v>189</v>
      </c>
      <c r="C1117" s="3" t="s">
        <v>190</v>
      </c>
      <c r="D1117" s="3" t="s">
        <v>2957</v>
      </c>
      <c r="E1117" s="3" t="s">
        <v>2958</v>
      </c>
      <c r="F1117" s="3" t="s">
        <v>2959</v>
      </c>
      <c r="G1117" s="3" t="str">
        <f>IFERROR(__xludf.DUMMYFUNCTION("GOOGLETRANSLATE(D1117,""fr"",""es"")"),"limitación")</f>
        <v>limitación</v>
      </c>
    </row>
    <row r="1118">
      <c r="A1118" s="3">
        <v>1096.0</v>
      </c>
      <c r="B1118" s="3" t="s">
        <v>189</v>
      </c>
      <c r="C1118" s="3" t="s">
        <v>190</v>
      </c>
      <c r="D1118" s="3" t="s">
        <v>2960</v>
      </c>
      <c r="E1118" s="3" t="s">
        <v>2958</v>
      </c>
      <c r="F1118" s="3" t="s">
        <v>2959</v>
      </c>
      <c r="G1118" s="3" t="str">
        <f>IFERROR(__xludf.DUMMYFUNCTION("GOOGLETRANSLATE(D1118,""fr"",""es"")"),"límite")</f>
        <v>límite</v>
      </c>
    </row>
    <row r="1119">
      <c r="A1119" s="3">
        <v>1097.0</v>
      </c>
      <c r="B1119" s="3" t="s">
        <v>189</v>
      </c>
      <c r="C1119" s="3" t="s">
        <v>190</v>
      </c>
      <c r="D1119" s="3" t="s">
        <v>2961</v>
      </c>
      <c r="E1119" s="3" t="s">
        <v>2958</v>
      </c>
      <c r="F1119" s="3" t="s">
        <v>2959</v>
      </c>
      <c r="G1119" s="3" t="str">
        <f>IFERROR(__xludf.DUMMYFUNCTION("GOOGLETRANSLATE(D1119,""fr"",""es"")"),"limitaciones")</f>
        <v>limitaciones</v>
      </c>
    </row>
    <row r="1120">
      <c r="A1120" s="3">
        <v>1098.0</v>
      </c>
      <c r="B1120" s="3" t="s">
        <v>189</v>
      </c>
      <c r="C1120" s="3" t="s">
        <v>190</v>
      </c>
      <c r="D1120" s="3" t="s">
        <v>2962</v>
      </c>
      <c r="E1120" s="3" t="s">
        <v>2963</v>
      </c>
      <c r="F1120" s="3" t="s">
        <v>2964</v>
      </c>
      <c r="G1120" s="3" t="str">
        <f>IFERROR(__xludf.DUMMYFUNCTION("GOOGLETRANSLATE(D1120,""fr"",""es"")"),"Limaux")</f>
        <v>Limaux</v>
      </c>
    </row>
    <row r="1121">
      <c r="A1121" s="3">
        <v>1099.0</v>
      </c>
      <c r="B1121" s="3" t="s">
        <v>189</v>
      </c>
      <c r="C1121" s="3" t="s">
        <v>190</v>
      </c>
      <c r="D1121" s="3" t="s">
        <v>2965</v>
      </c>
      <c r="E1121" s="3" t="s">
        <v>2966</v>
      </c>
      <c r="F1121" s="3" t="s">
        <v>2967</v>
      </c>
      <c r="G1121" s="3" t="str">
        <f>IFERROR(__xludf.DUMMYFUNCTION("GOOGLETRANSLATE(D1121,""fr"",""es"")"),"lippe")</f>
        <v>lippe</v>
      </c>
    </row>
    <row r="1122">
      <c r="A1122" s="3">
        <v>1100.0</v>
      </c>
      <c r="B1122" s="3" t="s">
        <v>189</v>
      </c>
      <c r="C1122" s="3" t="s">
        <v>190</v>
      </c>
      <c r="D1122" s="3" t="s">
        <v>2968</v>
      </c>
      <c r="E1122" s="3" t="s">
        <v>2966</v>
      </c>
      <c r="F1122" s="3" t="s">
        <v>2967</v>
      </c>
      <c r="G1122" s="3" t="str">
        <f>IFERROR(__xludf.DUMMYFUNCTION("GOOGLETRANSLATE(D1122,""fr"",""es"")"),"lippes")</f>
        <v>lippes</v>
      </c>
    </row>
    <row r="1123">
      <c r="A1123" s="3">
        <v>1101.0</v>
      </c>
      <c r="B1123" s="3" t="s">
        <v>189</v>
      </c>
      <c r="C1123" s="3" t="s">
        <v>190</v>
      </c>
      <c r="D1123" s="3" t="s">
        <v>2969</v>
      </c>
      <c r="E1123" s="3" t="s">
        <v>2970</v>
      </c>
      <c r="F1123" s="3" t="s">
        <v>2971</v>
      </c>
      <c r="G1123" s="3" t="str">
        <f>IFERROR(__xludf.DUMMYFUNCTION("GOOGLETRANSLATE(D1123,""fr"",""es"")"),"Lissai")</f>
        <v>Lissai</v>
      </c>
    </row>
    <row r="1124">
      <c r="A1124" s="3">
        <v>1102.0</v>
      </c>
      <c r="B1124" s="3" t="s">
        <v>189</v>
      </c>
      <c r="C1124" s="3" t="s">
        <v>190</v>
      </c>
      <c r="D1124" s="3" t="s">
        <v>2972</v>
      </c>
      <c r="E1124" s="3" t="s">
        <v>2970</v>
      </c>
      <c r="F1124" s="3" t="s">
        <v>2971</v>
      </c>
      <c r="G1124" s="3" t="str">
        <f>IFERROR(__xludf.DUMMYFUNCTION("GOOGLETRANSLATE(D1124,""fr"",""es"")"),"suavizado")</f>
        <v>suavizado</v>
      </c>
    </row>
    <row r="1125">
      <c r="A1125" s="3">
        <v>1103.0</v>
      </c>
      <c r="B1125" s="3" t="s">
        <v>189</v>
      </c>
      <c r="C1125" s="3" t="s">
        <v>190</v>
      </c>
      <c r="D1125" s="3" t="s">
        <v>2973</v>
      </c>
      <c r="E1125" s="3" t="s">
        <v>2970</v>
      </c>
      <c r="F1125" s="3" t="s">
        <v>2971</v>
      </c>
      <c r="G1125" s="3" t="str">
        <f>IFERROR(__xludf.DUMMYFUNCTION("GOOGLETRANSLATE(D1125,""fr"",""es"")"),"arrendado")</f>
        <v>arrendado</v>
      </c>
    </row>
    <row r="1126">
      <c r="A1126" s="3">
        <v>1104.0</v>
      </c>
      <c r="B1126" s="3" t="s">
        <v>189</v>
      </c>
      <c r="C1126" s="3" t="s">
        <v>190</v>
      </c>
      <c r="D1126" s="3" t="s">
        <v>2974</v>
      </c>
      <c r="E1126" s="3" t="s">
        <v>2970</v>
      </c>
      <c r="F1126" s="3" t="s">
        <v>2971</v>
      </c>
      <c r="G1126" s="3" t="str">
        <f>IFERROR(__xludf.DUMMYFUNCTION("GOOGLETRANSLATE(D1126,""fr"",""es"")"),"suavizado")</f>
        <v>suavizado</v>
      </c>
    </row>
    <row r="1127">
      <c r="A1127" s="3">
        <v>1105.0</v>
      </c>
      <c r="B1127" s="3" t="s">
        <v>189</v>
      </c>
      <c r="C1127" s="3" t="s">
        <v>190</v>
      </c>
      <c r="D1127" s="3" t="s">
        <v>2975</v>
      </c>
      <c r="E1127" s="3" t="s">
        <v>2976</v>
      </c>
      <c r="F1127" s="3" t="s">
        <v>2977</v>
      </c>
      <c r="G1127" s="3" t="str">
        <f>IFERROR(__xludf.DUMMYFUNCTION("GOOGLETRANSLATE(D1127,""fr"",""es"")"),"de fumar")</f>
        <v>de fumar</v>
      </c>
    </row>
    <row r="1128">
      <c r="A1128" s="3">
        <v>1106.0</v>
      </c>
      <c r="B1128" s="3" t="s">
        <v>189</v>
      </c>
      <c r="C1128" s="3" t="s">
        <v>190</v>
      </c>
      <c r="D1128" s="3" t="s">
        <v>2978</v>
      </c>
      <c r="E1128" s="3" t="s">
        <v>2979</v>
      </c>
      <c r="F1128" s="3" t="s">
        <v>2980</v>
      </c>
      <c r="G1128" s="3" t="str">
        <f>IFERROR(__xludf.DUMMYFUNCTION("GOOGLETRANSLATE(D1128,""fr"",""es"")"),"Correa")</f>
        <v>Correa</v>
      </c>
    </row>
    <row r="1129">
      <c r="A1129" s="3">
        <v>1107.0</v>
      </c>
      <c r="B1129" s="3" t="s">
        <v>189</v>
      </c>
      <c r="C1129" s="3" t="s">
        <v>190</v>
      </c>
      <c r="D1129" s="3" t="s">
        <v>2981</v>
      </c>
      <c r="E1129" s="3" t="s">
        <v>2979</v>
      </c>
      <c r="F1129" s="3" t="s">
        <v>2980</v>
      </c>
      <c r="G1129" s="3" t="str">
        <f>IFERROR(__xludf.DUMMYFUNCTION("GOOGLETRANSLATE(D1129,""fr"",""es"")"),"presumido")</f>
        <v>presumido</v>
      </c>
    </row>
    <row r="1130">
      <c r="A1130" s="3">
        <v>1108.0</v>
      </c>
      <c r="B1130" s="3" t="s">
        <v>189</v>
      </c>
      <c r="C1130" s="3" t="s">
        <v>190</v>
      </c>
      <c r="D1130" s="3" t="s">
        <v>2982</v>
      </c>
      <c r="E1130" s="3" t="s">
        <v>2979</v>
      </c>
      <c r="F1130" s="3" t="s">
        <v>2980</v>
      </c>
      <c r="G1130" s="3" t="str">
        <f>IFERROR(__xludf.DUMMYFUNCTION("GOOGLETRANSLATE(D1130,""fr"",""es"")"),"lissasses")</f>
        <v>lissasses</v>
      </c>
    </row>
    <row r="1131">
      <c r="A1131" s="3">
        <v>1109.0</v>
      </c>
      <c r="B1131" s="3" t="s">
        <v>189</v>
      </c>
      <c r="C1131" s="3" t="s">
        <v>190</v>
      </c>
      <c r="D1131" s="3" t="s">
        <v>2983</v>
      </c>
      <c r="E1131" s="3" t="s">
        <v>2825</v>
      </c>
      <c r="F1131" s="3" t="s">
        <v>2826</v>
      </c>
      <c r="G1131" s="3" t="str">
        <f>IFERROR(__xludf.DUMMYFUNCTION("GOOGLETRANSLATE(D1131,""fr"",""es"")"),"suave")</f>
        <v>suave</v>
      </c>
      <c r="H1131" s="3" t="s">
        <v>2984</v>
      </c>
      <c r="I1131" s="3" t="s">
        <v>2985</v>
      </c>
      <c r="J1131" s="3" t="s">
        <v>2986</v>
      </c>
      <c r="K1131" s="3" t="s">
        <v>2985</v>
      </c>
      <c r="L1131" s="3" t="s">
        <v>2987</v>
      </c>
      <c r="M1131" s="3" t="s">
        <v>2988</v>
      </c>
      <c r="N1131" s="3" t="s">
        <v>2989</v>
      </c>
      <c r="O1131" s="3" t="s">
        <v>2990</v>
      </c>
      <c r="P1131" s="3" t="s">
        <v>2991</v>
      </c>
      <c r="Q1131" s="3" t="s">
        <v>2985</v>
      </c>
      <c r="R1131" s="3" t="s">
        <v>2985</v>
      </c>
      <c r="S1131" s="3" t="s">
        <v>2985</v>
      </c>
      <c r="T1131" s="3" t="s">
        <v>2985</v>
      </c>
      <c r="U1131" s="3" t="s">
        <v>2985</v>
      </c>
      <c r="V1131" s="3" t="s">
        <v>2985</v>
      </c>
      <c r="W1131" s="3" t="s">
        <v>2992</v>
      </c>
    </row>
    <row r="1132">
      <c r="A1132" s="3">
        <v>1110.0</v>
      </c>
      <c r="B1132" s="3" t="s">
        <v>189</v>
      </c>
      <c r="C1132" s="3" t="s">
        <v>190</v>
      </c>
      <c r="D1132" s="3" t="s">
        <v>2993</v>
      </c>
      <c r="E1132" s="3" t="s">
        <v>2825</v>
      </c>
      <c r="F1132" s="3" t="s">
        <v>2826</v>
      </c>
      <c r="G1132" s="3" t="str">
        <f>IFERROR(__xludf.DUMMYFUNCTION("GOOGLETRANSLATE(D1132,""fr"",""es"")"),"suavizado")</f>
        <v>suavizado</v>
      </c>
    </row>
    <row r="1133">
      <c r="A1133" s="3">
        <v>1111.0</v>
      </c>
      <c r="B1133" s="3" t="s">
        <v>189</v>
      </c>
      <c r="C1133" s="3" t="s">
        <v>190</v>
      </c>
      <c r="D1133" s="3" t="s">
        <v>2994</v>
      </c>
      <c r="E1133" s="3" t="s">
        <v>2825</v>
      </c>
      <c r="F1133" s="3" t="s">
        <v>2826</v>
      </c>
      <c r="G1133" s="3" t="str">
        <f>IFERROR(__xludf.DUMMYFUNCTION("GOOGLETRANSLATE(D1133,""fr"",""es"")"),"suave")</f>
        <v>suave</v>
      </c>
    </row>
    <row r="1134">
      <c r="A1134" s="3">
        <v>1112.0</v>
      </c>
      <c r="B1134" s="3" t="s">
        <v>189</v>
      </c>
      <c r="C1134" s="3" t="s">
        <v>190</v>
      </c>
      <c r="D1134" s="3" t="s">
        <v>2995</v>
      </c>
      <c r="E1134" s="3" t="s">
        <v>2825</v>
      </c>
      <c r="F1134" s="3" t="s">
        <v>2826</v>
      </c>
      <c r="G1134" s="3" t="str">
        <f>IFERROR(__xludf.DUMMYFUNCTION("GOOGLETRANSLATE(D1134,""fr"",""es"")"),"listado")</f>
        <v>listado</v>
      </c>
      <c r="H1134" s="3" t="s">
        <v>2996</v>
      </c>
      <c r="I1134" s="3" t="s">
        <v>2997</v>
      </c>
      <c r="J1134" s="3" t="s">
        <v>323</v>
      </c>
      <c r="K1134" s="3" t="s">
        <v>2996</v>
      </c>
      <c r="L1134" s="3" t="s">
        <v>2996</v>
      </c>
      <c r="M1134" s="3" t="s">
        <v>266</v>
      </c>
      <c r="N1134" s="3" t="s">
        <v>2996</v>
      </c>
      <c r="O1134" s="3" t="s">
        <v>2998</v>
      </c>
      <c r="P1134" s="3" t="s">
        <v>2996</v>
      </c>
      <c r="Q1134" s="3" t="s">
        <v>2999</v>
      </c>
      <c r="R1134" s="3" t="s">
        <v>2996</v>
      </c>
      <c r="S1134" s="3" t="s">
        <v>3000</v>
      </c>
      <c r="T1134" s="3" t="s">
        <v>2998</v>
      </c>
      <c r="U1134" s="3" t="s">
        <v>3001</v>
      </c>
      <c r="V1134" s="3" t="s">
        <v>3002</v>
      </c>
      <c r="W1134" s="3" t="s">
        <v>3003</v>
      </c>
      <c r="X1134" s="3" t="s">
        <v>3004</v>
      </c>
      <c r="Y1134" s="3" t="s">
        <v>3005</v>
      </c>
      <c r="Z1134" s="3" t="s">
        <v>3006</v>
      </c>
      <c r="AA1134" s="3" t="s">
        <v>2996</v>
      </c>
      <c r="AB1134" s="3" t="s">
        <v>3007</v>
      </c>
      <c r="AC1134" s="3" t="s">
        <v>3008</v>
      </c>
      <c r="AD1134" s="3" t="s">
        <v>3009</v>
      </c>
      <c r="AE1134" s="3" t="s">
        <v>3010</v>
      </c>
      <c r="AF1134" s="3" t="s">
        <v>3011</v>
      </c>
      <c r="AG1134" s="3" t="s">
        <v>1054</v>
      </c>
      <c r="AH1134" s="3" t="s">
        <v>3012</v>
      </c>
      <c r="AI1134" s="3" t="s">
        <v>3013</v>
      </c>
      <c r="AJ1134" s="3" t="s">
        <v>3014</v>
      </c>
    </row>
    <row r="1135">
      <c r="A1135" s="3">
        <v>1113.0</v>
      </c>
      <c r="B1135" s="3" t="s">
        <v>189</v>
      </c>
      <c r="C1135" s="3" t="s">
        <v>190</v>
      </c>
      <c r="D1135" s="3" t="s">
        <v>3015</v>
      </c>
      <c r="E1135" s="3" t="s">
        <v>2825</v>
      </c>
      <c r="F1135" s="3" t="s">
        <v>2826</v>
      </c>
      <c r="G1135" s="3" t="str">
        <f>IFERROR(__xludf.DUMMYFUNCTION("GOOGLETRANSLATE(D1135,""fr"",""es"")"),"lista")</f>
        <v>lista</v>
      </c>
    </row>
    <row r="1136">
      <c r="A1136" s="3">
        <v>1114.0</v>
      </c>
      <c r="B1136" s="3" t="s">
        <v>189</v>
      </c>
      <c r="C1136" s="3" t="s">
        <v>190</v>
      </c>
      <c r="D1136" s="3" t="s">
        <v>3016</v>
      </c>
      <c r="E1136" s="3" t="s">
        <v>2825</v>
      </c>
      <c r="F1136" s="3" t="s">
        <v>2826</v>
      </c>
      <c r="G1136" s="3" t="str">
        <f>IFERROR(__xludf.DUMMYFUNCTION("GOOGLETRANSLATE(D1136,""fr"",""es"")"),"liza")</f>
        <v>liza</v>
      </c>
    </row>
    <row r="1137">
      <c r="A1137" s="3">
        <v>1115.0</v>
      </c>
      <c r="B1137" s="3" t="s">
        <v>189</v>
      </c>
      <c r="C1137" s="3" t="s">
        <v>190</v>
      </c>
      <c r="D1137" s="3" t="s">
        <v>3017</v>
      </c>
      <c r="E1137" s="3" t="s">
        <v>2851</v>
      </c>
      <c r="F1137" s="3" t="s">
        <v>2852</v>
      </c>
      <c r="G1137" s="3" t="str">
        <f>IFERROR(__xludf.DUMMYFUNCTION("GOOGLETRANSLATE(D1137,""fr"",""es"")"),"cama")</f>
        <v>cama</v>
      </c>
      <c r="H1137" s="3" t="s">
        <v>3018</v>
      </c>
      <c r="I1137" s="3" t="s">
        <v>3019</v>
      </c>
      <c r="J1137" s="3" t="s">
        <v>2037</v>
      </c>
      <c r="K1137" s="3" t="s">
        <v>3020</v>
      </c>
      <c r="L1137" s="3" t="s">
        <v>3021</v>
      </c>
      <c r="M1137" s="3" t="s">
        <v>3022</v>
      </c>
      <c r="N1137" s="3" t="s">
        <v>3023</v>
      </c>
      <c r="O1137" s="3" t="s">
        <v>3024</v>
      </c>
      <c r="P1137" s="3" t="s">
        <v>3025</v>
      </c>
      <c r="Q1137" s="3" t="s">
        <v>3026</v>
      </c>
      <c r="R1137" s="3" t="s">
        <v>2037</v>
      </c>
      <c r="S1137" s="3" t="s">
        <v>2037</v>
      </c>
      <c r="T1137" s="3" t="s">
        <v>2037</v>
      </c>
      <c r="U1137" s="3" t="s">
        <v>2037</v>
      </c>
      <c r="V1137" s="3" t="s">
        <v>2037</v>
      </c>
      <c r="W1137" s="3" t="s">
        <v>2037</v>
      </c>
      <c r="X1137" s="3" t="s">
        <v>2037</v>
      </c>
      <c r="Y1137" s="3" t="s">
        <v>3027</v>
      </c>
      <c r="Z1137" s="3" t="s">
        <v>2894</v>
      </c>
      <c r="AA1137" s="3" t="s">
        <v>2034</v>
      </c>
      <c r="AB1137" s="3" t="s">
        <v>2037</v>
      </c>
      <c r="AC1137" s="3" t="s">
        <v>2911</v>
      </c>
      <c r="AD1137" s="3" t="s">
        <v>2037</v>
      </c>
      <c r="AE1137" s="3" t="s">
        <v>2037</v>
      </c>
      <c r="AF1137" s="3" t="s">
        <v>3028</v>
      </c>
      <c r="AG1137" s="3" t="s">
        <v>2037</v>
      </c>
    </row>
    <row r="1138">
      <c r="A1138" s="3">
        <v>1116.0</v>
      </c>
      <c r="B1138" s="3" t="s">
        <v>189</v>
      </c>
      <c r="C1138" s="3" t="s">
        <v>190</v>
      </c>
      <c r="D1138" s="3" t="s">
        <v>3029</v>
      </c>
      <c r="E1138" s="3" t="s">
        <v>3030</v>
      </c>
      <c r="F1138" s="3" t="s">
        <v>3031</v>
      </c>
      <c r="G1138" s="3" t="str">
        <f>IFERROR(__xludf.DUMMYFUNCTION("GOOGLETRANSLATE(D1138,""fr"",""es"")"),"letanía")</f>
        <v>letanía</v>
      </c>
      <c r="H1138" s="3" t="s">
        <v>3032</v>
      </c>
      <c r="I1138" s="3" t="s">
        <v>3033</v>
      </c>
    </row>
    <row r="1139">
      <c r="A1139" s="3">
        <v>1117.0</v>
      </c>
      <c r="B1139" s="3" t="s">
        <v>189</v>
      </c>
      <c r="C1139" s="3" t="s">
        <v>190</v>
      </c>
      <c r="D1139" s="3" t="s">
        <v>3034</v>
      </c>
      <c r="E1139" s="3" t="s">
        <v>3030</v>
      </c>
      <c r="F1139" s="3" t="s">
        <v>3031</v>
      </c>
      <c r="G1139" s="3" t="str">
        <f>IFERROR(__xludf.DUMMYFUNCTION("GOOGLETRANSLATE(D1139,""fr"",""es"")"),"letanías")</f>
        <v>letanías</v>
      </c>
    </row>
    <row r="1140">
      <c r="A1140" s="3">
        <v>1118.0</v>
      </c>
      <c r="B1140" s="3" t="s">
        <v>189</v>
      </c>
      <c r="C1140" s="3" t="s">
        <v>190</v>
      </c>
      <c r="D1140" s="3" t="s">
        <v>3035</v>
      </c>
      <c r="E1140" s="3" t="s">
        <v>2851</v>
      </c>
      <c r="F1140" s="3" t="s">
        <v>2852</v>
      </c>
      <c r="G1140" s="3" t="str">
        <f>IFERROR(__xludf.DUMMYFUNCTION("GOOGLETRANSLATE(D1140,""fr"",""es"")"),"camas")</f>
        <v>camas</v>
      </c>
    </row>
    <row r="1141">
      <c r="A1141" s="3">
        <v>1119.0</v>
      </c>
      <c r="B1141" s="3" t="s">
        <v>189</v>
      </c>
      <c r="C1141" s="3" t="s">
        <v>190</v>
      </c>
      <c r="D1141" s="3" t="s">
        <v>3036</v>
      </c>
      <c r="E1141" s="3" t="s">
        <v>3037</v>
      </c>
      <c r="F1141" s="3" t="s">
        <v>135</v>
      </c>
      <c r="G1141" s="3" t="str">
        <f>IFERROR(__xludf.DUMMYFUNCTION("GOOGLETRANSLATE(D1141,""fr"",""es"")"),"Mira")</f>
        <v>Mira</v>
      </c>
    </row>
    <row r="1142">
      <c r="A1142" s="3">
        <v>1120.0</v>
      </c>
      <c r="B1142" s="3" t="s">
        <v>189</v>
      </c>
      <c r="C1142" s="3" t="s">
        <v>190</v>
      </c>
      <c r="D1142" s="3" t="s">
        <v>3038</v>
      </c>
      <c r="E1142" s="3" t="s">
        <v>3037</v>
      </c>
      <c r="F1142" s="3" t="s">
        <v>135</v>
      </c>
      <c r="G1142" s="3" t="str">
        <f>IFERROR(__xludf.DUMMYFUNCTION("GOOGLETRANSLATE(D1142,""fr"",""es"")"),"rodillo")</f>
        <v>rodillo</v>
      </c>
    </row>
    <row r="1143">
      <c r="A1143" s="3">
        <v>1121.0</v>
      </c>
      <c r="B1143" s="3" t="s">
        <v>189</v>
      </c>
      <c r="C1143" s="3" t="s">
        <v>190</v>
      </c>
      <c r="D1143" s="3" t="s">
        <v>3039</v>
      </c>
      <c r="E1143" s="3" t="s">
        <v>3040</v>
      </c>
      <c r="F1143" s="3" t="s">
        <v>3041</v>
      </c>
      <c r="G1143" s="3" t="str">
        <f>IFERROR(__xludf.DUMMYFUNCTION("GOOGLETRANSLATE(D1143,""fr"",""es"")"),"lobo")</f>
        <v>lobo</v>
      </c>
    </row>
    <row r="1144">
      <c r="A1144" s="3">
        <v>1122.0</v>
      </c>
      <c r="B1144" s="3" t="s">
        <v>189</v>
      </c>
      <c r="C1144" s="3" t="s">
        <v>190</v>
      </c>
      <c r="D1144" s="3" t="s">
        <v>3042</v>
      </c>
      <c r="E1144" s="3" t="s">
        <v>3040</v>
      </c>
      <c r="F1144" s="3" t="s">
        <v>3041</v>
      </c>
      <c r="G1144" s="3" t="str">
        <f>IFERROR(__xludf.DUMMYFUNCTION("GOOGLETRANSLATE(D1144,""fr"",""es"")"),"alabado")</f>
        <v>alabado</v>
      </c>
    </row>
    <row r="1145">
      <c r="A1145" s="3">
        <v>1123.0</v>
      </c>
      <c r="B1145" s="3" t="s">
        <v>189</v>
      </c>
      <c r="C1145" s="3" t="s">
        <v>190</v>
      </c>
      <c r="D1145" s="3" t="s">
        <v>3043</v>
      </c>
      <c r="E1145" s="3" t="s">
        <v>3040</v>
      </c>
      <c r="F1145" s="3" t="s">
        <v>3041</v>
      </c>
      <c r="G1145" s="3" t="str">
        <f>IFERROR(__xludf.DUMMYFUNCTION("GOOGLETRANSLATE(D1145,""fr"",""es"")"),"lobo")</f>
        <v>lobo</v>
      </c>
    </row>
    <row r="1146">
      <c r="A1146" s="3">
        <v>1124.0</v>
      </c>
      <c r="B1146" s="3" t="s">
        <v>189</v>
      </c>
      <c r="C1146" s="3" t="s">
        <v>190</v>
      </c>
      <c r="D1146" s="3" t="s">
        <v>3044</v>
      </c>
      <c r="E1146" s="3" t="s">
        <v>3040</v>
      </c>
      <c r="F1146" s="3" t="s">
        <v>3041</v>
      </c>
      <c r="G1146" s="3" t="str">
        <f>IFERROR(__xludf.DUMMYFUNCTION("GOOGLETRANSLATE(D1146,""fr"",""es"")"),"alabado")</f>
        <v>alabado</v>
      </c>
    </row>
    <row r="1147">
      <c r="A1147" s="3">
        <v>1125.0</v>
      </c>
      <c r="B1147" s="3" t="s">
        <v>189</v>
      </c>
      <c r="C1147" s="3" t="s">
        <v>190</v>
      </c>
      <c r="D1147" s="3" t="s">
        <v>3045</v>
      </c>
      <c r="E1147" s="3" t="s">
        <v>3046</v>
      </c>
      <c r="F1147" s="3" t="s">
        <v>3047</v>
      </c>
      <c r="G1147" s="3" t="str">
        <f>IFERROR(__xludf.DUMMYFUNCTION("GOOGLETRANSLATE(D1147,""fr"",""es"")"),"louch.")</f>
        <v>louch.</v>
      </c>
    </row>
    <row r="1148">
      <c r="A1148" s="3">
        <v>1126.0</v>
      </c>
      <c r="B1148" s="3" t="s">
        <v>189</v>
      </c>
      <c r="C1148" s="3" t="s">
        <v>190</v>
      </c>
      <c r="D1148" s="3" t="s">
        <v>3048</v>
      </c>
      <c r="E1148" s="3" t="s">
        <v>3049</v>
      </c>
      <c r="F1148" s="3" t="s">
        <v>3050</v>
      </c>
      <c r="G1148" s="3" t="str">
        <f>IFERROR(__xludf.DUMMYFUNCTION("GOOGLETRANSLATE(D1148,""fr"",""es"")"),"miscero")</f>
        <v>miscero</v>
      </c>
    </row>
    <row r="1149">
      <c r="A1149" s="3">
        <v>1127.0</v>
      </c>
      <c r="B1149" s="3" t="s">
        <v>189</v>
      </c>
      <c r="C1149" s="3" t="s">
        <v>190</v>
      </c>
      <c r="D1149" s="3" t="s">
        <v>3051</v>
      </c>
      <c r="E1149" s="3" t="s">
        <v>3049</v>
      </c>
      <c r="F1149" s="3" t="s">
        <v>3050</v>
      </c>
      <c r="G1149" s="3" t="str">
        <f>IFERROR(__xludf.DUMMYFUNCTION("GOOGLETRANSLATE(D1149,""fr"",""es"")"),"elogio")</f>
        <v>elogio</v>
      </c>
    </row>
    <row r="1150">
      <c r="A1150" s="3">
        <v>1128.0</v>
      </c>
      <c r="B1150" s="3" t="s">
        <v>189</v>
      </c>
      <c r="C1150" s="3" t="s">
        <v>190</v>
      </c>
      <c r="D1150" s="3" t="s">
        <v>3052</v>
      </c>
      <c r="E1150" s="3" t="s">
        <v>3049</v>
      </c>
      <c r="F1150" s="3" t="s">
        <v>3050</v>
      </c>
      <c r="G1150" s="3" t="str">
        <f>IFERROR(__xludf.DUMMYFUNCTION("GOOGLETRANSLATE(D1150,""fr"",""es"")"),"mala conducta")</f>
        <v>mala conducta</v>
      </c>
    </row>
    <row r="1151">
      <c r="A1151" s="3">
        <v>1129.0</v>
      </c>
      <c r="B1151" s="3" t="s">
        <v>189</v>
      </c>
      <c r="C1151" s="3" t="s">
        <v>190</v>
      </c>
      <c r="D1151" s="3" t="s">
        <v>3053</v>
      </c>
      <c r="E1151" s="3" t="s">
        <v>3054</v>
      </c>
      <c r="F1151" s="3" t="s">
        <v>3055</v>
      </c>
      <c r="G1151" s="3" t="str">
        <f>IFERROR(__xludf.DUMMYFUNCTION("GOOGLETRANSLATE(D1151,""fr"",""es"")"),"sospechoso")</f>
        <v>sospechoso</v>
      </c>
      <c r="H1151" s="3" t="s">
        <v>3056</v>
      </c>
      <c r="I1151" s="3" t="s">
        <v>3057</v>
      </c>
      <c r="J1151" s="3" t="s">
        <v>3058</v>
      </c>
      <c r="K1151" s="3" t="s">
        <v>3056</v>
      </c>
      <c r="L1151" s="3" t="s">
        <v>3059</v>
      </c>
      <c r="M1151" s="3" t="s">
        <v>3060</v>
      </c>
      <c r="N1151" s="3" t="s">
        <v>3061</v>
      </c>
      <c r="O1151" s="3" t="s">
        <v>3062</v>
      </c>
      <c r="P1151" s="3" t="s">
        <v>3063</v>
      </c>
      <c r="Q1151" s="3" t="s">
        <v>3064</v>
      </c>
      <c r="R1151" s="3" t="s">
        <v>3065</v>
      </c>
      <c r="S1151" s="3" t="s">
        <v>3066</v>
      </c>
      <c r="T1151" s="3" t="s">
        <v>3067</v>
      </c>
      <c r="U1151" s="3" t="s">
        <v>3068</v>
      </c>
      <c r="V1151" s="3" t="s">
        <v>3056</v>
      </c>
    </row>
    <row r="1152">
      <c r="A1152" s="3">
        <v>1130.0</v>
      </c>
      <c r="B1152" s="3" t="s">
        <v>189</v>
      </c>
      <c r="C1152" s="3" t="s">
        <v>190</v>
      </c>
      <c r="D1152" s="3" t="s">
        <v>3069</v>
      </c>
      <c r="E1152" s="3" t="s">
        <v>3054</v>
      </c>
      <c r="F1152" s="3" t="s">
        <v>3055</v>
      </c>
      <c r="G1152" s="3" t="str">
        <f>IFERROR(__xludf.DUMMYFUNCTION("GOOGLETRANSLATE(D1152,""fr"",""es"")"),"sombreado")</f>
        <v>sombreado</v>
      </c>
    </row>
    <row r="1153">
      <c r="A1153" s="3">
        <v>1131.0</v>
      </c>
      <c r="B1153" s="3" t="s">
        <v>189</v>
      </c>
      <c r="C1153" s="3" t="s">
        <v>190</v>
      </c>
      <c r="D1153" s="3" t="s">
        <v>3070</v>
      </c>
      <c r="E1153" s="3" t="s">
        <v>3054</v>
      </c>
      <c r="F1153" s="3" t="s">
        <v>3055</v>
      </c>
      <c r="G1153" s="3" t="str">
        <f>IFERROR(__xludf.DUMMYFUNCTION("GOOGLETRANSLATE(D1153,""fr"",""es"")"),"sombreado")</f>
        <v>sombreado</v>
      </c>
    </row>
    <row r="1154">
      <c r="A1154" s="3">
        <v>1132.0</v>
      </c>
      <c r="B1154" s="3" t="s">
        <v>189</v>
      </c>
      <c r="C1154" s="3" t="s">
        <v>190</v>
      </c>
      <c r="D1154" s="3" t="s">
        <v>3071</v>
      </c>
      <c r="E1154" s="3" t="s">
        <v>3072</v>
      </c>
      <c r="F1154" s="3" t="s">
        <v>3073</v>
      </c>
      <c r="G1154" s="3" t="str">
        <f>IFERROR(__xludf.DUMMYFUNCTION("GOOGLETRANSLATE(D1154,""fr"",""es"")"),"alquilado")</f>
        <v>alquilado</v>
      </c>
    </row>
    <row r="1155">
      <c r="A1155" s="3">
        <v>1133.0</v>
      </c>
      <c r="B1155" s="3" t="s">
        <v>189</v>
      </c>
      <c r="C1155" s="3" t="s">
        <v>190</v>
      </c>
      <c r="D1155" s="3" t="s">
        <v>3074</v>
      </c>
      <c r="E1155" s="3" t="s">
        <v>3072</v>
      </c>
      <c r="F1155" s="3" t="s">
        <v>3073</v>
      </c>
      <c r="G1155" s="3" t="str">
        <f>IFERROR(__xludf.DUMMYFUNCTION("GOOGLETRANSLATE(D1155,""fr"",""es"")"),"elogio")</f>
        <v>elogio</v>
      </c>
    </row>
    <row r="1156">
      <c r="A1156" s="3">
        <v>1134.0</v>
      </c>
      <c r="B1156" s="3" t="s">
        <v>189</v>
      </c>
      <c r="C1156" s="3" t="s">
        <v>190</v>
      </c>
      <c r="D1156" s="3" t="s">
        <v>3075</v>
      </c>
      <c r="E1156" s="3" t="s">
        <v>3072</v>
      </c>
      <c r="F1156" s="3" t="s">
        <v>3073</v>
      </c>
      <c r="G1156" s="3" t="str">
        <f>IFERROR(__xludf.DUMMYFUNCTION("GOOGLETRANSLATE(D1156,""fr"",""es"")"),"carrete")</f>
        <v>carrete</v>
      </c>
    </row>
    <row r="1157">
      <c r="A1157" s="3">
        <v>1135.0</v>
      </c>
      <c r="B1157" s="3" t="s">
        <v>189</v>
      </c>
      <c r="C1157" s="3" t="s">
        <v>190</v>
      </c>
      <c r="D1157" s="3" t="s">
        <v>3076</v>
      </c>
      <c r="E1157" s="3" t="s">
        <v>3077</v>
      </c>
      <c r="F1157" s="3" t="s">
        <v>3078</v>
      </c>
      <c r="G1157" s="3" t="str">
        <f>IFERROR(__xludf.DUMMYFUNCTION("GOOGLETRANSLATE(D1157,""fr"",""es"")"),"Loukoum")</f>
        <v>Loukoum</v>
      </c>
      <c r="H1157" s="3" t="s">
        <v>3079</v>
      </c>
    </row>
    <row r="1158">
      <c r="A1158" s="3">
        <v>1136.0</v>
      </c>
      <c r="B1158" s="3" t="s">
        <v>189</v>
      </c>
      <c r="C1158" s="3" t="s">
        <v>190</v>
      </c>
      <c r="D1158" s="3" t="s">
        <v>3080</v>
      </c>
      <c r="E1158" s="3" t="s">
        <v>3077</v>
      </c>
      <c r="F1158" s="3" t="s">
        <v>3078</v>
      </c>
      <c r="G1158" s="3" t="str">
        <f>IFERROR(__xludf.DUMMYFUNCTION("GOOGLETRANSLATE(D1158,""fr"",""es"")"),"Delicia Turca")</f>
        <v>Delicia Turca</v>
      </c>
    </row>
    <row r="1159">
      <c r="A1159" s="3">
        <v>1137.0</v>
      </c>
      <c r="B1159" s="3" t="s">
        <v>189</v>
      </c>
      <c r="C1159" s="3" t="s">
        <v>190</v>
      </c>
      <c r="D1159" s="3" t="s">
        <v>3081</v>
      </c>
      <c r="E1159" s="3" t="s">
        <v>3082</v>
      </c>
      <c r="F1159" s="3" t="s">
        <v>3083</v>
      </c>
      <c r="G1159" s="3" t="str">
        <f>IFERROR(__xludf.DUMMYFUNCTION("GOOGLETRANSLATE(D1159,""fr"",""es"")"),"loulou")</f>
        <v>loulou</v>
      </c>
    </row>
    <row r="1160">
      <c r="A1160" s="3">
        <v>1138.0</v>
      </c>
      <c r="B1160" s="3" t="s">
        <v>189</v>
      </c>
      <c r="C1160" s="3" t="s">
        <v>190</v>
      </c>
      <c r="D1160" s="3" t="s">
        <v>3084</v>
      </c>
      <c r="E1160" s="3" t="s">
        <v>3082</v>
      </c>
      <c r="F1160" s="3" t="s">
        <v>3083</v>
      </c>
      <c r="G1160" s="3" t="str">
        <f>IFERROR(__xludf.DUMMYFUNCTION("GOOGLETRANSLATE(D1160,""fr"",""es"")"),"enemigo")</f>
        <v>enemigo</v>
      </c>
    </row>
    <row r="1161">
      <c r="A1161" s="3">
        <v>1139.0</v>
      </c>
      <c r="B1161" s="3" t="s">
        <v>189</v>
      </c>
      <c r="C1161" s="3" t="s">
        <v>190</v>
      </c>
      <c r="D1161" s="3" t="s">
        <v>3085</v>
      </c>
      <c r="E1161" s="3" t="s">
        <v>3072</v>
      </c>
      <c r="F1161" s="3" t="s">
        <v>3073</v>
      </c>
      <c r="G1161" s="3" t="str">
        <f>IFERROR(__xludf.DUMMYFUNCTION("GOOGLETRANSLATE(D1161,""fr"",""es"")"),"lobo")</f>
        <v>lobo</v>
      </c>
      <c r="H1161" s="3" t="s">
        <v>3086</v>
      </c>
      <c r="I1161" s="3" t="s">
        <v>3087</v>
      </c>
      <c r="J1161" s="3" t="s">
        <v>3086</v>
      </c>
      <c r="K1161" s="3" t="s">
        <v>3088</v>
      </c>
      <c r="L1161" s="3" t="s">
        <v>3089</v>
      </c>
      <c r="M1161" s="3" t="s">
        <v>3090</v>
      </c>
      <c r="N1161" s="3" t="s">
        <v>3091</v>
      </c>
      <c r="O1161" s="3" t="s">
        <v>3092</v>
      </c>
      <c r="P1161" s="3" t="s">
        <v>620</v>
      </c>
      <c r="Q1161" s="3" t="s">
        <v>3086</v>
      </c>
      <c r="R1161" s="3" t="s">
        <v>3093</v>
      </c>
      <c r="S1161" s="3" t="s">
        <v>621</v>
      </c>
      <c r="T1161" s="3" t="s">
        <v>3094</v>
      </c>
      <c r="U1161" s="3" t="s">
        <v>3086</v>
      </c>
      <c r="V1161" s="3" t="s">
        <v>3095</v>
      </c>
      <c r="W1161" s="3" t="s">
        <v>3096</v>
      </c>
      <c r="X1161" s="3" t="s">
        <v>3097</v>
      </c>
      <c r="Y1161" s="3" t="s">
        <v>3098</v>
      </c>
    </row>
    <row r="1162">
      <c r="A1162" s="3">
        <v>1140.0</v>
      </c>
      <c r="B1162" s="3" t="s">
        <v>189</v>
      </c>
      <c r="C1162" s="3" t="s">
        <v>190</v>
      </c>
      <c r="D1162" s="3" t="s">
        <v>3099</v>
      </c>
      <c r="E1162" s="3" t="s">
        <v>3100</v>
      </c>
      <c r="F1162" s="3" t="s">
        <v>3101</v>
      </c>
      <c r="G1162" s="3" t="str">
        <f>IFERROR(__xludf.DUMMYFUNCTION("GOOGLETRANSLATE(D1162,""fr"",""es"")"),"Loupai")</f>
        <v>Loupai</v>
      </c>
    </row>
    <row r="1163">
      <c r="A1163" s="3">
        <v>1141.0</v>
      </c>
      <c r="B1163" s="3" t="s">
        <v>189</v>
      </c>
      <c r="C1163" s="3" t="s">
        <v>190</v>
      </c>
      <c r="D1163" s="3" t="s">
        <v>3102</v>
      </c>
      <c r="E1163" s="3" t="s">
        <v>3100</v>
      </c>
      <c r="F1163" s="3" t="s">
        <v>3101</v>
      </c>
      <c r="G1163" s="3" t="str">
        <f>IFERROR(__xludf.DUMMYFUNCTION("GOOGLETRANSLATE(D1163,""fr"",""es"")"),"lupa")</f>
        <v>lupa</v>
      </c>
    </row>
    <row r="1164">
      <c r="A1164" s="3">
        <v>1142.0</v>
      </c>
      <c r="B1164" s="3" t="s">
        <v>189</v>
      </c>
      <c r="C1164" s="3" t="s">
        <v>190</v>
      </c>
      <c r="D1164" s="3" t="s">
        <v>3103</v>
      </c>
      <c r="E1164" s="3" t="s">
        <v>3100</v>
      </c>
      <c r="F1164" s="3" t="s">
        <v>3101</v>
      </c>
      <c r="G1164" s="3" t="str">
        <f>IFERROR(__xludf.DUMMYFUNCTION("GOOGLETRANSLATE(D1164,""fr"",""es"")"),"loupis")</f>
        <v>loupis</v>
      </c>
    </row>
    <row r="1165">
      <c r="A1165" s="3">
        <v>1143.0</v>
      </c>
      <c r="B1165" s="3" t="s">
        <v>189</v>
      </c>
      <c r="C1165" s="3" t="s">
        <v>190</v>
      </c>
      <c r="D1165" s="3" t="s">
        <v>3104</v>
      </c>
      <c r="E1165" s="3" t="s">
        <v>3100</v>
      </c>
      <c r="F1165" s="3" t="s">
        <v>3101</v>
      </c>
      <c r="G1165" s="3" t="str">
        <f>IFERROR(__xludf.DUMMYFUNCTION("GOOGLETRANSLATE(D1165,""fr"",""es"")"),"lupa")</f>
        <v>lupa</v>
      </c>
    </row>
    <row r="1166">
      <c r="A1166" s="3">
        <v>1144.0</v>
      </c>
      <c r="B1166" s="3" t="s">
        <v>189</v>
      </c>
      <c r="C1166" s="3" t="s">
        <v>190</v>
      </c>
      <c r="D1166" s="3" t="s">
        <v>3105</v>
      </c>
      <c r="E1166" s="3" t="s">
        <v>3106</v>
      </c>
      <c r="F1166" s="3" t="s">
        <v>3107</v>
      </c>
      <c r="G1166" s="3" t="str">
        <f>IFERROR(__xludf.DUMMYFUNCTION("GOOGLETRANSLATE(D1166,""fr"",""es"")"),"lobo")</f>
        <v>lobo</v>
      </c>
    </row>
    <row r="1167">
      <c r="A1167" s="3">
        <v>1145.0</v>
      </c>
      <c r="B1167" s="3" t="s">
        <v>189</v>
      </c>
      <c r="C1167" s="3" t="s">
        <v>190</v>
      </c>
      <c r="D1167" s="3" t="s">
        <v>3108</v>
      </c>
      <c r="E1167" s="3" t="s">
        <v>3109</v>
      </c>
      <c r="F1167" s="3" t="s">
        <v>3110</v>
      </c>
      <c r="G1167" s="3" t="str">
        <f>IFERROR(__xludf.DUMMYFUNCTION("GOOGLETRANSLATE(D1167,""fr"",""es"")"),"luminoso")</f>
        <v>luminoso</v>
      </c>
    </row>
    <row r="1168">
      <c r="A1168" s="3">
        <v>1146.0</v>
      </c>
      <c r="B1168" s="3" t="s">
        <v>189</v>
      </c>
      <c r="C1168" s="3" t="s">
        <v>190</v>
      </c>
      <c r="D1168" s="3" t="s">
        <v>3111</v>
      </c>
      <c r="E1168" s="3" t="s">
        <v>3109</v>
      </c>
      <c r="F1168" s="3" t="s">
        <v>3110</v>
      </c>
      <c r="G1168" s="3" t="str">
        <f>IFERROR(__xludf.DUMMYFUNCTION("GOOGLETRANSLATE(D1168,""fr"",""es"")"),"luminoso")</f>
        <v>luminoso</v>
      </c>
    </row>
    <row r="1169">
      <c r="A1169" s="3">
        <v>1147.0</v>
      </c>
      <c r="B1169" s="3" t="s">
        <v>189</v>
      </c>
      <c r="C1169" s="3" t="s">
        <v>190</v>
      </c>
      <c r="D1169" s="3" t="s">
        <v>3112</v>
      </c>
      <c r="E1169" s="3" t="s">
        <v>3109</v>
      </c>
      <c r="F1169" s="3" t="s">
        <v>3110</v>
      </c>
      <c r="G1169" s="3" t="str">
        <f>IFERROR(__xludf.DUMMYFUNCTION("GOOGLETRANSLATE(D1169,""fr"",""es"")"),"luminoso")</f>
        <v>luminoso</v>
      </c>
    </row>
    <row r="1170">
      <c r="A1170" s="3">
        <v>1148.0</v>
      </c>
      <c r="B1170" s="3" t="s">
        <v>189</v>
      </c>
      <c r="C1170" s="3" t="s">
        <v>190</v>
      </c>
      <c r="D1170" s="3" t="s">
        <v>3113</v>
      </c>
      <c r="E1170" s="3" t="s">
        <v>3114</v>
      </c>
      <c r="F1170" s="3" t="s">
        <v>3115</v>
      </c>
      <c r="G1170" s="3" t="str">
        <f>IFERROR(__xludf.DUMMYFUNCTION("GOOGLETRANSLATE(D1170,""fr"",""es"")"),"lupa")</f>
        <v>lupa</v>
      </c>
      <c r="H1170" s="3" t="s">
        <v>3116</v>
      </c>
      <c r="I1170" s="3" t="s">
        <v>3117</v>
      </c>
      <c r="J1170" s="3" t="s">
        <v>3118</v>
      </c>
      <c r="K1170" s="3" t="s">
        <v>3113</v>
      </c>
      <c r="L1170" s="3" t="s">
        <v>3119</v>
      </c>
      <c r="M1170" s="3" t="s">
        <v>3120</v>
      </c>
      <c r="N1170" s="3" t="s">
        <v>3121</v>
      </c>
      <c r="O1170" s="3" t="s">
        <v>3122</v>
      </c>
      <c r="P1170" s="3" t="s">
        <v>3123</v>
      </c>
    </row>
    <row r="1171">
      <c r="A1171" s="3">
        <v>1149.0</v>
      </c>
      <c r="B1171" s="3" t="s">
        <v>189</v>
      </c>
      <c r="C1171" s="3" t="s">
        <v>190</v>
      </c>
      <c r="D1171" s="3" t="s">
        <v>3124</v>
      </c>
      <c r="E1171" s="3" t="s">
        <v>3114</v>
      </c>
      <c r="F1171" s="3" t="s">
        <v>3115</v>
      </c>
      <c r="G1171" s="3" t="str">
        <f>IFERROR(__xludf.DUMMYFUNCTION("GOOGLETRANSLATE(D1171,""fr"",""es"")"),"renuncia")</f>
        <v>renuncia</v>
      </c>
    </row>
    <row r="1172">
      <c r="A1172" s="3">
        <v>1150.0</v>
      </c>
      <c r="B1172" s="3" t="s">
        <v>189</v>
      </c>
      <c r="C1172" s="3" t="s">
        <v>190</v>
      </c>
      <c r="D1172" s="3" t="s">
        <v>3125</v>
      </c>
      <c r="E1172" s="3" t="s">
        <v>3114</v>
      </c>
      <c r="F1172" s="3" t="s">
        <v>3115</v>
      </c>
      <c r="G1172" s="3" t="str">
        <f>IFERROR(__xludf.DUMMYFUNCTION("GOOGLETRANSLATE(D1172,""fr"",""es"")"),"lanchas")</f>
        <v>lanchas</v>
      </c>
    </row>
    <row r="1173">
      <c r="A1173" s="3">
        <v>1151.0</v>
      </c>
      <c r="B1173" s="3" t="s">
        <v>189</v>
      </c>
      <c r="C1173" s="3" t="s">
        <v>190</v>
      </c>
      <c r="D1173" s="3" t="s">
        <v>3126</v>
      </c>
      <c r="E1173" s="3" t="s">
        <v>3072</v>
      </c>
      <c r="F1173" s="3" t="s">
        <v>3073</v>
      </c>
      <c r="G1173" s="3" t="str">
        <f>IFERROR(__xludf.DUMMYFUNCTION("GOOGLETRANSLATE(D1173,""fr"",""es"")"),"Lobos")</f>
        <v>Lobos</v>
      </c>
    </row>
    <row r="1174">
      <c r="A1174" s="3">
        <v>1152.0</v>
      </c>
      <c r="B1174" s="3" t="s">
        <v>189</v>
      </c>
      <c r="C1174" s="3" t="s">
        <v>190</v>
      </c>
      <c r="D1174" s="3" t="s">
        <v>3127</v>
      </c>
      <c r="E1174" s="3" t="s">
        <v>2825</v>
      </c>
      <c r="F1174" s="3" t="s">
        <v>2826</v>
      </c>
      <c r="G1174" s="3" t="str">
        <f>IFERROR(__xludf.DUMMYFUNCTION("GOOGLETRANSLATE(D1174,""fr"",""es"")"),"lirio")</f>
        <v>lirio</v>
      </c>
      <c r="H1174" s="3" t="s">
        <v>3128</v>
      </c>
      <c r="I1174" s="3" t="s">
        <v>3129</v>
      </c>
      <c r="J1174" s="3" t="s">
        <v>3130</v>
      </c>
    </row>
    <row r="1175">
      <c r="A1175" s="3">
        <v>1153.0</v>
      </c>
      <c r="B1175" s="3" t="s">
        <v>189</v>
      </c>
      <c r="C1175" s="3" t="s">
        <v>190</v>
      </c>
      <c r="D1175" s="3" t="s">
        <v>3131</v>
      </c>
      <c r="E1175" s="3" t="s">
        <v>408</v>
      </c>
      <c r="F1175" s="3" t="s">
        <v>409</v>
      </c>
      <c r="G1175" s="3" t="str">
        <f>IFERROR(__xludf.DUMMYFUNCTION("GOOGLETRANSLATE(D1175,""fr"",""es"")"),"METRO")</f>
        <v>METRO</v>
      </c>
      <c r="H1175" s="3" t="s">
        <v>3132</v>
      </c>
      <c r="I1175" s="3" t="s">
        <v>3133</v>
      </c>
      <c r="J1175" s="3" t="s">
        <v>3134</v>
      </c>
    </row>
    <row r="1176">
      <c r="A1176" s="3">
        <v>1154.0</v>
      </c>
      <c r="B1176" s="3" t="s">
        <v>189</v>
      </c>
      <c r="C1176" s="3" t="s">
        <v>190</v>
      </c>
      <c r="D1176" s="3" t="s">
        <v>3135</v>
      </c>
      <c r="E1176" s="3" t="s">
        <v>3136</v>
      </c>
      <c r="F1176" s="3" t="s">
        <v>3134</v>
      </c>
      <c r="G1176" s="3" t="str">
        <f>IFERROR(__xludf.DUMMYFUNCTION("GOOGLETRANSLATE(D1176,""fr"",""es"")"),"M '")</f>
        <v>M '</v>
      </c>
    </row>
    <row r="1177">
      <c r="A1177" s="3">
        <v>1155.0</v>
      </c>
      <c r="B1177" s="3" t="s">
        <v>189</v>
      </c>
      <c r="C1177" s="3" t="s">
        <v>190</v>
      </c>
      <c r="D1177" s="3" t="s">
        <v>136</v>
      </c>
      <c r="E1177" s="3" t="s">
        <v>3137</v>
      </c>
      <c r="F1177" s="3" t="s">
        <v>136</v>
      </c>
      <c r="G1177" s="3" t="str">
        <f>IFERROR(__xludf.DUMMYFUNCTION("GOOGLETRANSLATE(D1177,""fr"",""es"")"),"mi")</f>
        <v>mi</v>
      </c>
      <c r="H1177" s="3" t="s">
        <v>145</v>
      </c>
      <c r="I1177" s="3" t="s">
        <v>146</v>
      </c>
    </row>
    <row r="1178">
      <c r="A1178" s="3">
        <v>1156.0</v>
      </c>
      <c r="B1178" s="3" t="s">
        <v>189</v>
      </c>
      <c r="C1178" s="3" t="s">
        <v>190</v>
      </c>
      <c r="D1178" s="3" t="s">
        <v>3138</v>
      </c>
      <c r="E1178" s="3" t="s">
        <v>3139</v>
      </c>
      <c r="F1178" s="3" t="s">
        <v>3140</v>
      </c>
      <c r="G1178" s="3" t="str">
        <f>IFERROR(__xludf.DUMMYFUNCTION("GOOGLETRANSLATE(D1178,""fr"",""es"")"),"Mac")</f>
        <v>Mac</v>
      </c>
    </row>
    <row r="1179">
      <c r="A1179" s="3">
        <v>1157.0</v>
      </c>
      <c r="B1179" s="3" t="s">
        <v>189</v>
      </c>
      <c r="C1179" s="3" t="s">
        <v>190</v>
      </c>
      <c r="D1179" s="3" t="s">
        <v>3141</v>
      </c>
      <c r="E1179" s="3" t="s">
        <v>3142</v>
      </c>
      <c r="F1179" s="3" t="s">
        <v>3143</v>
      </c>
      <c r="G1179" s="3" t="str">
        <f>IFERROR(__xludf.DUMMYFUNCTION("GOOGLETRANSLATE(D1179,""fr"",""es"")"),"macaco")</f>
        <v>macaco</v>
      </c>
      <c r="H1179" s="3" t="s">
        <v>3141</v>
      </c>
    </row>
    <row r="1180">
      <c r="A1180" s="3">
        <v>1158.0</v>
      </c>
      <c r="B1180" s="3" t="s">
        <v>189</v>
      </c>
      <c r="C1180" s="3" t="s">
        <v>190</v>
      </c>
      <c r="D1180" s="3" t="s">
        <v>3144</v>
      </c>
      <c r="E1180" s="3" t="s">
        <v>3142</v>
      </c>
      <c r="F1180" s="3" t="s">
        <v>3143</v>
      </c>
      <c r="G1180" s="3" t="str">
        <f>IFERROR(__xludf.DUMMYFUNCTION("GOOGLETRANSLATE(D1180,""fr"",""es"")"),"macacos")</f>
        <v>macacos</v>
      </c>
    </row>
    <row r="1181">
      <c r="A1181" s="3">
        <v>1159.0</v>
      </c>
      <c r="B1181" s="3" t="s">
        <v>189</v>
      </c>
      <c r="C1181" s="3" t="s">
        <v>190</v>
      </c>
      <c r="D1181" s="3" t="s">
        <v>3145</v>
      </c>
      <c r="E1181" s="3" t="s">
        <v>3146</v>
      </c>
      <c r="F1181" s="3" t="s">
        <v>3147</v>
      </c>
      <c r="G1181" s="3" t="str">
        <f>IFERROR(__xludf.DUMMYFUNCTION("GOOGLETRANSLATE(D1181,""fr"",""es"")"),"machai")</f>
        <v>machai</v>
      </c>
    </row>
    <row r="1182">
      <c r="A1182" s="3">
        <v>1160.0</v>
      </c>
      <c r="B1182" s="3" t="s">
        <v>189</v>
      </c>
      <c r="C1182" s="3" t="s">
        <v>190</v>
      </c>
      <c r="D1182" s="3" t="s">
        <v>3148</v>
      </c>
      <c r="E1182" s="3" t="s">
        <v>3146</v>
      </c>
      <c r="F1182" s="3" t="s">
        <v>3147</v>
      </c>
      <c r="G1182" s="3" t="str">
        <f>IFERROR(__xludf.DUMMYFUNCTION("GOOGLETRANSLATE(D1182,""fr"",""es"")"),"oculto")</f>
        <v>oculto</v>
      </c>
    </row>
    <row r="1183">
      <c r="A1183" s="3">
        <v>1161.0</v>
      </c>
      <c r="B1183" s="3" t="s">
        <v>189</v>
      </c>
      <c r="C1183" s="3" t="s">
        <v>190</v>
      </c>
      <c r="D1183" s="3" t="s">
        <v>3149</v>
      </c>
      <c r="E1183" s="3" t="s">
        <v>3146</v>
      </c>
      <c r="F1183" s="3" t="s">
        <v>3147</v>
      </c>
      <c r="G1183" s="3" t="str">
        <f>IFERROR(__xludf.DUMMYFUNCTION("GOOGLETRANSLATE(D1183,""fr"",""es"")"),"machais")</f>
        <v>machais</v>
      </c>
    </row>
    <row r="1184">
      <c r="A1184" s="3">
        <v>1162.0</v>
      </c>
      <c r="B1184" s="3" t="s">
        <v>189</v>
      </c>
      <c r="C1184" s="3" t="s">
        <v>190</v>
      </c>
      <c r="D1184" s="3" t="s">
        <v>3150</v>
      </c>
      <c r="E1184" s="3" t="s">
        <v>3146</v>
      </c>
      <c r="F1184" s="3" t="s">
        <v>3147</v>
      </c>
      <c r="G1184" s="3" t="str">
        <f>IFERROR(__xludf.DUMMYFUNCTION("GOOGLETRANSLATE(D1184,""fr"",""es"")"),"masticado")</f>
        <v>masticado</v>
      </c>
    </row>
    <row r="1185">
      <c r="A1185" s="3">
        <v>1163.0</v>
      </c>
      <c r="B1185" s="3" t="s">
        <v>189</v>
      </c>
      <c r="C1185" s="3" t="s">
        <v>190</v>
      </c>
      <c r="D1185" s="3" t="s">
        <v>3151</v>
      </c>
      <c r="E1185" s="3" t="s">
        <v>3152</v>
      </c>
      <c r="F1185" s="3" t="s">
        <v>3153</v>
      </c>
      <c r="G1185" s="3" t="str">
        <f>IFERROR(__xludf.DUMMYFUNCTION("GOOGLETRANSLATE(D1185,""fr"",""es"")"),"mandíbula")</f>
        <v>mandíbula</v>
      </c>
    </row>
    <row r="1186">
      <c r="A1186" s="3">
        <v>1164.0</v>
      </c>
      <c r="B1186" s="3" t="s">
        <v>189</v>
      </c>
      <c r="C1186" s="3" t="s">
        <v>190</v>
      </c>
      <c r="D1186" s="3" t="s">
        <v>3154</v>
      </c>
      <c r="E1186" s="3" t="s">
        <v>3155</v>
      </c>
      <c r="F1186" s="3" t="s">
        <v>3156</v>
      </c>
      <c r="G1186" s="3" t="str">
        <f>IFERROR(__xludf.DUMMYFUNCTION("GOOGLETRANSLATE(D1186,""fr"",""es"")"),"mermelada")</f>
        <v>mermelada</v>
      </c>
    </row>
    <row r="1187">
      <c r="A1187" s="3">
        <v>1165.0</v>
      </c>
      <c r="B1187" s="3" t="s">
        <v>189</v>
      </c>
      <c r="C1187" s="3" t="s">
        <v>190</v>
      </c>
      <c r="D1187" s="3" t="s">
        <v>3157</v>
      </c>
      <c r="E1187" s="3" t="s">
        <v>3155</v>
      </c>
      <c r="F1187" s="3" t="s">
        <v>3156</v>
      </c>
      <c r="G1187" s="3" t="str">
        <f>IFERROR(__xludf.DUMMYFUNCTION("GOOGLETRANSLATE(D1187,""fr"",""es"")"),"mermelada")</f>
        <v>mermelada</v>
      </c>
    </row>
    <row r="1188">
      <c r="A1188" s="3">
        <v>1166.0</v>
      </c>
      <c r="B1188" s="3" t="s">
        <v>189</v>
      </c>
      <c r="C1188" s="3" t="s">
        <v>190</v>
      </c>
      <c r="D1188" s="3" t="s">
        <v>3158</v>
      </c>
      <c r="E1188" s="3" t="s">
        <v>3155</v>
      </c>
      <c r="F1188" s="3" t="s">
        <v>3156</v>
      </c>
      <c r="G1188" s="3" t="str">
        <f>IFERROR(__xludf.DUMMYFUNCTION("GOOGLETRANSLATE(D1188,""fr"",""es"")"),"breve")</f>
        <v>breve</v>
      </c>
    </row>
    <row r="1189">
      <c r="A1189" s="3">
        <v>1167.0</v>
      </c>
      <c r="B1189" s="3" t="s">
        <v>189</v>
      </c>
      <c r="C1189" s="3" t="s">
        <v>190</v>
      </c>
      <c r="D1189" s="3" t="s">
        <v>3159</v>
      </c>
      <c r="E1189" s="3" t="s">
        <v>3160</v>
      </c>
      <c r="F1189" s="3" t="s">
        <v>3161</v>
      </c>
      <c r="G1189" s="3" t="str">
        <f>IFERROR(__xludf.DUMMYFUNCTION("GOOGLETRANSLATE(D1189,""fr"",""es"")"),"masticado")</f>
        <v>masticado</v>
      </c>
      <c r="H1189" s="3" t="s">
        <v>3162</v>
      </c>
    </row>
    <row r="1190">
      <c r="A1190" s="3">
        <v>1168.0</v>
      </c>
      <c r="B1190" s="3" t="s">
        <v>189</v>
      </c>
      <c r="C1190" s="3" t="s">
        <v>190</v>
      </c>
      <c r="D1190" s="3" t="s">
        <v>3163</v>
      </c>
      <c r="E1190" s="3" t="s">
        <v>3160</v>
      </c>
      <c r="F1190" s="3" t="s">
        <v>3161</v>
      </c>
      <c r="G1190" s="3" t="str">
        <f>IFERROR(__xludf.DUMMYFUNCTION("GOOGLETRANSLATE(D1190,""fr"",""es"")"),"masticar")</f>
        <v>masticar</v>
      </c>
    </row>
    <row r="1191">
      <c r="A1191" s="3">
        <v>1169.0</v>
      </c>
      <c r="B1191" s="3" t="s">
        <v>189</v>
      </c>
      <c r="C1191" s="3" t="s">
        <v>190</v>
      </c>
      <c r="D1191" s="3" t="s">
        <v>3164</v>
      </c>
      <c r="E1191" s="3" t="s">
        <v>3160</v>
      </c>
      <c r="F1191" s="3" t="s">
        <v>3161</v>
      </c>
      <c r="G1191" s="3" t="str">
        <f>IFERROR(__xludf.DUMMYFUNCTION("GOOGLETRANSLATE(D1191,""fr"",""es"")"),"masticar")</f>
        <v>masticar</v>
      </c>
    </row>
    <row r="1192">
      <c r="A1192" s="3">
        <v>1170.0</v>
      </c>
      <c r="B1192" s="3" t="s">
        <v>189</v>
      </c>
      <c r="C1192" s="3" t="s">
        <v>190</v>
      </c>
      <c r="D1192" s="3" t="s">
        <v>3165</v>
      </c>
      <c r="E1192" s="3" t="s">
        <v>3166</v>
      </c>
      <c r="F1192" s="3" t="s">
        <v>3167</v>
      </c>
      <c r="G1192" s="3" t="str">
        <f>IFERROR(__xludf.DUMMYFUNCTION("GOOGLETRANSLATE(D1192,""fr"",""es"")"),"mandíbula")</f>
        <v>mandíbula</v>
      </c>
      <c r="H1192" s="3" t="s">
        <v>3168</v>
      </c>
    </row>
    <row r="1193">
      <c r="A1193" s="3">
        <v>1171.0</v>
      </c>
      <c r="B1193" s="3" t="s">
        <v>189</v>
      </c>
      <c r="C1193" s="3" t="s">
        <v>190</v>
      </c>
      <c r="D1193" s="3" t="s">
        <v>3169</v>
      </c>
      <c r="E1193" s="3" t="s">
        <v>3170</v>
      </c>
      <c r="F1193" s="3" t="s">
        <v>3171</v>
      </c>
      <c r="G1193" s="3" t="str">
        <f>IFERROR(__xludf.DUMMYFUNCTION("GOOGLETRANSLATE(D1193,""fr"",""es"")"),"machinai")</f>
        <v>machinai</v>
      </c>
    </row>
    <row r="1194">
      <c r="A1194" s="3">
        <v>1172.0</v>
      </c>
      <c r="B1194" s="3" t="s">
        <v>189</v>
      </c>
      <c r="C1194" s="3" t="s">
        <v>190</v>
      </c>
      <c r="D1194" s="3" t="s">
        <v>3172</v>
      </c>
      <c r="E1194" s="3" t="s">
        <v>3170</v>
      </c>
      <c r="F1194" s="3" t="s">
        <v>3171</v>
      </c>
      <c r="G1194" s="3" t="str">
        <f>IFERROR(__xludf.DUMMYFUNCTION("GOOGLETRANSLATE(D1194,""fr"",""es"")"),"envuelto")</f>
        <v>envuelto</v>
      </c>
    </row>
    <row r="1195">
      <c r="A1195" s="3">
        <v>1173.0</v>
      </c>
      <c r="B1195" s="3" t="s">
        <v>189</v>
      </c>
      <c r="C1195" s="3" t="s">
        <v>190</v>
      </c>
      <c r="D1195" s="3" t="s">
        <v>3173</v>
      </c>
      <c r="E1195" s="3" t="s">
        <v>3170</v>
      </c>
      <c r="F1195" s="3" t="s">
        <v>3171</v>
      </c>
      <c r="G1195" s="3" t="str">
        <f>IFERROR(__xludf.DUMMYFUNCTION("GOOGLETRANSLATE(D1195,""fr"",""es"")"),"Machinais")</f>
        <v>Machinais</v>
      </c>
    </row>
    <row r="1196">
      <c r="A1196" s="3">
        <v>1174.0</v>
      </c>
      <c r="B1196" s="3" t="s">
        <v>189</v>
      </c>
      <c r="C1196" s="3" t="s">
        <v>190</v>
      </c>
      <c r="D1196" s="3" t="s">
        <v>3174</v>
      </c>
      <c r="E1196" s="3" t="s">
        <v>3170</v>
      </c>
      <c r="F1196" s="3" t="s">
        <v>3171</v>
      </c>
      <c r="G1196" s="3" t="str">
        <f>IFERROR(__xludf.DUMMYFUNCTION("GOOGLETRANSLATE(D1196,""fr"",""es"")"),"envuelto")</f>
        <v>envuelto</v>
      </c>
    </row>
    <row r="1197">
      <c r="A1197" s="3">
        <v>1175.0</v>
      </c>
      <c r="B1197" s="3" t="s">
        <v>189</v>
      </c>
      <c r="C1197" s="3" t="s">
        <v>190</v>
      </c>
      <c r="D1197" s="3" t="s">
        <v>3175</v>
      </c>
      <c r="E1197" s="3" t="s">
        <v>3176</v>
      </c>
      <c r="F1197" s="3" t="s">
        <v>3177</v>
      </c>
      <c r="G1197" s="3" t="str">
        <f>IFERROR(__xludf.DUMMYFUNCTION("GOOGLETRANSLATE(D1197,""fr"",""es"")"),"mecánico")</f>
        <v>mecánico</v>
      </c>
    </row>
    <row r="1198">
      <c r="A1198" s="3">
        <v>1176.0</v>
      </c>
      <c r="B1198" s="3" t="s">
        <v>189</v>
      </c>
      <c r="C1198" s="3" t="s">
        <v>190</v>
      </c>
      <c r="D1198" s="3" t="s">
        <v>3178</v>
      </c>
      <c r="E1198" s="3" t="s">
        <v>3176</v>
      </c>
      <c r="F1198" s="3" t="s">
        <v>3177</v>
      </c>
      <c r="G1198" s="3" t="str">
        <f>IFERROR(__xludf.DUMMYFUNCTION("GOOGLETRANSLATE(D1198,""fr"",""es"")"),"mecánico")</f>
        <v>mecánico</v>
      </c>
    </row>
    <row r="1199">
      <c r="A1199" s="3">
        <v>1177.0</v>
      </c>
      <c r="B1199" s="3" t="s">
        <v>189</v>
      </c>
      <c r="C1199" s="3" t="s">
        <v>190</v>
      </c>
      <c r="D1199" s="3" t="s">
        <v>3179</v>
      </c>
      <c r="E1199" s="3" t="s">
        <v>3176</v>
      </c>
      <c r="F1199" s="3" t="s">
        <v>3177</v>
      </c>
      <c r="G1199" s="3" t="str">
        <f>IFERROR(__xludf.DUMMYFUNCTION("GOOGLETRANSLATE(D1199,""fr"",""es"")"),"mecánico")</f>
        <v>mecánico</v>
      </c>
    </row>
    <row r="1200">
      <c r="A1200" s="3">
        <v>1178.0</v>
      </c>
      <c r="B1200" s="3" t="s">
        <v>189</v>
      </c>
      <c r="C1200" s="3" t="s">
        <v>190</v>
      </c>
      <c r="D1200" s="3" t="s">
        <v>3180</v>
      </c>
      <c r="E1200" s="3" t="s">
        <v>3181</v>
      </c>
      <c r="F1200" s="3" t="s">
        <v>3182</v>
      </c>
      <c r="G1200" s="3" t="str">
        <f>IFERROR(__xludf.DUMMYFUNCTION("GOOGLETRANSLATE(D1200,""fr"",""es"")"),"cosa")</f>
        <v>cosa</v>
      </c>
    </row>
    <row r="1201">
      <c r="A1201" s="3">
        <v>1179.0</v>
      </c>
      <c r="B1201" s="3" t="s">
        <v>189</v>
      </c>
      <c r="C1201" s="3" t="s">
        <v>190</v>
      </c>
      <c r="D1201" s="3" t="s">
        <v>3183</v>
      </c>
      <c r="E1201" s="3" t="s">
        <v>3184</v>
      </c>
      <c r="F1201" s="3" t="s">
        <v>3185</v>
      </c>
      <c r="G1201" s="3" t="str">
        <f>IFERROR(__xludf.DUMMYFUNCTION("GOOGLETRANSLATE(D1201,""fr"",""es"")"),"machinasse")</f>
        <v>machinasse</v>
      </c>
    </row>
    <row r="1202">
      <c r="A1202" s="3">
        <v>1180.0</v>
      </c>
      <c r="B1202" s="3" t="s">
        <v>189</v>
      </c>
      <c r="C1202" s="3" t="s">
        <v>190</v>
      </c>
      <c r="D1202" s="3" t="s">
        <v>3186</v>
      </c>
      <c r="E1202" s="3" t="s">
        <v>3184</v>
      </c>
      <c r="F1202" s="3" t="s">
        <v>3185</v>
      </c>
      <c r="G1202" s="3" t="str">
        <f>IFERROR(__xludf.DUMMYFUNCTION("GOOGLETRANSLATE(D1202,""fr"",""es"")"),"machinasse")</f>
        <v>machinasse</v>
      </c>
    </row>
    <row r="1203">
      <c r="A1203" s="3">
        <v>1181.0</v>
      </c>
      <c r="B1203" s="3" t="s">
        <v>189</v>
      </c>
      <c r="C1203" s="3" t="s">
        <v>190</v>
      </c>
      <c r="D1203" s="3" t="s">
        <v>3187</v>
      </c>
      <c r="E1203" s="3" t="s">
        <v>3184</v>
      </c>
      <c r="F1203" s="3" t="s">
        <v>3185</v>
      </c>
      <c r="G1203" s="3" t="str">
        <f>IFERROR(__xludf.DUMMYFUNCTION("GOOGLETRANSLATE(D1203,""fr"",""es"")"),"machinasas")</f>
        <v>machinasas</v>
      </c>
    </row>
    <row r="1204">
      <c r="A1204" s="3">
        <v>1182.0</v>
      </c>
      <c r="B1204" s="3" t="s">
        <v>189</v>
      </c>
      <c r="C1204" s="3" t="s">
        <v>190</v>
      </c>
      <c r="D1204" s="3" t="s">
        <v>3188</v>
      </c>
      <c r="E1204" s="3" t="s">
        <v>3189</v>
      </c>
      <c r="F1204" s="3" t="s">
        <v>3190</v>
      </c>
      <c r="G1204" s="3" t="str">
        <f>IFERROR(__xludf.DUMMYFUNCTION("GOOGLETRANSLATE(D1204,""fr"",""es"")"),"máquina")</f>
        <v>máquina</v>
      </c>
      <c r="H1204" s="3" t="s">
        <v>3188</v>
      </c>
      <c r="I1204" s="3" t="s">
        <v>3188</v>
      </c>
      <c r="J1204" s="3" t="s">
        <v>3188</v>
      </c>
      <c r="K1204" s="3" t="s">
        <v>3188</v>
      </c>
      <c r="L1204" s="3" t="s">
        <v>3191</v>
      </c>
      <c r="M1204" s="3" t="s">
        <v>3192</v>
      </c>
      <c r="N1204" s="3" t="s">
        <v>3188</v>
      </c>
      <c r="O1204" s="3" t="s">
        <v>3193</v>
      </c>
      <c r="P1204" s="3" t="s">
        <v>3188</v>
      </c>
      <c r="Q1204" s="3" t="s">
        <v>3192</v>
      </c>
      <c r="R1204" s="3" t="s">
        <v>3194</v>
      </c>
      <c r="S1204" s="3" t="s">
        <v>3188</v>
      </c>
    </row>
    <row r="1205">
      <c r="A1205" s="3">
        <v>1183.0</v>
      </c>
      <c r="B1205" s="3" t="s">
        <v>189</v>
      </c>
      <c r="C1205" s="3" t="s">
        <v>190</v>
      </c>
      <c r="D1205" s="3" t="s">
        <v>3195</v>
      </c>
      <c r="E1205" s="3" t="s">
        <v>3189</v>
      </c>
      <c r="F1205" s="3" t="s">
        <v>3190</v>
      </c>
      <c r="G1205" s="3" t="str">
        <f>IFERROR(__xludf.DUMMYFUNCTION("GOOGLETRANSLATE(D1205,""fr"",""es"")"),"Máquina")</f>
        <v>Máquina</v>
      </c>
      <c r="H1205" s="3" t="s">
        <v>3188</v>
      </c>
      <c r="I1205" s="3" t="s">
        <v>3188</v>
      </c>
      <c r="J1205" s="3" t="s">
        <v>3188</v>
      </c>
      <c r="K1205" s="3" t="s">
        <v>3188</v>
      </c>
      <c r="L1205" s="3" t="s">
        <v>3191</v>
      </c>
      <c r="M1205" s="3" t="s">
        <v>3192</v>
      </c>
      <c r="N1205" s="3" t="s">
        <v>3188</v>
      </c>
      <c r="O1205" s="3" t="s">
        <v>3193</v>
      </c>
      <c r="P1205" s="3" t="s">
        <v>3188</v>
      </c>
      <c r="Q1205" s="3" t="s">
        <v>3192</v>
      </c>
      <c r="R1205" s="3" t="s">
        <v>3194</v>
      </c>
      <c r="S1205" s="3" t="s">
        <v>3188</v>
      </c>
    </row>
    <row r="1206">
      <c r="A1206" s="3">
        <v>1184.0</v>
      </c>
      <c r="B1206" s="3" t="s">
        <v>189</v>
      </c>
      <c r="C1206" s="3" t="s">
        <v>190</v>
      </c>
      <c r="D1206" s="3" t="s">
        <v>3196</v>
      </c>
      <c r="E1206" s="3" t="s">
        <v>3189</v>
      </c>
      <c r="F1206" s="3" t="s">
        <v>3190</v>
      </c>
      <c r="G1206" s="3" t="str">
        <f>IFERROR(__xludf.DUMMYFUNCTION("GOOGLETRANSLATE(D1206,""fr"",""es"")"),"máquina")</f>
        <v>máquina</v>
      </c>
    </row>
    <row r="1207">
      <c r="A1207" s="3">
        <v>1185.0</v>
      </c>
      <c r="B1207" s="3" t="s">
        <v>189</v>
      </c>
      <c r="C1207" s="3" t="s">
        <v>190</v>
      </c>
      <c r="D1207" s="3" t="s">
        <v>3197</v>
      </c>
      <c r="E1207" s="3" t="s">
        <v>3189</v>
      </c>
      <c r="F1207" s="3" t="s">
        <v>3190</v>
      </c>
      <c r="G1207" s="3" t="str">
        <f>IFERROR(__xludf.DUMMYFUNCTION("GOOGLETRANSLATE(D1207,""fr"",""es"")"),"máquinas")</f>
        <v>máquinas</v>
      </c>
    </row>
    <row r="1208">
      <c r="A1208" s="3">
        <v>1186.0</v>
      </c>
      <c r="B1208" s="3" t="s">
        <v>189</v>
      </c>
      <c r="C1208" s="3" t="s">
        <v>190</v>
      </c>
      <c r="D1208" s="3" t="s">
        <v>3198</v>
      </c>
      <c r="E1208" s="3" t="s">
        <v>3199</v>
      </c>
      <c r="F1208" s="3" t="s">
        <v>3200</v>
      </c>
      <c r="G1208" s="3" t="str">
        <f>IFERROR(__xludf.DUMMYFUNCTION("GOOGLETRANSLATE(D1208,""fr"",""es"")"),"maquinaria")</f>
        <v>maquinaria</v>
      </c>
    </row>
    <row r="1209">
      <c r="A1209" s="3">
        <v>1187.0</v>
      </c>
      <c r="B1209" s="3" t="s">
        <v>189</v>
      </c>
      <c r="C1209" s="3" t="s">
        <v>190</v>
      </c>
      <c r="D1209" s="3" t="s">
        <v>3201</v>
      </c>
      <c r="E1209" s="3" t="s">
        <v>3199</v>
      </c>
      <c r="F1209" s="3" t="s">
        <v>3200</v>
      </c>
      <c r="G1209" s="3" t="str">
        <f>IFERROR(__xludf.DUMMYFUNCTION("GOOGLETRANSLATE(D1209,""fr"",""es"")"),"maquinismos")</f>
        <v>maquinismos</v>
      </c>
    </row>
    <row r="1210">
      <c r="A1210" s="3">
        <v>1188.0</v>
      </c>
      <c r="B1210" s="3" t="s">
        <v>189</v>
      </c>
      <c r="C1210" s="3" t="s">
        <v>190</v>
      </c>
      <c r="D1210" s="3" t="s">
        <v>3202</v>
      </c>
      <c r="E1210" s="3" t="s">
        <v>3199</v>
      </c>
      <c r="F1210" s="3" t="s">
        <v>3200</v>
      </c>
      <c r="G1210" s="3" t="str">
        <f>IFERROR(__xludf.DUMMYFUNCTION("GOOGLETRANSLATE(D1210,""fr"",""es"")"),"maquinista")</f>
        <v>maquinista</v>
      </c>
      <c r="H1210" s="3" t="s">
        <v>3203</v>
      </c>
      <c r="I1210" s="3" t="s">
        <v>3204</v>
      </c>
      <c r="J1210" s="3" t="s">
        <v>3205</v>
      </c>
    </row>
    <row r="1211">
      <c r="A1211" s="3">
        <v>1189.0</v>
      </c>
      <c r="B1211" s="3" t="s">
        <v>189</v>
      </c>
      <c r="C1211" s="3" t="s">
        <v>190</v>
      </c>
      <c r="D1211" s="3" t="s">
        <v>3206</v>
      </c>
      <c r="E1211" s="3" t="s">
        <v>3199</v>
      </c>
      <c r="F1211" s="3" t="s">
        <v>3200</v>
      </c>
      <c r="G1211" s="3" t="str">
        <f>IFERROR(__xludf.DUMMYFUNCTION("GOOGLETRANSLATE(D1211,""fr"",""es"")"),"maquinistas")</f>
        <v>maquinistas</v>
      </c>
    </row>
    <row r="1212">
      <c r="A1212" s="3">
        <v>1190.0</v>
      </c>
      <c r="B1212" s="3" t="s">
        <v>189</v>
      </c>
      <c r="C1212" s="3" t="s">
        <v>190</v>
      </c>
      <c r="D1212" s="3" t="s">
        <v>3207</v>
      </c>
      <c r="E1212" s="3" t="s">
        <v>3208</v>
      </c>
      <c r="F1212" s="3" t="s">
        <v>3209</v>
      </c>
      <c r="G1212" s="3" t="str">
        <f>IFERROR(__xludf.DUMMYFUNCTION("GOOGLETRANSLATE(D1212,""fr"",""es"")"),"masticado")</f>
        <v>masticado</v>
      </c>
    </row>
    <row r="1213">
      <c r="A1213" s="3">
        <v>1191.0</v>
      </c>
      <c r="B1213" s="3" t="s">
        <v>189</v>
      </c>
      <c r="C1213" s="3" t="s">
        <v>190</v>
      </c>
      <c r="D1213" s="3" t="s">
        <v>3210</v>
      </c>
      <c r="E1213" s="3" t="s">
        <v>3208</v>
      </c>
      <c r="F1213" s="3" t="s">
        <v>3209</v>
      </c>
      <c r="G1213" s="3" t="str">
        <f>IFERROR(__xludf.DUMMYFUNCTION("GOOGLETRANSLATE(D1213,""fr"",""es"")"),"masticado")</f>
        <v>masticado</v>
      </c>
    </row>
    <row r="1214">
      <c r="A1214" s="3">
        <v>1192.0</v>
      </c>
      <c r="B1214" s="3" t="s">
        <v>189</v>
      </c>
      <c r="C1214" s="3" t="s">
        <v>190</v>
      </c>
      <c r="D1214" s="3" t="s">
        <v>3211</v>
      </c>
      <c r="E1214" s="3" t="s">
        <v>3208</v>
      </c>
      <c r="F1214" s="3" t="s">
        <v>3209</v>
      </c>
      <c r="G1214" s="3" t="str">
        <f>IFERROR(__xludf.DUMMYFUNCTION("GOOGLETRANSLATE(D1214,""fr"",""es"")"),"masticado")</f>
        <v>masticado</v>
      </c>
    </row>
    <row r="1215">
      <c r="A1215" s="3">
        <v>1193.0</v>
      </c>
      <c r="B1215" s="3" t="s">
        <v>189</v>
      </c>
      <c r="C1215" s="3" t="s">
        <v>190</v>
      </c>
      <c r="D1215" s="3" t="s">
        <v>3212</v>
      </c>
      <c r="E1215" s="3" t="s">
        <v>3208</v>
      </c>
      <c r="F1215" s="3" t="s">
        <v>3209</v>
      </c>
      <c r="G1215" s="3" t="str">
        <f>IFERROR(__xludf.DUMMYFUNCTION("GOOGLETRANSLATE(D1215,""fr"",""es"")"),"masticado")</f>
        <v>masticado</v>
      </c>
    </row>
    <row r="1216">
      <c r="A1216" s="3">
        <v>1194.0</v>
      </c>
      <c r="B1216" s="3" t="s">
        <v>189</v>
      </c>
      <c r="C1216" s="3" t="s">
        <v>190</v>
      </c>
      <c r="D1216" s="3" t="s">
        <v>3213</v>
      </c>
      <c r="E1216" s="3" t="s">
        <v>3214</v>
      </c>
      <c r="F1216" s="3" t="s">
        <v>3215</v>
      </c>
      <c r="G1216" s="3" t="str">
        <f>IFERROR(__xludf.DUMMYFUNCTION("GOOGLETRANSLATE(D1216,""fr"",""es"")"),"masticado")</f>
        <v>masticado</v>
      </c>
    </row>
    <row r="1217">
      <c r="A1217" s="3">
        <v>1195.0</v>
      </c>
      <c r="B1217" s="3" t="s">
        <v>189</v>
      </c>
      <c r="C1217" s="3" t="s">
        <v>190</v>
      </c>
      <c r="D1217" s="3" t="s">
        <v>3216</v>
      </c>
      <c r="E1217" s="3" t="s">
        <v>3217</v>
      </c>
      <c r="F1217" s="3" t="s">
        <v>3218</v>
      </c>
      <c r="G1217" s="3" t="str">
        <f>IFERROR(__xludf.DUMMYFUNCTION("GOOGLETRANSLATE(D1217,""fr"",""es"")"),"masticado")</f>
        <v>masticado</v>
      </c>
    </row>
    <row r="1218">
      <c r="A1218" s="3">
        <v>1196.0</v>
      </c>
      <c r="B1218" s="3" t="s">
        <v>189</v>
      </c>
      <c r="C1218" s="3" t="s">
        <v>190</v>
      </c>
      <c r="D1218" s="3" t="s">
        <v>3219</v>
      </c>
      <c r="E1218" s="3" t="s">
        <v>3217</v>
      </c>
      <c r="F1218" s="3" t="s">
        <v>3218</v>
      </c>
      <c r="G1218" s="3" t="str">
        <f>IFERROR(__xludf.DUMMYFUNCTION("GOOGLETRANSLATE(D1218,""fr"",""es"")"),"masticado")</f>
        <v>masticado</v>
      </c>
    </row>
    <row r="1219">
      <c r="A1219" s="3">
        <v>1197.0</v>
      </c>
      <c r="B1219" s="3" t="s">
        <v>189</v>
      </c>
      <c r="C1219" s="3" t="s">
        <v>190</v>
      </c>
      <c r="D1219" s="3" t="s">
        <v>3220</v>
      </c>
      <c r="E1219" s="3" t="s">
        <v>3217</v>
      </c>
      <c r="F1219" s="3" t="s">
        <v>3218</v>
      </c>
      <c r="G1219" s="3" t="str">
        <f>IFERROR(__xludf.DUMMYFUNCTION("GOOGLETRANSLATE(D1219,""fr"",""es"")"),"masticado")</f>
        <v>masticado</v>
      </c>
    </row>
    <row r="1220">
      <c r="A1220" s="3">
        <v>1198.0</v>
      </c>
      <c r="B1220" s="3" t="s">
        <v>189</v>
      </c>
      <c r="C1220" s="3" t="s">
        <v>190</v>
      </c>
      <c r="D1220" s="3" t="s">
        <v>3221</v>
      </c>
      <c r="E1220" s="3" t="s">
        <v>3222</v>
      </c>
      <c r="F1220" s="3" t="s">
        <v>3223</v>
      </c>
      <c r="G1220" s="3" t="str">
        <f>IFERROR(__xludf.DUMMYFUNCTION("GOOGLETRANSLATE(D1220,""fr"",""es"")"),"masticar")</f>
        <v>masticar</v>
      </c>
    </row>
    <row r="1221">
      <c r="A1221" s="3">
        <v>1199.0</v>
      </c>
      <c r="B1221" s="3" t="s">
        <v>189</v>
      </c>
      <c r="C1221" s="3" t="s">
        <v>190</v>
      </c>
      <c r="D1221" s="3" t="s">
        <v>3224</v>
      </c>
      <c r="E1221" s="3" t="s">
        <v>3222</v>
      </c>
      <c r="F1221" s="3" t="s">
        <v>3223</v>
      </c>
      <c r="G1221" s="3" t="str">
        <f>IFERROR(__xludf.DUMMYFUNCTION("GOOGLETRANSLATE(D1221,""fr"",""es"")"),"masticar")</f>
        <v>masticar</v>
      </c>
    </row>
    <row r="1222">
      <c r="A1222" s="3">
        <v>1200.0</v>
      </c>
      <c r="B1222" s="3" t="s">
        <v>189</v>
      </c>
      <c r="C1222" s="3" t="s">
        <v>190</v>
      </c>
      <c r="D1222" s="3" t="s">
        <v>3225</v>
      </c>
      <c r="E1222" s="3" t="s">
        <v>3222</v>
      </c>
      <c r="F1222" s="3" t="s">
        <v>3223</v>
      </c>
      <c r="G1222" s="3" t="str">
        <f>IFERROR(__xludf.DUMMYFUNCTION("GOOGLETRANSLATE(D1222,""fr"",""es"")"),"masticado")</f>
        <v>masticado</v>
      </c>
    </row>
    <row r="1223">
      <c r="A1223" s="3">
        <v>1201.0</v>
      </c>
      <c r="B1223" s="3" t="s">
        <v>189</v>
      </c>
      <c r="C1223" s="3" t="s">
        <v>190</v>
      </c>
      <c r="D1223" s="3" t="s">
        <v>3226</v>
      </c>
      <c r="E1223" s="3" t="s">
        <v>3139</v>
      </c>
      <c r="F1223" s="3" t="s">
        <v>3140</v>
      </c>
      <c r="G1223" s="3" t="str">
        <f>IFERROR(__xludf.DUMMYFUNCTION("GOOGLETRANSLATE(D1223,""fr"",""es"")"),"Macs")</f>
        <v>Macs</v>
      </c>
    </row>
    <row r="1224">
      <c r="A1224" s="3">
        <v>1202.0</v>
      </c>
      <c r="B1224" s="3" t="s">
        <v>189</v>
      </c>
      <c r="C1224" s="3" t="s">
        <v>190</v>
      </c>
      <c r="D1224" s="3" t="s">
        <v>3227</v>
      </c>
      <c r="E1224" s="3" t="s">
        <v>3228</v>
      </c>
      <c r="F1224" s="3" t="s">
        <v>3229</v>
      </c>
      <c r="G1224" s="3" t="str">
        <f>IFERROR(__xludf.DUMMYFUNCTION("GOOGLETRANSLATE(D1224,""fr"",""es"")"),"Magnai")</f>
        <v>Magnai</v>
      </c>
    </row>
    <row r="1225">
      <c r="A1225" s="3">
        <v>1203.0</v>
      </c>
      <c r="B1225" s="3" t="s">
        <v>189</v>
      </c>
      <c r="C1225" s="3" t="s">
        <v>190</v>
      </c>
      <c r="D1225" s="3" t="s">
        <v>3230</v>
      </c>
      <c r="E1225" s="3" t="s">
        <v>3228</v>
      </c>
      <c r="F1225" s="3" t="s">
        <v>3229</v>
      </c>
      <c r="G1225" s="3" t="str">
        <f>IFERROR(__xludf.DUMMYFUNCTION("GOOGLETRANSLATE(D1225,""fr"",""es"")"),"magnificado")</f>
        <v>magnificado</v>
      </c>
    </row>
    <row r="1226">
      <c r="A1226" s="3">
        <v>1204.0</v>
      </c>
      <c r="B1226" s="3" t="s">
        <v>189</v>
      </c>
      <c r="C1226" s="3" t="s">
        <v>190</v>
      </c>
      <c r="D1226" s="3" t="s">
        <v>3231</v>
      </c>
      <c r="E1226" s="3" t="s">
        <v>3228</v>
      </c>
      <c r="F1226" s="3" t="s">
        <v>3229</v>
      </c>
      <c r="G1226" s="3" t="str">
        <f>IFERROR(__xludf.DUMMYFUNCTION("GOOGLETRANSLATE(D1226,""fr"",""es"")"),"Magna")</f>
        <v>Magna</v>
      </c>
    </row>
    <row r="1227">
      <c r="A1227" s="3">
        <v>1205.0</v>
      </c>
      <c r="B1227" s="3" t="s">
        <v>189</v>
      </c>
      <c r="C1227" s="3" t="s">
        <v>190</v>
      </c>
      <c r="D1227" s="3" t="s">
        <v>3232</v>
      </c>
      <c r="E1227" s="3" t="s">
        <v>3228</v>
      </c>
      <c r="F1227" s="3" t="s">
        <v>3229</v>
      </c>
      <c r="G1227" s="3" t="str">
        <f>IFERROR(__xludf.DUMMYFUNCTION("GOOGLETRANSLATE(D1227,""fr"",""es"")"),"encerado")</f>
        <v>encerado</v>
      </c>
    </row>
    <row r="1228">
      <c r="A1228" s="3">
        <v>1206.0</v>
      </c>
      <c r="B1228" s="3" t="s">
        <v>189</v>
      </c>
      <c r="C1228" s="3" t="s">
        <v>190</v>
      </c>
      <c r="D1228" s="3" t="s">
        <v>3233</v>
      </c>
      <c r="E1228" s="3" t="s">
        <v>3234</v>
      </c>
      <c r="F1228" s="3" t="s">
        <v>3235</v>
      </c>
      <c r="G1228" s="3" t="str">
        <f>IFERROR(__xludf.DUMMYFUNCTION("GOOGLETRANSLATE(D1228,""fr"",""es"")"),"Magnâmes")</f>
        <v>Magnâmes</v>
      </c>
    </row>
    <row r="1229">
      <c r="A1229" s="3">
        <v>1207.0</v>
      </c>
      <c r="B1229" s="3" t="s">
        <v>189</v>
      </c>
      <c r="C1229" s="3" t="s">
        <v>190</v>
      </c>
      <c r="D1229" s="3" t="s">
        <v>3236</v>
      </c>
      <c r="E1229" s="3" t="s">
        <v>3237</v>
      </c>
      <c r="F1229" s="3" t="s">
        <v>3238</v>
      </c>
      <c r="G1229" s="3" t="str">
        <f>IFERROR(__xludf.DUMMYFUNCTION("GOOGLETRANSLATE(D1229,""fr"",""es"")"),"magnánimo")</f>
        <v>magnánimo</v>
      </c>
      <c r="H1229" s="3" t="s">
        <v>3239</v>
      </c>
      <c r="I1229" s="3" t="s">
        <v>3240</v>
      </c>
      <c r="J1229" s="3" t="s">
        <v>3241</v>
      </c>
      <c r="K1229" s="3" t="s">
        <v>3242</v>
      </c>
      <c r="L1229" s="3" t="s">
        <v>3241</v>
      </c>
    </row>
    <row r="1230">
      <c r="A1230" s="3">
        <v>1208.0</v>
      </c>
      <c r="B1230" s="3" t="s">
        <v>189</v>
      </c>
      <c r="C1230" s="3" t="s">
        <v>190</v>
      </c>
      <c r="D1230" s="3" t="s">
        <v>3243</v>
      </c>
      <c r="E1230" s="3" t="s">
        <v>3237</v>
      </c>
      <c r="F1230" s="3" t="s">
        <v>3238</v>
      </c>
      <c r="G1230" s="3" t="str">
        <f>IFERROR(__xludf.DUMMYFUNCTION("GOOGLETRANSLATE(D1230,""fr"",""es"")"),"Magnantimes")</f>
        <v>Magnantimes</v>
      </c>
    </row>
    <row r="1231">
      <c r="A1231" s="3">
        <v>1209.0</v>
      </c>
      <c r="B1231" s="3" t="s">
        <v>189</v>
      </c>
      <c r="C1231" s="3" t="s">
        <v>190</v>
      </c>
      <c r="D1231" s="3" t="s">
        <v>3244</v>
      </c>
      <c r="E1231" s="3" t="s">
        <v>3245</v>
      </c>
      <c r="F1231" s="3" t="s">
        <v>3246</v>
      </c>
      <c r="G1231" s="3" t="str">
        <f>IFERROR(__xludf.DUMMYFUNCTION("GOOGLETRANSLATE(D1231,""fr"",""es"")"),"magnásico")</f>
        <v>magnásico</v>
      </c>
    </row>
    <row r="1232">
      <c r="A1232" s="3">
        <v>1210.0</v>
      </c>
      <c r="B1232" s="3" t="s">
        <v>189</v>
      </c>
      <c r="C1232" s="3" t="s">
        <v>190</v>
      </c>
      <c r="D1232" s="3" t="s">
        <v>3247</v>
      </c>
      <c r="E1232" s="3" t="s">
        <v>3245</v>
      </c>
      <c r="F1232" s="3" t="s">
        <v>3246</v>
      </c>
      <c r="G1232" s="3" t="str">
        <f>IFERROR(__xludf.DUMMYFUNCTION("GOOGLETRANSLATE(D1232,""fr"",""es"")"),"magnés")</f>
        <v>magnés</v>
      </c>
    </row>
    <row r="1233">
      <c r="A1233" s="3">
        <v>1211.0</v>
      </c>
      <c r="B1233" s="3" t="s">
        <v>189</v>
      </c>
      <c r="C1233" s="3" t="s">
        <v>190</v>
      </c>
      <c r="D1233" s="3" t="s">
        <v>3248</v>
      </c>
      <c r="E1233" s="3" t="s">
        <v>3245</v>
      </c>
      <c r="F1233" s="3" t="s">
        <v>3246</v>
      </c>
      <c r="G1233" s="3" t="str">
        <f>IFERROR(__xludf.DUMMYFUNCTION("GOOGLETRANSLATE(D1233,""fr"",""es"")"),"magnásico")</f>
        <v>magnásico</v>
      </c>
    </row>
    <row r="1234">
      <c r="A1234" s="3">
        <v>1212.0</v>
      </c>
      <c r="B1234" s="3" t="s">
        <v>189</v>
      </c>
      <c r="C1234" s="3" t="s">
        <v>190</v>
      </c>
      <c r="D1234" s="3" t="s">
        <v>3249</v>
      </c>
      <c r="E1234" s="3" t="s">
        <v>3250</v>
      </c>
      <c r="F1234" s="3" t="s">
        <v>3251</v>
      </c>
      <c r="G1234" s="3" t="str">
        <f>IFERROR(__xludf.DUMMYFUNCTION("GOOGLETRANSLATE(D1234,""fr"",""es"")"),"magne")</f>
        <v>magne</v>
      </c>
    </row>
    <row r="1235">
      <c r="A1235" s="3">
        <v>1213.0</v>
      </c>
      <c r="B1235" s="3" t="s">
        <v>189</v>
      </c>
      <c r="C1235" s="3" t="s">
        <v>190</v>
      </c>
      <c r="D1235" s="3" t="s">
        <v>3252</v>
      </c>
      <c r="E1235" s="3" t="s">
        <v>3250</v>
      </c>
      <c r="F1235" s="3" t="s">
        <v>3251</v>
      </c>
      <c r="G1235" s="3" t="str">
        <f>IFERROR(__xludf.DUMMYFUNCTION("GOOGLETRANSLATE(D1235,""fr"",""es"")"),"magnento")</f>
        <v>magnento</v>
      </c>
    </row>
    <row r="1236">
      <c r="A1236" s="3">
        <v>1214.0</v>
      </c>
      <c r="B1236" s="3" t="s">
        <v>189</v>
      </c>
      <c r="C1236" s="3" t="s">
        <v>190</v>
      </c>
      <c r="D1236" s="3" t="s">
        <v>3253</v>
      </c>
      <c r="E1236" s="3" t="s">
        <v>3250</v>
      </c>
      <c r="F1236" s="3" t="s">
        <v>3251</v>
      </c>
      <c r="G1236" s="3" t="str">
        <f>IFERROR(__xludf.DUMMYFUNCTION("GOOGLETRANSLATE(D1236,""fr"",""es"")"),"magia")</f>
        <v>magia</v>
      </c>
    </row>
    <row r="1237">
      <c r="A1237" s="3">
        <v>1215.0</v>
      </c>
      <c r="B1237" s="3" t="s">
        <v>189</v>
      </c>
      <c r="C1237" s="3" t="s">
        <v>190</v>
      </c>
      <c r="D1237" s="3" t="s">
        <v>3254</v>
      </c>
      <c r="E1237" s="3" t="s">
        <v>3137</v>
      </c>
      <c r="F1237" s="3" t="s">
        <v>136</v>
      </c>
      <c r="G1237" s="3" t="str">
        <f>IFERROR(__xludf.DUMMYFUNCTION("GOOGLETRANSLATE(D1237,""fr"",""es"")"),"mayo")</f>
        <v>mayo</v>
      </c>
      <c r="H1237" s="3" t="s">
        <v>3255</v>
      </c>
      <c r="I1237" s="3" t="s">
        <v>3256</v>
      </c>
      <c r="J1237" s="3" t="s">
        <v>3257</v>
      </c>
      <c r="K1237" s="3" t="s">
        <v>3258</v>
      </c>
      <c r="L1237" s="3" t="s">
        <v>3259</v>
      </c>
      <c r="M1237" s="3" t="s">
        <v>3260</v>
      </c>
      <c r="N1237" s="3" t="s">
        <v>3261</v>
      </c>
      <c r="O1237" s="3" t="s">
        <v>3262</v>
      </c>
    </row>
    <row r="1238">
      <c r="A1238" s="3">
        <v>1216.0</v>
      </c>
      <c r="B1238" s="3" t="s">
        <v>189</v>
      </c>
      <c r="C1238" s="3" t="s">
        <v>190</v>
      </c>
      <c r="D1238" s="3" t="s">
        <v>3263</v>
      </c>
      <c r="E1238" s="3" t="s">
        <v>3137</v>
      </c>
      <c r="F1238" s="3" t="s">
        <v>136</v>
      </c>
      <c r="G1238" s="3" t="str">
        <f>IFERROR(__xludf.DUMMYFUNCTION("GOOGLETRANSLATE(D1238,""fr"",""es"")"),"maie")</f>
        <v>maie</v>
      </c>
    </row>
    <row r="1239">
      <c r="A1239" s="3">
        <v>1217.0</v>
      </c>
      <c r="B1239" s="3" t="s">
        <v>189</v>
      </c>
      <c r="C1239" s="3" t="s">
        <v>190</v>
      </c>
      <c r="D1239" s="3" t="s">
        <v>3264</v>
      </c>
      <c r="E1239" s="3" t="s">
        <v>3137</v>
      </c>
      <c r="F1239" s="3" t="s">
        <v>136</v>
      </c>
      <c r="G1239" s="3" t="str">
        <f>IFERROR(__xludf.DUMMYFUNCTION("GOOGLETRANSLATE(D1239,""fr"",""es"")"),"Maies")</f>
        <v>Maies</v>
      </c>
    </row>
    <row r="1240">
      <c r="A1240" s="3">
        <v>1218.0</v>
      </c>
      <c r="B1240" s="3" t="s">
        <v>189</v>
      </c>
      <c r="C1240" s="3" t="s">
        <v>190</v>
      </c>
      <c r="D1240" s="3" t="s">
        <v>3265</v>
      </c>
      <c r="E1240" s="3" t="s">
        <v>3266</v>
      </c>
      <c r="F1240" s="3" t="s">
        <v>3259</v>
      </c>
      <c r="G1240" s="3" t="str">
        <f>IFERROR(__xludf.DUMMYFUNCTION("GOOGLETRANSLATE(D1240,""fr"",""es"")"),"tejer")</f>
        <v>tejer</v>
      </c>
      <c r="H1240" s="3" t="s">
        <v>3267</v>
      </c>
      <c r="I1240" s="3" t="s">
        <v>3268</v>
      </c>
      <c r="J1240" s="3" t="s">
        <v>3269</v>
      </c>
      <c r="K1240" s="3" t="s">
        <v>3270</v>
      </c>
      <c r="L1240" s="3" t="s">
        <v>3271</v>
      </c>
      <c r="M1240" s="3" t="s">
        <v>3268</v>
      </c>
    </row>
    <row r="1241">
      <c r="A1241" s="3">
        <v>1219.0</v>
      </c>
      <c r="B1241" s="3" t="s">
        <v>189</v>
      </c>
      <c r="C1241" s="3" t="s">
        <v>190</v>
      </c>
      <c r="D1241" s="3" t="s">
        <v>3272</v>
      </c>
      <c r="E1241" s="3" t="s">
        <v>3266</v>
      </c>
      <c r="F1241" s="3" t="s">
        <v>3259</v>
      </c>
      <c r="G1241" s="3" t="str">
        <f>IFERROR(__xludf.DUMMYFUNCTION("GOOGLETRANSLATE(D1241,""fr"",""es"")"),"tejer")</f>
        <v>tejer</v>
      </c>
    </row>
    <row r="1242">
      <c r="A1242" s="3">
        <v>1220.0</v>
      </c>
      <c r="B1242" s="3" t="s">
        <v>189</v>
      </c>
      <c r="C1242" s="3" t="s">
        <v>190</v>
      </c>
      <c r="D1242" s="3" t="s">
        <v>3273</v>
      </c>
      <c r="E1242" s="3" t="s">
        <v>3274</v>
      </c>
      <c r="F1242" s="3" t="s">
        <v>3275</v>
      </c>
      <c r="G1242" s="3" t="str">
        <f>IFERROR(__xludf.DUMMYFUNCTION("GOOGLETRANSLATE(D1242,""fr"",""es"")"),"mazo")</f>
        <v>mazo</v>
      </c>
      <c r="H1242" s="3" t="s">
        <v>3276</v>
      </c>
      <c r="I1242" s="3" t="s">
        <v>3277</v>
      </c>
      <c r="J1242" s="3" t="s">
        <v>3276</v>
      </c>
      <c r="K1242" s="3" t="s">
        <v>3278</v>
      </c>
      <c r="L1242" s="3" t="s">
        <v>3276</v>
      </c>
    </row>
    <row r="1243">
      <c r="A1243" s="3">
        <v>1221.0</v>
      </c>
      <c r="B1243" s="3" t="s">
        <v>189</v>
      </c>
      <c r="C1243" s="3" t="s">
        <v>190</v>
      </c>
      <c r="D1243" s="3" t="s">
        <v>3279</v>
      </c>
      <c r="E1243" s="3" t="s">
        <v>3274</v>
      </c>
      <c r="F1243" s="3" t="s">
        <v>3275</v>
      </c>
      <c r="G1243" s="3" t="str">
        <f>IFERROR(__xludf.DUMMYFUNCTION("GOOGLETRANSLATE(D1243,""fr"",""es"")"),"mazos")</f>
        <v>mazos</v>
      </c>
    </row>
    <row r="1244">
      <c r="A1244" s="3">
        <v>1222.0</v>
      </c>
      <c r="B1244" s="3" t="s">
        <v>189</v>
      </c>
      <c r="C1244" s="3" t="s">
        <v>190</v>
      </c>
      <c r="D1244" s="3" t="s">
        <v>3280</v>
      </c>
      <c r="E1244" s="3" t="s">
        <v>3281</v>
      </c>
      <c r="F1244" s="3" t="s">
        <v>3282</v>
      </c>
      <c r="G1244" s="3" t="str">
        <f>IFERROR(__xludf.DUMMYFUNCTION("GOOGLETRANSLATE(D1244,""fr"",""es"")"),"Maine")</f>
        <v>Maine</v>
      </c>
      <c r="H1244" s="3" t="s">
        <v>3280</v>
      </c>
      <c r="I1244" s="3" t="s">
        <v>3283</v>
      </c>
      <c r="J1244" s="3" t="s">
        <v>3284</v>
      </c>
    </row>
    <row r="1245">
      <c r="A1245" s="3">
        <v>1223.0</v>
      </c>
      <c r="B1245" s="3" t="s">
        <v>189</v>
      </c>
      <c r="C1245" s="3" t="s">
        <v>190</v>
      </c>
      <c r="D1245" s="3" t="s">
        <v>3285</v>
      </c>
      <c r="E1245" s="3" t="s">
        <v>3137</v>
      </c>
      <c r="F1245" s="3" t="s">
        <v>136</v>
      </c>
      <c r="G1245" s="3" t="str">
        <f>IFERROR(__xludf.DUMMYFUNCTION("GOOGLETRANSLATE(D1245,""fr"",""es"")"),"pero")</f>
        <v>pero</v>
      </c>
      <c r="H1245" s="3" t="s">
        <v>3286</v>
      </c>
      <c r="I1245" s="3" t="s">
        <v>3287</v>
      </c>
      <c r="J1245" s="3" t="s">
        <v>3288</v>
      </c>
      <c r="K1245" s="3" t="s">
        <v>3289</v>
      </c>
      <c r="L1245" s="3" t="s">
        <v>3290</v>
      </c>
      <c r="M1245" s="3" t="s">
        <v>3291</v>
      </c>
      <c r="N1245" s="3" t="s">
        <v>3292</v>
      </c>
      <c r="O1245" s="3" t="s">
        <v>3293</v>
      </c>
      <c r="P1245" s="3" t="s">
        <v>3294</v>
      </c>
      <c r="Q1245" s="3" t="s">
        <v>3289</v>
      </c>
      <c r="R1245" s="3" t="s">
        <v>3295</v>
      </c>
      <c r="S1245" s="3" t="s">
        <v>3296</v>
      </c>
    </row>
    <row r="1246">
      <c r="A1246" s="3">
        <v>1224.0</v>
      </c>
      <c r="B1246" s="3" t="s">
        <v>189</v>
      </c>
      <c r="C1246" s="3" t="s">
        <v>190</v>
      </c>
      <c r="D1246" s="3" t="s">
        <v>3297</v>
      </c>
      <c r="E1246" s="3" t="s">
        <v>3298</v>
      </c>
      <c r="F1246" s="3" t="s">
        <v>3297</v>
      </c>
      <c r="G1246" s="3" t="str">
        <f>IFERROR(__xludf.DUMMYFUNCTION("GOOGLETRANSLATE(D1246,""fr"",""es"")"),"mal")</f>
        <v>mal</v>
      </c>
      <c r="H1246" s="3" t="s">
        <v>3299</v>
      </c>
      <c r="I1246" s="3" t="s">
        <v>3300</v>
      </c>
      <c r="J1246" s="3" t="s">
        <v>3301</v>
      </c>
      <c r="K1246" s="3" t="s">
        <v>3300</v>
      </c>
      <c r="L1246" s="3" t="s">
        <v>3299</v>
      </c>
      <c r="M1246" s="3" t="s">
        <v>3300</v>
      </c>
      <c r="N1246" s="3" t="s">
        <v>3300</v>
      </c>
      <c r="O1246" s="3" t="s">
        <v>3302</v>
      </c>
      <c r="P1246" s="3" t="s">
        <v>3300</v>
      </c>
      <c r="Q1246" s="3" t="s">
        <v>3300</v>
      </c>
      <c r="R1246" s="3" t="s">
        <v>3303</v>
      </c>
      <c r="S1246" s="3" t="s">
        <v>3304</v>
      </c>
      <c r="T1246" s="3" t="s">
        <v>3305</v>
      </c>
      <c r="U1246" s="3" t="s">
        <v>3300</v>
      </c>
      <c r="V1246" s="3" t="s">
        <v>3306</v>
      </c>
      <c r="W1246" s="3" t="s">
        <v>3300</v>
      </c>
      <c r="X1246" s="3" t="s">
        <v>3306</v>
      </c>
      <c r="Y1246" s="3" t="s">
        <v>3300</v>
      </c>
      <c r="Z1246" s="3" t="s">
        <v>3307</v>
      </c>
      <c r="AA1246" s="3" t="s">
        <v>3308</v>
      </c>
      <c r="AB1246" s="3" t="s">
        <v>3300</v>
      </c>
      <c r="AC1246" s="3" t="s">
        <v>3309</v>
      </c>
      <c r="AD1246" s="3" t="s">
        <v>3310</v>
      </c>
      <c r="AE1246" s="3" t="s">
        <v>3311</v>
      </c>
      <c r="AF1246" s="3" t="s">
        <v>3312</v>
      </c>
      <c r="AG1246" s="3" t="s">
        <v>3313</v>
      </c>
      <c r="AH1246" s="3" t="s">
        <v>3314</v>
      </c>
      <c r="AI1246" s="3" t="s">
        <v>3315</v>
      </c>
      <c r="AJ1246" s="3" t="s">
        <v>3306</v>
      </c>
      <c r="AK1246" s="3" t="s">
        <v>3316</v>
      </c>
      <c r="AL1246" s="3" t="s">
        <v>3317</v>
      </c>
      <c r="AM1246" s="3" t="s">
        <v>3315</v>
      </c>
      <c r="AN1246" s="3" t="s">
        <v>3318</v>
      </c>
      <c r="AO1246" s="3" t="s">
        <v>3319</v>
      </c>
      <c r="AP1246" s="3" t="s">
        <v>3320</v>
      </c>
      <c r="AQ1246" s="3" t="s">
        <v>3306</v>
      </c>
      <c r="AR1246" s="3" t="s">
        <v>3321</v>
      </c>
      <c r="AS1246" s="3" t="s">
        <v>3322</v>
      </c>
      <c r="AT1246" s="3" t="s">
        <v>3306</v>
      </c>
      <c r="AU1246" s="3" t="s">
        <v>3323</v>
      </c>
      <c r="AV1246" s="3" t="s">
        <v>3306</v>
      </c>
      <c r="AW1246" s="3" t="s">
        <v>3324</v>
      </c>
      <c r="AX1246" s="3" t="s">
        <v>3306</v>
      </c>
      <c r="AY1246" s="3" t="s">
        <v>3306</v>
      </c>
      <c r="AZ1246" s="3" t="s">
        <v>3325</v>
      </c>
      <c r="BA1246" s="3" t="s">
        <v>3326</v>
      </c>
      <c r="BB1246" s="3" t="s">
        <v>3306</v>
      </c>
      <c r="BC1246" s="3" t="s">
        <v>3306</v>
      </c>
      <c r="BD1246" s="3" t="s">
        <v>3306</v>
      </c>
      <c r="BE1246" s="3" t="s">
        <v>3327</v>
      </c>
      <c r="BF1246" s="3" t="s">
        <v>3328</v>
      </c>
      <c r="BG1246" s="3" t="s">
        <v>3306</v>
      </c>
      <c r="BH1246" s="3" t="s">
        <v>3306</v>
      </c>
      <c r="BI1246" s="3" t="s">
        <v>3329</v>
      </c>
      <c r="BJ1246" s="3" t="s">
        <v>3315</v>
      </c>
      <c r="BK1246" s="3" t="s">
        <v>3330</v>
      </c>
      <c r="BL1246" s="3" t="s">
        <v>3331</v>
      </c>
      <c r="BM1246" s="3" t="s">
        <v>3332</v>
      </c>
      <c r="BN1246" s="3" t="s">
        <v>3315</v>
      </c>
      <c r="BO1246" s="3" t="s">
        <v>3333</v>
      </c>
      <c r="BP1246" s="3" t="s">
        <v>3306</v>
      </c>
      <c r="BQ1246" s="3" t="s">
        <v>3334</v>
      </c>
      <c r="BR1246" s="3" t="s">
        <v>3315</v>
      </c>
      <c r="BS1246" s="3" t="s">
        <v>3335</v>
      </c>
      <c r="BT1246" s="3" t="s">
        <v>3336</v>
      </c>
      <c r="BU1246" s="3" t="s">
        <v>3337</v>
      </c>
      <c r="BV1246" s="3" t="s">
        <v>3338</v>
      </c>
      <c r="BW1246" s="3" t="s">
        <v>3339</v>
      </c>
      <c r="BX1246" s="3" t="s">
        <v>3340</v>
      </c>
      <c r="BY1246" s="3" t="s">
        <v>3299</v>
      </c>
      <c r="BZ1246" s="3" t="s">
        <v>3341</v>
      </c>
      <c r="CA1246" s="3" t="s">
        <v>3342</v>
      </c>
      <c r="CB1246" s="3" t="s">
        <v>3343</v>
      </c>
      <c r="CC1246" s="3" t="s">
        <v>3344</v>
      </c>
      <c r="CD1246" s="3" t="s">
        <v>3345</v>
      </c>
      <c r="CE1246" s="3" t="s">
        <v>3346</v>
      </c>
      <c r="CF1246" s="3" t="s">
        <v>3331</v>
      </c>
    </row>
    <row r="1247">
      <c r="A1247" s="3">
        <v>1225.0</v>
      </c>
      <c r="B1247" s="3" t="s">
        <v>189</v>
      </c>
      <c r="C1247" s="3" t="s">
        <v>190</v>
      </c>
      <c r="D1247" s="3" t="s">
        <v>3347</v>
      </c>
      <c r="E1247" s="3" t="s">
        <v>3348</v>
      </c>
      <c r="F1247" s="3" t="s">
        <v>3349</v>
      </c>
      <c r="G1247" s="3" t="str">
        <f>IFERROR(__xludf.DUMMYFUNCTION("GOOGLETRANSLATE(D1247,""fr"",""es"")"),"malayo")</f>
        <v>malayo</v>
      </c>
      <c r="H1247" s="3" t="s">
        <v>3350</v>
      </c>
      <c r="I1247" s="3" t="s">
        <v>3351</v>
      </c>
      <c r="J1247" s="3" t="s">
        <v>3352</v>
      </c>
      <c r="K1247" s="3" t="s">
        <v>3351</v>
      </c>
      <c r="L1247" s="3" t="s">
        <v>3350</v>
      </c>
      <c r="M1247" s="3" t="s">
        <v>3350</v>
      </c>
      <c r="N1247" s="3" t="s">
        <v>3351</v>
      </c>
    </row>
    <row r="1248">
      <c r="A1248" s="3">
        <v>1226.0</v>
      </c>
      <c r="B1248" s="3" t="s">
        <v>189</v>
      </c>
      <c r="C1248" s="3" t="s">
        <v>190</v>
      </c>
      <c r="D1248" s="3" t="s">
        <v>3353</v>
      </c>
      <c r="E1248" s="3" t="s">
        <v>3298</v>
      </c>
      <c r="F1248" s="3" t="s">
        <v>3297</v>
      </c>
      <c r="G1248" s="3" t="str">
        <f>IFERROR(__xludf.DUMMYFUNCTION("GOOGLETRANSLATE(D1248,""fr"",""es"")"),"masculino")</f>
        <v>masculino</v>
      </c>
      <c r="H1248" s="3" t="s">
        <v>3282</v>
      </c>
      <c r="I1248" s="3" t="s">
        <v>3354</v>
      </c>
      <c r="J1248" s="3" t="s">
        <v>3354</v>
      </c>
      <c r="K1248" s="3" t="s">
        <v>3354</v>
      </c>
      <c r="L1248" s="3" t="s">
        <v>3355</v>
      </c>
      <c r="M1248" s="3" t="s">
        <v>3356</v>
      </c>
      <c r="N1248" s="3" t="s">
        <v>3357</v>
      </c>
      <c r="O1248" s="3" t="s">
        <v>3358</v>
      </c>
      <c r="P1248" s="3" t="s">
        <v>3359</v>
      </c>
      <c r="Q1248" s="3" t="s">
        <v>3282</v>
      </c>
      <c r="R1248" s="3" t="s">
        <v>3282</v>
      </c>
      <c r="S1248" s="3" t="s">
        <v>326</v>
      </c>
      <c r="T1248" s="3" t="s">
        <v>3360</v>
      </c>
      <c r="U1248" s="3" t="s">
        <v>3354</v>
      </c>
      <c r="V1248" s="3" t="s">
        <v>3361</v>
      </c>
      <c r="W1248" s="3" t="s">
        <v>3362</v>
      </c>
      <c r="X1248" s="3" t="s">
        <v>3363</v>
      </c>
      <c r="Y1248" s="3" t="s">
        <v>3364</v>
      </c>
      <c r="Z1248" s="3" t="s">
        <v>3282</v>
      </c>
      <c r="AA1248" s="3" t="s">
        <v>3365</v>
      </c>
      <c r="AB1248" s="3" t="s">
        <v>3366</v>
      </c>
      <c r="AC1248" s="3" t="s">
        <v>3367</v>
      </c>
      <c r="AD1248" s="3" t="s">
        <v>3368</v>
      </c>
      <c r="AE1248" s="3" t="s">
        <v>3282</v>
      </c>
    </row>
    <row r="1249">
      <c r="A1249" s="3">
        <v>1227.0</v>
      </c>
      <c r="B1249" s="3" t="s">
        <v>189</v>
      </c>
      <c r="C1249" s="3" t="s">
        <v>190</v>
      </c>
      <c r="D1249" s="3" t="s">
        <v>3369</v>
      </c>
      <c r="E1249" s="3" t="s">
        <v>3298</v>
      </c>
      <c r="F1249" s="3" t="s">
        <v>3297</v>
      </c>
      <c r="G1249" s="3" t="str">
        <f>IFERROR(__xludf.DUMMYFUNCTION("GOOGLETRANSLATE(D1249,""fr"",""es"")"),"machos")</f>
        <v>machos</v>
      </c>
    </row>
    <row r="1250">
      <c r="A1250" s="3">
        <v>1228.0</v>
      </c>
      <c r="B1250" s="3" t="s">
        <v>189</v>
      </c>
      <c r="C1250" s="3" t="s">
        <v>190</v>
      </c>
      <c r="D1250" s="3" t="s">
        <v>3370</v>
      </c>
      <c r="E1250" s="3" t="s">
        <v>3371</v>
      </c>
      <c r="F1250" s="3" t="s">
        <v>3372</v>
      </c>
      <c r="G1250" s="3" t="str">
        <f>IFERROR(__xludf.DUMMYFUNCTION("GOOGLETRANSLATE(D1250,""fr"",""es"")"),"Malí")</f>
        <v>Malí</v>
      </c>
      <c r="H1250" s="3" t="s">
        <v>3370</v>
      </c>
      <c r="I1250" s="3" t="s">
        <v>3373</v>
      </c>
      <c r="J1250" s="3" t="s">
        <v>3374</v>
      </c>
    </row>
    <row r="1251">
      <c r="A1251" s="3">
        <v>1229.0</v>
      </c>
      <c r="B1251" s="3" t="s">
        <v>189</v>
      </c>
      <c r="C1251" s="3" t="s">
        <v>190</v>
      </c>
      <c r="D1251" s="3" t="s">
        <v>3375</v>
      </c>
      <c r="E1251" s="3" t="s">
        <v>3376</v>
      </c>
      <c r="F1251" s="3" t="s">
        <v>3377</v>
      </c>
      <c r="G1251" s="3" t="str">
        <f>IFERROR(__xludf.DUMMYFUNCTION("GOOGLETRANSLATE(D1251,""fr"",""es"")"),"malicia")</f>
        <v>malicia</v>
      </c>
    </row>
    <row r="1252">
      <c r="A1252" s="3">
        <v>1230.0</v>
      </c>
      <c r="B1252" s="3" t="s">
        <v>189</v>
      </c>
      <c r="C1252" s="3" t="s">
        <v>190</v>
      </c>
      <c r="D1252" s="3" t="s">
        <v>3378</v>
      </c>
      <c r="E1252" s="3" t="s">
        <v>3376</v>
      </c>
      <c r="F1252" s="3" t="s">
        <v>3377</v>
      </c>
      <c r="G1252" s="3" t="str">
        <f>IFERROR(__xludf.DUMMYFUNCTION("GOOGLETRANSLATE(D1252,""fr"",""es"")"),"malicia")</f>
        <v>malicia</v>
      </c>
    </row>
    <row r="1253">
      <c r="A1253" s="3">
        <v>1231.0</v>
      </c>
      <c r="B1253" s="3" t="s">
        <v>189</v>
      </c>
      <c r="C1253" s="3" t="s">
        <v>190</v>
      </c>
      <c r="D1253" s="3" t="s">
        <v>3379</v>
      </c>
      <c r="E1253" s="3" t="s">
        <v>3380</v>
      </c>
      <c r="F1253" s="3" t="s">
        <v>3381</v>
      </c>
      <c r="G1253" s="3" t="str">
        <f>IFERROR(__xludf.DUMMYFUNCTION("GOOGLETRANSLATE(D1253,""fr"",""es"")"),"inteligente")</f>
        <v>inteligente</v>
      </c>
    </row>
    <row r="1254">
      <c r="A1254" s="3">
        <v>1232.0</v>
      </c>
      <c r="B1254" s="3" t="s">
        <v>189</v>
      </c>
      <c r="C1254" s="3" t="s">
        <v>190</v>
      </c>
      <c r="D1254" s="3" t="s">
        <v>3382</v>
      </c>
      <c r="E1254" s="3" t="s">
        <v>3380</v>
      </c>
      <c r="F1254" s="3" t="s">
        <v>3381</v>
      </c>
      <c r="G1254" s="3" t="str">
        <f>IFERROR(__xludf.DUMMYFUNCTION("GOOGLETRANSLATE(D1254,""fr"",""es"")"),"maligno")</f>
        <v>maligno</v>
      </c>
    </row>
    <row r="1255">
      <c r="A1255" s="3">
        <v>1233.0</v>
      </c>
      <c r="B1255" s="3" t="s">
        <v>189</v>
      </c>
      <c r="C1255" s="3" t="s">
        <v>190</v>
      </c>
      <c r="D1255" s="3" t="s">
        <v>3383</v>
      </c>
      <c r="E1255" s="3" t="s">
        <v>3384</v>
      </c>
      <c r="F1255" s="3" t="s">
        <v>3385</v>
      </c>
      <c r="G1255" s="3" t="str">
        <f>IFERROR(__xludf.DUMMYFUNCTION("GOOGLETRANSLATE(D1255,""fr"",""es"")"),"travieso")</f>
        <v>travieso</v>
      </c>
    </row>
    <row r="1256">
      <c r="A1256" s="3">
        <v>1234.0</v>
      </c>
      <c r="B1256" s="3" t="s">
        <v>189</v>
      </c>
      <c r="C1256" s="3" t="s">
        <v>190</v>
      </c>
      <c r="D1256" s="3" t="s">
        <v>3386</v>
      </c>
      <c r="E1256" s="3" t="s">
        <v>3298</v>
      </c>
      <c r="F1256" s="3" t="s">
        <v>3297</v>
      </c>
      <c r="G1256" s="3" t="str">
        <f>IFERROR(__xludf.DUMMYFUNCTION("GOOGLETRANSLATE(D1256,""fr"",""es"")"),"tronco")</f>
        <v>tronco</v>
      </c>
    </row>
    <row r="1257">
      <c r="A1257" s="3">
        <v>1235.0</v>
      </c>
      <c r="B1257" s="3" t="s">
        <v>189</v>
      </c>
      <c r="C1257" s="3" t="s">
        <v>190</v>
      </c>
      <c r="D1257" s="3" t="s">
        <v>3387</v>
      </c>
      <c r="E1257" s="3" t="s">
        <v>3298</v>
      </c>
      <c r="F1257" s="3" t="s">
        <v>3297</v>
      </c>
      <c r="G1257" s="3" t="str">
        <f>IFERROR(__xludf.DUMMYFUNCTION("GOOGLETRANSLATE(D1257,""fr"",""es"")"),"bañador")</f>
        <v>bañador</v>
      </c>
    </row>
    <row r="1258">
      <c r="A1258" s="3">
        <v>1236.0</v>
      </c>
      <c r="B1258" s="3" t="s">
        <v>189</v>
      </c>
      <c r="C1258" s="3" t="s">
        <v>190</v>
      </c>
      <c r="D1258" s="3" t="s">
        <v>3388</v>
      </c>
      <c r="E1258" s="3" t="s">
        <v>3389</v>
      </c>
      <c r="F1258" s="3" t="s">
        <v>3390</v>
      </c>
      <c r="G1258" s="3" t="str">
        <f>IFERROR(__xludf.DUMMYFUNCTION("GOOGLETRANSLATE(D1258,""fr"",""es"")"),"ubre")</f>
        <v>ubre</v>
      </c>
      <c r="H1258" s="3" t="s">
        <v>3391</v>
      </c>
      <c r="I1258" s="3" t="s">
        <v>3392</v>
      </c>
      <c r="J1258" s="3" t="s">
        <v>1959</v>
      </c>
      <c r="K1258" s="3" t="s">
        <v>3392</v>
      </c>
      <c r="L1258" s="3" t="s">
        <v>3392</v>
      </c>
      <c r="M1258" s="3" t="s">
        <v>3393</v>
      </c>
      <c r="N1258" s="3" t="s">
        <v>3394</v>
      </c>
      <c r="O1258" s="3" t="s">
        <v>3392</v>
      </c>
      <c r="P1258" s="3" t="s">
        <v>3395</v>
      </c>
      <c r="Q1258" s="3" t="s">
        <v>3396</v>
      </c>
      <c r="R1258" s="3" t="s">
        <v>3397</v>
      </c>
      <c r="S1258" s="3" t="s">
        <v>3398</v>
      </c>
      <c r="T1258" s="3" t="s">
        <v>3399</v>
      </c>
      <c r="U1258" s="3" t="s">
        <v>3392</v>
      </c>
      <c r="V1258" s="3" t="s">
        <v>3400</v>
      </c>
      <c r="W1258" s="3" t="s">
        <v>136</v>
      </c>
      <c r="X1258" s="3" t="s">
        <v>3401</v>
      </c>
      <c r="Y1258" s="3" t="s">
        <v>3394</v>
      </c>
      <c r="Z1258" s="3" t="s">
        <v>3402</v>
      </c>
      <c r="AA1258" s="3" t="s">
        <v>3403</v>
      </c>
      <c r="AB1258" s="3" t="s">
        <v>3404</v>
      </c>
      <c r="AC1258" s="3" t="s">
        <v>3405</v>
      </c>
      <c r="AD1258" s="3" t="s">
        <v>3406</v>
      </c>
      <c r="AE1258" s="3" t="s">
        <v>3407</v>
      </c>
    </row>
    <row r="1259">
      <c r="A1259" s="3">
        <v>1237.0</v>
      </c>
      <c r="B1259" s="3" t="s">
        <v>189</v>
      </c>
      <c r="C1259" s="3" t="s">
        <v>190</v>
      </c>
      <c r="D1259" s="3" t="s">
        <v>3408</v>
      </c>
      <c r="E1259" s="3" t="s">
        <v>3389</v>
      </c>
      <c r="F1259" s="3" t="s">
        <v>3390</v>
      </c>
      <c r="G1259" s="3" t="str">
        <f>IFERROR(__xludf.DUMMYFUNCTION("GOOGLETRANSLATE(D1259,""fr"",""es"")"),"udders")</f>
        <v>udders</v>
      </c>
    </row>
    <row r="1260">
      <c r="A1260" s="3">
        <v>1238.0</v>
      </c>
      <c r="B1260" s="3" t="s">
        <v>189</v>
      </c>
      <c r="C1260" s="3" t="s">
        <v>190</v>
      </c>
      <c r="D1260" s="3" t="s">
        <v>3409</v>
      </c>
      <c r="E1260" s="3" t="s">
        <v>3410</v>
      </c>
      <c r="F1260" s="3" t="s">
        <v>3411</v>
      </c>
      <c r="G1260" s="3" t="str">
        <f>IFERROR(__xludf.DUMMYFUNCTION("GOOGLETRANSLATE(D1260,""fr"",""es"")"),"abuelita")</f>
        <v>abuelita</v>
      </c>
      <c r="H1260" s="3" t="s">
        <v>3412</v>
      </c>
      <c r="I1260" s="3" t="s">
        <v>3413</v>
      </c>
      <c r="J1260" s="3" t="s">
        <v>3414</v>
      </c>
      <c r="K1260" s="3" t="s">
        <v>3415</v>
      </c>
      <c r="L1260" s="3" t="s">
        <v>3413</v>
      </c>
      <c r="M1260" s="3" t="s">
        <v>3416</v>
      </c>
      <c r="N1260" s="3" t="s">
        <v>3417</v>
      </c>
      <c r="P1260" s="3" t="s">
        <v>3418</v>
      </c>
      <c r="Q1260" s="3" t="s">
        <v>3413</v>
      </c>
    </row>
    <row r="1261">
      <c r="A1261" s="3">
        <v>1239.0</v>
      </c>
      <c r="B1261" s="3" t="s">
        <v>189</v>
      </c>
      <c r="C1261" s="3" t="s">
        <v>190</v>
      </c>
      <c r="D1261" s="3" t="s">
        <v>3419</v>
      </c>
      <c r="E1261" s="3" t="s">
        <v>3410</v>
      </c>
      <c r="F1261" s="3" t="s">
        <v>3411</v>
      </c>
      <c r="G1261" s="3" t="str">
        <f>IFERROR(__xludf.DUMMYFUNCTION("GOOGLETRANSLATE(D1261,""fr"",""es"")"),"abuelas")</f>
        <v>abuelas</v>
      </c>
    </row>
    <row r="1262">
      <c r="A1262" s="3">
        <v>1240.0</v>
      </c>
      <c r="B1262" s="3" t="s">
        <v>189</v>
      </c>
      <c r="C1262" s="3" t="s">
        <v>190</v>
      </c>
      <c r="D1262" s="3" t="s">
        <v>3420</v>
      </c>
      <c r="E1262" s="3" t="s">
        <v>3410</v>
      </c>
      <c r="F1262" s="3" t="s">
        <v>3411</v>
      </c>
      <c r="G1262" s="3" t="str">
        <f>IFERROR(__xludf.DUMMYFUNCTION("GOOGLETRANSLATE(D1262,""fr"",""es"")"),"mami")</f>
        <v>mami</v>
      </c>
    </row>
    <row r="1263">
      <c r="A1263" s="3">
        <v>1241.0</v>
      </c>
      <c r="B1263" s="3" t="s">
        <v>189</v>
      </c>
      <c r="C1263" s="3" t="s">
        <v>190</v>
      </c>
      <c r="D1263" s="3" t="s">
        <v>3421</v>
      </c>
      <c r="E1263" s="3" t="s">
        <v>3281</v>
      </c>
      <c r="F1263" s="3" t="s">
        <v>3282</v>
      </c>
      <c r="G1263" s="3" t="str">
        <f>IFERROR(__xludf.DUMMYFUNCTION("GOOGLETRANSLATE(D1263,""fr"",""es"")"),"Hombre")</f>
        <v>Hombre</v>
      </c>
      <c r="H1263" s="3" t="s">
        <v>3365</v>
      </c>
      <c r="I1263" s="3" t="s">
        <v>3366</v>
      </c>
      <c r="J1263" s="3" t="s">
        <v>3367</v>
      </c>
      <c r="K1263" s="3" t="s">
        <v>3368</v>
      </c>
      <c r="L1263" s="3" t="s">
        <v>3282</v>
      </c>
    </row>
    <row r="1264">
      <c r="A1264" s="3">
        <v>1242.0</v>
      </c>
      <c r="B1264" s="3" t="s">
        <v>189</v>
      </c>
      <c r="C1264" s="3" t="s">
        <v>190</v>
      </c>
      <c r="D1264" s="3" t="s">
        <v>3422</v>
      </c>
      <c r="E1264" s="3" t="s">
        <v>3281</v>
      </c>
      <c r="F1264" s="3" t="s">
        <v>3282</v>
      </c>
      <c r="G1264" s="3" t="str">
        <f>IFERROR(__xludf.DUMMYFUNCTION("GOOGLETRANSLATE(D1264,""fr"",""es"")"),"cremanes")</f>
        <v>cremanes</v>
      </c>
      <c r="H1264" s="3" t="s">
        <v>3423</v>
      </c>
    </row>
    <row r="1265">
      <c r="A1265" s="3">
        <v>1243.0</v>
      </c>
      <c r="B1265" s="3" t="s">
        <v>189</v>
      </c>
      <c r="C1265" s="3" t="s">
        <v>190</v>
      </c>
      <c r="D1265" s="3" t="s">
        <v>3424</v>
      </c>
      <c r="E1265" s="3" t="s">
        <v>3425</v>
      </c>
      <c r="F1265" s="3" t="s">
        <v>3426</v>
      </c>
      <c r="G1265" s="3" t="str">
        <f>IFERROR(__xludf.DUMMYFUNCTION("GOOGLETRANSLATE(D1265,""fr"",""es"")"),"manía")</f>
        <v>manía</v>
      </c>
      <c r="H1265" s="3" t="s">
        <v>3427</v>
      </c>
      <c r="I1265" s="3" t="s">
        <v>3428</v>
      </c>
      <c r="J1265" s="3" t="s">
        <v>3429</v>
      </c>
      <c r="K1265" s="3" t="s">
        <v>3427</v>
      </c>
      <c r="L1265" s="3" t="s">
        <v>3430</v>
      </c>
    </row>
    <row r="1266">
      <c r="A1266" s="3">
        <v>1244.0</v>
      </c>
      <c r="B1266" s="3" t="s">
        <v>189</v>
      </c>
      <c r="C1266" s="3" t="s">
        <v>190</v>
      </c>
      <c r="D1266" s="3" t="s">
        <v>3431</v>
      </c>
      <c r="E1266" s="3" t="s">
        <v>3425</v>
      </c>
      <c r="F1266" s="3" t="s">
        <v>3426</v>
      </c>
      <c r="G1266" s="3" t="str">
        <f>IFERROR(__xludf.DUMMYFUNCTION("GOOGLETRANSLATE(D1266,""fr"",""es"")"),"resolver")</f>
        <v>resolver</v>
      </c>
    </row>
    <row r="1267">
      <c r="A1267" s="3">
        <v>1245.0</v>
      </c>
      <c r="B1267" s="3" t="s">
        <v>189</v>
      </c>
      <c r="C1267" s="3" t="s">
        <v>190</v>
      </c>
      <c r="D1267" s="3" t="s">
        <v>3432</v>
      </c>
      <c r="E1267" s="3" t="s">
        <v>3425</v>
      </c>
      <c r="F1267" s="3" t="s">
        <v>3426</v>
      </c>
      <c r="G1267" s="3" t="str">
        <f>IFERROR(__xludf.DUMMYFUNCTION("GOOGLETRANSLATE(D1267,""fr"",""es"")"),"manía")</f>
        <v>manía</v>
      </c>
    </row>
    <row r="1268">
      <c r="A1268" s="3">
        <v>1246.0</v>
      </c>
      <c r="B1268" s="3" t="s">
        <v>189</v>
      </c>
      <c r="C1268" s="3" t="s">
        <v>190</v>
      </c>
      <c r="D1268" s="3" t="s">
        <v>3433</v>
      </c>
      <c r="E1268" s="3" t="s">
        <v>3434</v>
      </c>
      <c r="F1268" s="3" t="s">
        <v>3435</v>
      </c>
      <c r="G1268" s="3" t="str">
        <f>IFERROR(__xludf.DUMMYFUNCTION("GOOGLETRANSLATE(D1268,""fr"",""es"")"),"Manila")</f>
        <v>Manila</v>
      </c>
      <c r="H1268" s="3" t="s">
        <v>3436</v>
      </c>
      <c r="I1268" s="3" t="s">
        <v>3437</v>
      </c>
      <c r="J1268" s="3" t="s">
        <v>3438</v>
      </c>
      <c r="K1268" s="3" t="s">
        <v>3437</v>
      </c>
      <c r="L1268" s="3" t="s">
        <v>3437</v>
      </c>
      <c r="M1268" s="3" t="s">
        <v>3439</v>
      </c>
      <c r="N1268" s="3" t="s">
        <v>3440</v>
      </c>
      <c r="O1268" s="3" t="s">
        <v>3441</v>
      </c>
      <c r="P1268" s="3" t="s">
        <v>3437</v>
      </c>
      <c r="Q1268" s="3" t="s">
        <v>3442</v>
      </c>
      <c r="R1268" s="3" t="s">
        <v>3443</v>
      </c>
      <c r="S1268" s="3" t="s">
        <v>3444</v>
      </c>
      <c r="T1268" s="3" t="s">
        <v>3445</v>
      </c>
      <c r="U1268" s="3" t="s">
        <v>3446</v>
      </c>
      <c r="V1268" s="3" t="s">
        <v>3447</v>
      </c>
    </row>
    <row r="1269">
      <c r="A1269" s="3">
        <v>1247.0</v>
      </c>
      <c r="B1269" s="3" t="s">
        <v>189</v>
      </c>
      <c r="C1269" s="3" t="s">
        <v>190</v>
      </c>
      <c r="D1269" s="3" t="s">
        <v>3448</v>
      </c>
      <c r="E1269" s="3" t="s">
        <v>3434</v>
      </c>
      <c r="F1269" s="3" t="s">
        <v>3435</v>
      </c>
      <c r="G1269" s="3" t="str">
        <f>IFERROR(__xludf.DUMMYFUNCTION("GOOGLETRANSLATE(D1269,""fr"",""es"")"),"Manila")</f>
        <v>Manila</v>
      </c>
      <c r="H1269" s="3" t="s">
        <v>3436</v>
      </c>
      <c r="I1269" s="3" t="s">
        <v>3437</v>
      </c>
      <c r="J1269" s="3" t="s">
        <v>3438</v>
      </c>
      <c r="K1269" s="3" t="s">
        <v>3437</v>
      </c>
      <c r="L1269" s="3" t="s">
        <v>3437</v>
      </c>
      <c r="M1269" s="3" t="s">
        <v>3439</v>
      </c>
      <c r="N1269" s="3" t="s">
        <v>3440</v>
      </c>
      <c r="O1269" s="3" t="s">
        <v>3441</v>
      </c>
      <c r="P1269" s="3" t="s">
        <v>3437</v>
      </c>
      <c r="Q1269" s="3" t="s">
        <v>3442</v>
      </c>
      <c r="R1269" s="3" t="s">
        <v>3443</v>
      </c>
      <c r="S1269" s="3" t="s">
        <v>3444</v>
      </c>
      <c r="T1269" s="3" t="s">
        <v>3445</v>
      </c>
      <c r="U1269" s="3" t="s">
        <v>3446</v>
      </c>
      <c r="V1269" s="3" t="s">
        <v>3447</v>
      </c>
    </row>
    <row r="1270">
      <c r="A1270" s="3">
        <v>1248.0</v>
      </c>
      <c r="B1270" s="3" t="s">
        <v>189</v>
      </c>
      <c r="C1270" s="3" t="s">
        <v>190</v>
      </c>
      <c r="D1270" s="3" t="s">
        <v>3449</v>
      </c>
      <c r="E1270" s="3" t="s">
        <v>3434</v>
      </c>
      <c r="F1270" s="3" t="s">
        <v>3435</v>
      </c>
      <c r="G1270" s="3" t="str">
        <f>IFERROR(__xludf.DUMMYFUNCTION("GOOGLETRANSLATE(D1270,""fr"",""es"")"),"tormenta")</f>
        <v>tormenta</v>
      </c>
    </row>
    <row r="1271">
      <c r="A1271" s="3">
        <v>1249.0</v>
      </c>
      <c r="B1271" s="3" t="s">
        <v>189</v>
      </c>
      <c r="C1271" s="3" t="s">
        <v>190</v>
      </c>
      <c r="D1271" s="3" t="s">
        <v>3450</v>
      </c>
      <c r="E1271" s="3" t="s">
        <v>3451</v>
      </c>
      <c r="F1271" s="3" t="s">
        <v>3450</v>
      </c>
      <c r="G1271" s="3" t="str">
        <f>IFERROR(__xludf.DUMMYFUNCTION("GOOGLETRANSLATE(D1271,""fr"",""es"")"),"manipulación")</f>
        <v>manipulación</v>
      </c>
    </row>
    <row r="1272">
      <c r="A1272" s="3">
        <v>1250.0</v>
      </c>
      <c r="B1272" s="3" t="s">
        <v>189</v>
      </c>
      <c r="C1272" s="3" t="s">
        <v>190</v>
      </c>
      <c r="D1272" s="3" t="s">
        <v>3452</v>
      </c>
      <c r="E1272" s="3" t="s">
        <v>3451</v>
      </c>
      <c r="F1272" s="3" t="s">
        <v>3450</v>
      </c>
      <c r="G1272" s="3" t="str">
        <f>IFERROR(__xludf.DUMMYFUNCTION("GOOGLETRANSLATE(D1272,""fr"",""es"")"),"manejo")</f>
        <v>manejo</v>
      </c>
    </row>
    <row r="1273">
      <c r="A1273" s="3">
        <v>1251.0</v>
      </c>
      <c r="B1273" s="3" t="s">
        <v>189</v>
      </c>
      <c r="C1273" s="3" t="s">
        <v>190</v>
      </c>
      <c r="D1273" s="3" t="s">
        <v>3453</v>
      </c>
      <c r="E1273" s="3" t="s">
        <v>3454</v>
      </c>
      <c r="F1273" s="3" t="s">
        <v>3455</v>
      </c>
      <c r="G1273" s="3" t="str">
        <f>IFERROR(__xludf.DUMMYFUNCTION("GOOGLETRANSLATE(D1273,""fr"",""es"")"),"manitou")</f>
        <v>manitou</v>
      </c>
    </row>
    <row r="1274">
      <c r="A1274" s="3">
        <v>1252.0</v>
      </c>
      <c r="B1274" s="3" t="s">
        <v>189</v>
      </c>
      <c r="C1274" s="3" t="s">
        <v>190</v>
      </c>
      <c r="D1274" s="3" t="s">
        <v>3456</v>
      </c>
      <c r="E1274" s="3" t="s">
        <v>3454</v>
      </c>
      <c r="F1274" s="3" t="s">
        <v>3455</v>
      </c>
      <c r="G1274" s="3" t="str">
        <f>IFERROR(__xludf.DUMMYFUNCTION("GOOGLETRANSLATE(D1274,""fr"",""es"")"),"maní")</f>
        <v>maní</v>
      </c>
    </row>
    <row r="1275">
      <c r="A1275" s="3">
        <v>1253.0</v>
      </c>
      <c r="B1275" s="3" t="s">
        <v>189</v>
      </c>
      <c r="C1275" s="3" t="s">
        <v>190</v>
      </c>
      <c r="D1275" s="3" t="s">
        <v>3457</v>
      </c>
      <c r="E1275" s="3" t="s">
        <v>3281</v>
      </c>
      <c r="F1275" s="3" t="s">
        <v>3282</v>
      </c>
      <c r="G1275" s="3" t="str">
        <f>IFERROR(__xludf.DUMMYFUNCTION("GOOGLETRANSLATE(D1275,""fr"",""es"")"),"maná")</f>
        <v>maná</v>
      </c>
      <c r="H1275" s="3" t="s">
        <v>3458</v>
      </c>
      <c r="I1275" s="3" t="s">
        <v>3459</v>
      </c>
      <c r="J1275" s="3" t="s">
        <v>3460</v>
      </c>
      <c r="K1275" s="3" t="s">
        <v>3459</v>
      </c>
    </row>
    <row r="1276">
      <c r="A1276" s="3">
        <v>1254.0</v>
      </c>
      <c r="B1276" s="3" t="s">
        <v>189</v>
      </c>
      <c r="C1276" s="3" t="s">
        <v>190</v>
      </c>
      <c r="D1276" s="3" t="s">
        <v>3461</v>
      </c>
      <c r="E1276" s="3" t="s">
        <v>3281</v>
      </c>
      <c r="F1276" s="3" t="s">
        <v>3282</v>
      </c>
      <c r="G1276" s="3" t="str">
        <f>IFERROR(__xludf.DUMMYFUNCTION("GOOGLETRANSLATE(D1276,""fr"",""es"")"),"ganancia inesperada")</f>
        <v>ganancia inesperada</v>
      </c>
    </row>
    <row r="1277">
      <c r="A1277" s="3">
        <v>1255.0</v>
      </c>
      <c r="B1277" s="3" t="s">
        <v>189</v>
      </c>
      <c r="C1277" s="3" t="s">
        <v>190</v>
      </c>
      <c r="D1277" s="3" t="s">
        <v>3462</v>
      </c>
      <c r="E1277" s="3" t="s">
        <v>3463</v>
      </c>
      <c r="F1277" s="3" t="s">
        <v>3464</v>
      </c>
      <c r="G1277" s="3" t="str">
        <f>IFERROR(__xludf.DUMMYFUNCTION("GOOGLETRANSLATE(D1277,""fr"",""es"")"),"gitano")</f>
        <v>gitano</v>
      </c>
    </row>
    <row r="1278">
      <c r="A1278" s="3">
        <v>1256.0</v>
      </c>
      <c r="B1278" s="3" t="s">
        <v>189</v>
      </c>
      <c r="C1278" s="3" t="s">
        <v>190</v>
      </c>
      <c r="D1278" s="3" t="s">
        <v>3465</v>
      </c>
      <c r="E1278" s="3" t="s">
        <v>3463</v>
      </c>
      <c r="F1278" s="3" t="s">
        <v>3464</v>
      </c>
      <c r="G1278" s="3" t="str">
        <f>IFERROR(__xludf.DUMMYFUNCTION("GOOGLETRANSLATE(D1278,""fr"",""es"")"),"gitano")</f>
        <v>gitano</v>
      </c>
    </row>
    <row r="1279">
      <c r="A1279" s="3">
        <v>1257.0</v>
      </c>
      <c r="B1279" s="3" t="s">
        <v>189</v>
      </c>
      <c r="C1279" s="3" t="s">
        <v>190</v>
      </c>
      <c r="D1279" s="3" t="s">
        <v>3466</v>
      </c>
      <c r="E1279" s="3" t="s">
        <v>3467</v>
      </c>
      <c r="F1279" s="3" t="s">
        <v>3468</v>
      </c>
      <c r="G1279" s="3" t="str">
        <f>IFERROR(__xludf.DUMMYFUNCTION("GOOGLETRANSLATE(D1279,""fr"",""es"")"),"Maquai")</f>
        <v>Maquai</v>
      </c>
    </row>
    <row r="1280">
      <c r="A1280" s="3">
        <v>1258.0</v>
      </c>
      <c r="B1280" s="3" t="s">
        <v>189</v>
      </c>
      <c r="C1280" s="3" t="s">
        <v>190</v>
      </c>
      <c r="D1280" s="3" t="s">
        <v>3469</v>
      </c>
      <c r="E1280" s="3" t="s">
        <v>3467</v>
      </c>
      <c r="F1280" s="3" t="s">
        <v>3468</v>
      </c>
      <c r="G1280" s="3" t="str">
        <f>IFERROR(__xludf.DUMMYFUNCTION("GOOGLETRANSLATE(D1280,""fr"",""es"")"),"hacer una piratería")</f>
        <v>hacer una piratería</v>
      </c>
    </row>
    <row r="1281">
      <c r="A1281" s="3">
        <v>1259.0</v>
      </c>
      <c r="B1281" s="3" t="s">
        <v>189</v>
      </c>
      <c r="C1281" s="3" t="s">
        <v>190</v>
      </c>
      <c r="D1281" s="3" t="s">
        <v>3470</v>
      </c>
      <c r="E1281" s="3" t="s">
        <v>3467</v>
      </c>
      <c r="F1281" s="3" t="s">
        <v>3468</v>
      </c>
      <c r="G1281" s="3" t="str">
        <f>IFERROR(__xludf.DUMMYFUNCTION("GOOGLETRANSLATE(D1281,""fr"",""es"")"),"cortar a tajos")</f>
        <v>cortar a tajos</v>
      </c>
    </row>
    <row r="1282">
      <c r="A1282" s="3">
        <v>1260.0</v>
      </c>
      <c r="B1282" s="3" t="s">
        <v>189</v>
      </c>
      <c r="C1282" s="3" t="s">
        <v>190</v>
      </c>
      <c r="D1282" s="3" t="s">
        <v>3471</v>
      </c>
      <c r="E1282" s="3" t="s">
        <v>3467</v>
      </c>
      <c r="F1282" s="3" t="s">
        <v>3468</v>
      </c>
      <c r="G1282" s="3" t="str">
        <f>IFERROR(__xludf.DUMMYFUNCTION("GOOGLETRANSLATE(D1282,""fr"",""es"")"),"arreglado")</f>
        <v>arreglado</v>
      </c>
    </row>
    <row r="1283">
      <c r="A1283" s="3">
        <v>1261.0</v>
      </c>
      <c r="B1283" s="3" t="s">
        <v>189</v>
      </c>
      <c r="C1283" s="3" t="s">
        <v>190</v>
      </c>
      <c r="D1283" s="3" t="s">
        <v>3472</v>
      </c>
      <c r="E1283" s="3" t="s">
        <v>3473</v>
      </c>
      <c r="F1283" s="3" t="s">
        <v>3474</v>
      </c>
      <c r="G1283" s="3" t="str">
        <f>IFERROR(__xludf.DUMMYFUNCTION("GOOGLETRANSLATE(D1283,""fr"",""es"")"),"maquillaje")</f>
        <v>maquillaje</v>
      </c>
    </row>
    <row r="1284">
      <c r="A1284" s="3">
        <v>1262.0</v>
      </c>
      <c r="B1284" s="3" t="s">
        <v>189</v>
      </c>
      <c r="C1284" s="3" t="s">
        <v>190</v>
      </c>
      <c r="D1284" s="3" t="s">
        <v>3475</v>
      </c>
      <c r="E1284" s="3" t="s">
        <v>3476</v>
      </c>
      <c r="F1284" s="3" t="s">
        <v>3477</v>
      </c>
      <c r="G1284" s="3" t="str">
        <f>IFERROR(__xludf.DUMMYFUNCTION("GOOGLETRANSLATE(D1284,""fr"",""es"")"),"cortadora")</f>
        <v>cortadora</v>
      </c>
    </row>
    <row r="1285">
      <c r="A1285" s="3">
        <v>1263.0</v>
      </c>
      <c r="B1285" s="3" t="s">
        <v>189</v>
      </c>
      <c r="C1285" s="3" t="s">
        <v>190</v>
      </c>
      <c r="D1285" s="3" t="s">
        <v>3478</v>
      </c>
      <c r="E1285" s="3" t="s">
        <v>3476</v>
      </c>
      <c r="F1285" s="3" t="s">
        <v>3477</v>
      </c>
      <c r="G1285" s="3" t="str">
        <f>IFERROR(__xludf.DUMMYFUNCTION("GOOGLETRANSLATE(D1285,""fr"",""es"")"),"pantalón")</f>
        <v>pantalón</v>
      </c>
    </row>
    <row r="1286">
      <c r="A1286" s="3">
        <v>1264.0</v>
      </c>
      <c r="B1286" s="3" t="s">
        <v>189</v>
      </c>
      <c r="C1286" s="3" t="s">
        <v>190</v>
      </c>
      <c r="D1286" s="3" t="s">
        <v>3479</v>
      </c>
      <c r="E1286" s="3" t="s">
        <v>3476</v>
      </c>
      <c r="F1286" s="3" t="s">
        <v>3477</v>
      </c>
      <c r="G1286" s="3" t="str">
        <f>IFERROR(__xludf.DUMMYFUNCTION("GOOGLETRANSLATE(D1286,""fr"",""es"")"),"maquas")</f>
        <v>maquas</v>
      </c>
    </row>
    <row r="1287">
      <c r="A1287" s="3">
        <v>1265.0</v>
      </c>
      <c r="B1287" s="3" t="s">
        <v>189</v>
      </c>
      <c r="C1287" s="3" t="s">
        <v>190</v>
      </c>
      <c r="D1287" s="3" t="s">
        <v>3480</v>
      </c>
      <c r="E1287" s="3" t="s">
        <v>3139</v>
      </c>
      <c r="F1287" s="3" t="s">
        <v>3140</v>
      </c>
      <c r="G1287" s="3" t="str">
        <f>IFERROR(__xludf.DUMMYFUNCTION("GOOGLETRANSLATE(D1287,""fr"",""es"")"),"maché")</f>
        <v>maché</v>
      </c>
    </row>
    <row r="1288">
      <c r="A1288" s="3">
        <v>1266.0</v>
      </c>
      <c r="B1288" s="3" t="s">
        <v>189</v>
      </c>
      <c r="C1288" s="3" t="s">
        <v>190</v>
      </c>
      <c r="D1288" s="3" t="s">
        <v>3481</v>
      </c>
      <c r="E1288" s="3" t="s">
        <v>3139</v>
      </c>
      <c r="F1288" s="3" t="s">
        <v>3140</v>
      </c>
      <c r="G1288" s="3" t="str">
        <f>IFERROR(__xludf.DUMMYFUNCTION("GOOGLETRANSLATE(D1288,""fr"",""es"")"),"burlón")</f>
        <v>burlón</v>
      </c>
    </row>
    <row r="1289">
      <c r="A1289" s="3">
        <v>1267.0</v>
      </c>
      <c r="B1289" s="3" t="s">
        <v>189</v>
      </c>
      <c r="C1289" s="3" t="s">
        <v>190</v>
      </c>
      <c r="D1289" s="3" t="s">
        <v>3482</v>
      </c>
      <c r="E1289" s="3" t="s">
        <v>3139</v>
      </c>
      <c r="F1289" s="3" t="s">
        <v>3140</v>
      </c>
      <c r="G1289" s="3" t="str">
        <f>IFERROR(__xludf.DUMMYFUNCTION("GOOGLETRANSLATE(D1289,""fr"",""es"")"),"maquetas")</f>
        <v>maquetas</v>
      </c>
    </row>
    <row r="1290">
      <c r="A1290" s="3">
        <v>1268.0</v>
      </c>
      <c r="B1290" s="3" t="s">
        <v>189</v>
      </c>
      <c r="C1290" s="3" t="s">
        <v>190</v>
      </c>
      <c r="D1290" s="3" t="s">
        <v>3483</v>
      </c>
      <c r="E1290" s="3" t="s">
        <v>3484</v>
      </c>
      <c r="F1290" s="3" t="s">
        <v>3485</v>
      </c>
      <c r="G1290" s="3" t="str">
        <f>IFERROR(__xludf.DUMMYFUNCTION("GOOGLETRANSLATE(D1290,""fr"",""es"")"),"arreglado")</f>
        <v>arreglado</v>
      </c>
    </row>
    <row r="1291">
      <c r="A1291" s="3">
        <v>1269.0</v>
      </c>
      <c r="B1291" s="3" t="s">
        <v>189</v>
      </c>
      <c r="C1291" s="3" t="s">
        <v>190</v>
      </c>
      <c r="D1291" s="3" t="s">
        <v>3486</v>
      </c>
      <c r="E1291" s="3" t="s">
        <v>3484</v>
      </c>
      <c r="F1291" s="3" t="s">
        <v>3485</v>
      </c>
      <c r="G1291" s="3" t="str">
        <f>IFERROR(__xludf.DUMMYFUNCTION("GOOGLETRANSLATE(D1291,""fr"",""es"")"),"arreglado")</f>
        <v>arreglado</v>
      </c>
    </row>
    <row r="1292">
      <c r="A1292" s="3">
        <v>1270.0</v>
      </c>
      <c r="B1292" s="3" t="s">
        <v>189</v>
      </c>
      <c r="C1292" s="3" t="s">
        <v>190</v>
      </c>
      <c r="D1292" s="3" t="s">
        <v>3487</v>
      </c>
      <c r="E1292" s="3" t="s">
        <v>3484</v>
      </c>
      <c r="F1292" s="3" t="s">
        <v>3485</v>
      </c>
      <c r="G1292" s="3" t="str">
        <f>IFERROR(__xludf.DUMMYFUNCTION("GOOGLETRANSLATE(D1292,""fr"",""es"")"),"Macillais")</f>
        <v>Macillais</v>
      </c>
    </row>
    <row r="1293">
      <c r="A1293" s="3">
        <v>1271.0</v>
      </c>
      <c r="B1293" s="3" t="s">
        <v>189</v>
      </c>
      <c r="C1293" s="3" t="s">
        <v>190</v>
      </c>
      <c r="D1293" s="3" t="s">
        <v>3488</v>
      </c>
      <c r="E1293" s="3" t="s">
        <v>3484</v>
      </c>
      <c r="F1293" s="3" t="s">
        <v>3485</v>
      </c>
      <c r="G1293" s="3" t="str">
        <f>IFERROR(__xludf.DUMMYFUNCTION("GOOGLETRANSLATE(D1293,""fr"",""es"")"),"arreglado")</f>
        <v>arreglado</v>
      </c>
    </row>
    <row r="1294">
      <c r="A1294" s="3">
        <v>1272.0</v>
      </c>
      <c r="B1294" s="3" t="s">
        <v>189</v>
      </c>
      <c r="C1294" s="3" t="s">
        <v>190</v>
      </c>
      <c r="D1294" s="3" t="s">
        <v>3489</v>
      </c>
      <c r="E1294" s="3" t="s">
        <v>3490</v>
      </c>
      <c r="F1294" s="3" t="s">
        <v>3491</v>
      </c>
      <c r="G1294" s="3" t="str">
        <f>IFERROR(__xludf.DUMMYFUNCTION("GOOGLETRANSLATE(D1294,""fr"",""es"")"),"maquillia")</f>
        <v>maquillia</v>
      </c>
    </row>
    <row r="1295">
      <c r="A1295" s="3">
        <v>1273.0</v>
      </c>
      <c r="B1295" s="3" t="s">
        <v>189</v>
      </c>
      <c r="C1295" s="3" t="s">
        <v>190</v>
      </c>
      <c r="D1295" s="3" t="s">
        <v>3492</v>
      </c>
      <c r="E1295" s="3" t="s">
        <v>3493</v>
      </c>
      <c r="F1295" s="3" t="s">
        <v>3494</v>
      </c>
      <c r="G1295" s="3" t="str">
        <f>IFERROR(__xludf.DUMMYFUNCTION("GOOGLETRANSLATE(D1295,""fr"",""es"")"),"constituir")</f>
        <v>constituir</v>
      </c>
    </row>
    <row r="1296">
      <c r="A1296" s="3">
        <v>1274.0</v>
      </c>
      <c r="B1296" s="3" t="s">
        <v>189</v>
      </c>
      <c r="C1296" s="3" t="s">
        <v>190</v>
      </c>
      <c r="D1296" s="3" t="s">
        <v>3495</v>
      </c>
      <c r="E1296" s="3" t="s">
        <v>3493</v>
      </c>
      <c r="F1296" s="3" t="s">
        <v>3494</v>
      </c>
      <c r="G1296" s="3" t="str">
        <f>IFERROR(__xludf.DUMMYFUNCTION("GOOGLETRANSLATE(D1296,""fr"",""es"")"),"constituir")</f>
        <v>constituir</v>
      </c>
    </row>
    <row r="1297">
      <c r="A1297" s="3">
        <v>1275.0</v>
      </c>
      <c r="B1297" s="3" t="s">
        <v>189</v>
      </c>
      <c r="C1297" s="3" t="s">
        <v>190</v>
      </c>
      <c r="D1297" s="3" t="s">
        <v>3496</v>
      </c>
      <c r="E1297" s="3" t="s">
        <v>3493</v>
      </c>
      <c r="F1297" s="3" t="s">
        <v>3494</v>
      </c>
      <c r="G1297" s="3" t="str">
        <f>IFERROR(__xludf.DUMMYFUNCTION("GOOGLETRANSLATE(D1297,""fr"",""es"")"),"constituir")</f>
        <v>constituir</v>
      </c>
    </row>
    <row r="1298">
      <c r="A1298" s="3">
        <v>1276.0</v>
      </c>
      <c r="B1298" s="3" t="s">
        <v>189</v>
      </c>
      <c r="C1298" s="3" t="s">
        <v>190</v>
      </c>
      <c r="D1298" s="3" t="s">
        <v>3497</v>
      </c>
      <c r="E1298" s="3" t="s">
        <v>3498</v>
      </c>
      <c r="F1298" s="3" t="s">
        <v>3499</v>
      </c>
      <c r="G1298" s="3" t="str">
        <f>IFERROR(__xludf.DUMMYFUNCTION("GOOGLETRANSLATE(D1298,""fr"",""es"")"),"maquillaje")</f>
        <v>maquillaje</v>
      </c>
    </row>
    <row r="1299">
      <c r="A1299" s="3">
        <v>1277.0</v>
      </c>
      <c r="B1299" s="3" t="s">
        <v>189</v>
      </c>
      <c r="C1299" s="3" t="s">
        <v>190</v>
      </c>
      <c r="D1299" s="3" t="s">
        <v>3500</v>
      </c>
      <c r="E1299" s="3" t="s">
        <v>3498</v>
      </c>
      <c r="F1299" s="3" t="s">
        <v>3499</v>
      </c>
      <c r="G1299" s="3" t="str">
        <f>IFERROR(__xludf.DUMMYFUNCTION("GOOGLETRANSLATE(D1299,""fr"",""es"")"),"constituir")</f>
        <v>constituir</v>
      </c>
    </row>
    <row r="1300">
      <c r="A1300" s="3">
        <v>1278.0</v>
      </c>
      <c r="B1300" s="3" t="s">
        <v>189</v>
      </c>
      <c r="C1300" s="3" t="s">
        <v>190</v>
      </c>
      <c r="D1300" s="3" t="s">
        <v>3501</v>
      </c>
      <c r="E1300" s="3" t="s">
        <v>3498</v>
      </c>
      <c r="F1300" s="3" t="s">
        <v>3499</v>
      </c>
      <c r="G1300" s="3" t="str">
        <f>IFERROR(__xludf.DUMMYFUNCTION("GOOGLETRANSLATE(D1300,""fr"",""es"")"),"constituir")</f>
        <v>constituir</v>
      </c>
    </row>
    <row r="1301">
      <c r="A1301" s="3">
        <v>1279.0</v>
      </c>
      <c r="B1301" s="3" t="s">
        <v>189</v>
      </c>
      <c r="C1301" s="3" t="s">
        <v>190</v>
      </c>
      <c r="D1301" s="3" t="s">
        <v>3502</v>
      </c>
      <c r="E1301" s="3" t="s">
        <v>3503</v>
      </c>
      <c r="F1301" s="3" t="s">
        <v>3504</v>
      </c>
      <c r="G1301" s="3" t="str">
        <f>IFERROR(__xludf.DUMMYFUNCTION("GOOGLETRANSLATE(D1301,""fr"",""es"")"),"maquios")</f>
        <v>maquios</v>
      </c>
      <c r="H1301" s="3" t="s">
        <v>3505</v>
      </c>
      <c r="I1301" s="3" t="s">
        <v>3506</v>
      </c>
      <c r="J1301" s="3" t="s">
        <v>3507</v>
      </c>
      <c r="K1301" s="3" t="s">
        <v>3508</v>
      </c>
      <c r="L1301" s="3" t="s">
        <v>3509</v>
      </c>
      <c r="M1301" s="3" t="s">
        <v>3510</v>
      </c>
      <c r="N1301" s="3" t="s">
        <v>3511</v>
      </c>
      <c r="O1301" s="3" t="s">
        <v>3512</v>
      </c>
      <c r="P1301" s="3" t="s">
        <v>3513</v>
      </c>
      <c r="Q1301" s="3" t="s">
        <v>3514</v>
      </c>
      <c r="R1301" s="3" t="s">
        <v>3515</v>
      </c>
      <c r="S1301" s="3" t="s">
        <v>3516</v>
      </c>
      <c r="T1301" s="3" t="s">
        <v>3512</v>
      </c>
    </row>
    <row r="1302">
      <c r="A1302" s="3">
        <v>1280.0</v>
      </c>
      <c r="B1302" s="3" t="s">
        <v>189</v>
      </c>
      <c r="C1302" s="3" t="s">
        <v>190</v>
      </c>
      <c r="D1302" s="3" t="s">
        <v>3517</v>
      </c>
      <c r="E1302" s="3" t="s">
        <v>3518</v>
      </c>
      <c r="F1302" s="3" t="s">
        <v>3519</v>
      </c>
      <c r="G1302" s="3" t="str">
        <f>IFERROR(__xludf.DUMMYFUNCTION("GOOGLETRANSLATE(D1302,""fr"",""es"")"),"mascarilla")</f>
        <v>mascarilla</v>
      </c>
      <c r="H1302" s="3" t="s">
        <v>3520</v>
      </c>
      <c r="I1302" s="3" t="s">
        <v>3520</v>
      </c>
      <c r="J1302" s="3" t="s">
        <v>3520</v>
      </c>
      <c r="K1302" s="3" t="s">
        <v>3521</v>
      </c>
      <c r="L1302" s="3" t="s">
        <v>3520</v>
      </c>
      <c r="M1302" s="3" t="s">
        <v>3522</v>
      </c>
      <c r="N1302" s="3" t="s">
        <v>3523</v>
      </c>
      <c r="O1302" s="3" t="s">
        <v>3520</v>
      </c>
      <c r="P1302" s="3" t="s">
        <v>3520</v>
      </c>
      <c r="Q1302" s="3" t="s">
        <v>3520</v>
      </c>
      <c r="R1302" s="3" t="s">
        <v>3524</v>
      </c>
      <c r="S1302" s="3" t="s">
        <v>3525</v>
      </c>
      <c r="T1302" s="3" t="s">
        <v>3517</v>
      </c>
      <c r="U1302" s="3" t="s">
        <v>3520</v>
      </c>
    </row>
    <row r="1303">
      <c r="A1303" s="3">
        <v>1281.0</v>
      </c>
      <c r="B1303" s="3" t="s">
        <v>189</v>
      </c>
      <c r="C1303" s="3" t="s">
        <v>190</v>
      </c>
      <c r="D1303" s="3" t="s">
        <v>3526</v>
      </c>
      <c r="E1303" s="3" t="s">
        <v>3518</v>
      </c>
      <c r="F1303" s="3" t="s">
        <v>3519</v>
      </c>
      <c r="G1303" s="3" t="str">
        <f>IFERROR(__xludf.DUMMYFUNCTION("GOOGLETRANSLATE(D1303,""fr"",""es"")"),"ocultar")</f>
        <v>ocultar</v>
      </c>
    </row>
    <row r="1304">
      <c r="A1304" s="3">
        <v>1282.0</v>
      </c>
      <c r="B1304" s="3" t="s">
        <v>189</v>
      </c>
      <c r="C1304" s="3" t="s">
        <v>190</v>
      </c>
      <c r="D1304" s="3" t="s">
        <v>3527</v>
      </c>
      <c r="E1304" s="3" t="s">
        <v>3518</v>
      </c>
      <c r="F1304" s="3" t="s">
        <v>3519</v>
      </c>
      <c r="G1304" s="3" t="str">
        <f>IFERROR(__xludf.DUMMYFUNCTION("GOOGLETRANSLATE(D1304,""fr"",""es"")"),"máscaras")</f>
        <v>máscaras</v>
      </c>
    </row>
    <row r="1305">
      <c r="A1305" s="3">
        <v>1283.0</v>
      </c>
      <c r="B1305" s="3" t="s">
        <v>189</v>
      </c>
      <c r="C1305" s="3" t="s">
        <v>190</v>
      </c>
      <c r="D1305" s="3" t="s">
        <v>3528</v>
      </c>
      <c r="E1305" s="3" t="s">
        <v>3529</v>
      </c>
      <c r="F1305" s="3" t="s">
        <v>3530</v>
      </c>
      <c r="G1305" s="3" t="str">
        <f>IFERROR(__xludf.DUMMYFUNCTION("GOOGLETRANSLATE(D1305,""fr"",""es"")"),"masacre")</f>
        <v>masacre</v>
      </c>
      <c r="H1305" s="3" t="s">
        <v>3531</v>
      </c>
      <c r="I1305" s="3" t="s">
        <v>3528</v>
      </c>
      <c r="J1305" s="3" t="s">
        <v>3532</v>
      </c>
      <c r="K1305" s="3" t="s">
        <v>3533</v>
      </c>
      <c r="L1305" s="3" t="s">
        <v>3534</v>
      </c>
    </row>
    <row r="1306">
      <c r="A1306" s="3">
        <v>1284.0</v>
      </c>
      <c r="B1306" s="3" t="s">
        <v>189</v>
      </c>
      <c r="C1306" s="3" t="s">
        <v>190</v>
      </c>
      <c r="D1306" s="3" t="s">
        <v>3535</v>
      </c>
      <c r="E1306" s="3" t="s">
        <v>3529</v>
      </c>
      <c r="F1306" s="3" t="s">
        <v>3530</v>
      </c>
      <c r="G1306" s="3" t="str">
        <f>IFERROR(__xludf.DUMMYFUNCTION("GOOGLETRANSLATE(D1306,""fr"",""es"")"),"masacre")</f>
        <v>masacre</v>
      </c>
    </row>
    <row r="1307">
      <c r="A1307" s="3">
        <v>1285.0</v>
      </c>
      <c r="B1307" s="3" t="s">
        <v>189</v>
      </c>
      <c r="C1307" s="3" t="s">
        <v>190</v>
      </c>
      <c r="D1307" s="3" t="s">
        <v>3536</v>
      </c>
      <c r="E1307" s="3" t="s">
        <v>3529</v>
      </c>
      <c r="F1307" s="3" t="s">
        <v>3530</v>
      </c>
      <c r="G1307" s="3" t="str">
        <f>IFERROR(__xludf.DUMMYFUNCTION("GOOGLETRANSLATE(D1307,""fr"",""es"")"),"masacres")</f>
        <v>masacres</v>
      </c>
    </row>
    <row r="1308">
      <c r="A1308" s="3">
        <v>1286.0</v>
      </c>
      <c r="B1308" s="3" t="s">
        <v>189</v>
      </c>
      <c r="C1308" s="3" t="s">
        <v>190</v>
      </c>
      <c r="D1308" s="3" t="s">
        <v>3537</v>
      </c>
      <c r="E1308" s="3" t="s">
        <v>3538</v>
      </c>
      <c r="F1308" s="3" t="s">
        <v>3539</v>
      </c>
      <c r="G1308" s="3" t="str">
        <f>IFERROR(__xludf.DUMMYFUNCTION("GOOGLETRANSLATE(D1308,""fr"",""es"")"),"Massai")</f>
        <v>Massai</v>
      </c>
    </row>
    <row r="1309">
      <c r="A1309" s="3">
        <v>1287.0</v>
      </c>
      <c r="B1309" s="3" t="s">
        <v>189</v>
      </c>
      <c r="C1309" s="3" t="s">
        <v>190</v>
      </c>
      <c r="D1309" s="3" t="s">
        <v>3540</v>
      </c>
      <c r="E1309" s="3" t="s">
        <v>3538</v>
      </c>
      <c r="F1309" s="3" t="s">
        <v>3539</v>
      </c>
      <c r="G1309" s="3" t="str">
        <f>IFERROR(__xludf.DUMMYFUNCTION("GOOGLETRANSLATE(D1309,""fr"",""es"")"),"masajeado")</f>
        <v>masajeado</v>
      </c>
    </row>
    <row r="1310">
      <c r="A1310" s="3">
        <v>1288.0</v>
      </c>
      <c r="B1310" s="3" t="s">
        <v>189</v>
      </c>
      <c r="C1310" s="3" t="s">
        <v>190</v>
      </c>
      <c r="D1310" s="3" t="s">
        <v>3541</v>
      </c>
      <c r="E1310" s="3" t="s">
        <v>3538</v>
      </c>
      <c r="F1310" s="3" t="s">
        <v>3539</v>
      </c>
      <c r="G1310" s="3" t="str">
        <f>IFERROR(__xludf.DUMMYFUNCTION("GOOGLETRANSLATE(D1310,""fr"",""es"")"),"Massais")</f>
        <v>Massais</v>
      </c>
    </row>
    <row r="1311">
      <c r="A1311" s="3">
        <v>1289.0</v>
      </c>
      <c r="B1311" s="3" t="s">
        <v>189</v>
      </c>
      <c r="C1311" s="3" t="s">
        <v>190</v>
      </c>
      <c r="D1311" s="3" t="s">
        <v>3542</v>
      </c>
      <c r="E1311" s="3" t="s">
        <v>3538</v>
      </c>
      <c r="F1311" s="3" t="s">
        <v>3539</v>
      </c>
      <c r="G1311" s="3" t="str">
        <f>IFERROR(__xludf.DUMMYFUNCTION("GOOGLETRANSLATE(D1311,""fr"",""es"")"),"masajeado")</f>
        <v>masajeado</v>
      </c>
    </row>
    <row r="1312">
      <c r="A1312" s="3">
        <v>1290.0</v>
      </c>
      <c r="B1312" s="3" t="s">
        <v>189</v>
      </c>
      <c r="C1312" s="3" t="s">
        <v>190</v>
      </c>
      <c r="D1312" s="3" t="s">
        <v>3543</v>
      </c>
      <c r="E1312" s="3" t="s">
        <v>3544</v>
      </c>
      <c r="F1312" s="3" t="s">
        <v>3545</v>
      </c>
      <c r="G1312" s="3" t="str">
        <f>IFERROR(__xludf.DUMMYFUNCTION("GOOGLETRANSLATE(D1312,""fr"",""es"")"),"masa")</f>
        <v>masa</v>
      </c>
    </row>
    <row r="1313">
      <c r="A1313" s="3">
        <v>1291.0</v>
      </c>
      <c r="B1313" s="3" t="s">
        <v>189</v>
      </c>
      <c r="C1313" s="3" t="s">
        <v>190</v>
      </c>
      <c r="D1313" s="3" t="s">
        <v>3546</v>
      </c>
      <c r="E1313" s="3" t="s">
        <v>3547</v>
      </c>
      <c r="F1313" s="3" t="s">
        <v>3548</v>
      </c>
      <c r="G1313" s="3" t="str">
        <f>IFERROR(__xludf.DUMMYFUNCTION("GOOGLETRANSLATE(D1313,""fr"",""es"")"),"masaje")</f>
        <v>masaje</v>
      </c>
    </row>
    <row r="1314">
      <c r="A1314" s="3">
        <v>1292.0</v>
      </c>
      <c r="B1314" s="3" t="s">
        <v>189</v>
      </c>
      <c r="C1314" s="3" t="s">
        <v>190</v>
      </c>
      <c r="D1314" s="3" t="s">
        <v>3549</v>
      </c>
      <c r="E1314" s="3" t="s">
        <v>3547</v>
      </c>
      <c r="F1314" s="3" t="s">
        <v>3548</v>
      </c>
      <c r="G1314" s="3" t="str">
        <f>IFERROR(__xludf.DUMMYFUNCTION("GOOGLETRANSLATE(D1314,""fr"",""es"")"),"masaje")</f>
        <v>masaje</v>
      </c>
    </row>
    <row r="1315">
      <c r="A1315" s="3">
        <v>1293.0</v>
      </c>
      <c r="B1315" s="3" t="s">
        <v>189</v>
      </c>
      <c r="C1315" s="3" t="s">
        <v>190</v>
      </c>
      <c r="D1315" s="3" t="s">
        <v>3550</v>
      </c>
      <c r="E1315" s="3" t="s">
        <v>3547</v>
      </c>
      <c r="F1315" s="3" t="s">
        <v>3548</v>
      </c>
      <c r="G1315" s="3" t="str">
        <f>IFERROR(__xludf.DUMMYFUNCTION("GOOGLETRANSLATE(D1315,""fr"",""es"")"),"masas")</f>
        <v>masas</v>
      </c>
    </row>
    <row r="1316">
      <c r="A1316" s="3">
        <v>1294.0</v>
      </c>
      <c r="B1316" s="3" t="s">
        <v>189</v>
      </c>
      <c r="C1316" s="3" t="s">
        <v>190</v>
      </c>
      <c r="D1316" s="3" t="s">
        <v>3551</v>
      </c>
      <c r="E1316" s="3" t="s">
        <v>3518</v>
      </c>
      <c r="F1316" s="3" t="s">
        <v>3519</v>
      </c>
      <c r="G1316" s="3" t="str">
        <f>IFERROR(__xludf.DUMMYFUNCTION("GOOGLETRANSLATE(D1316,""fr"",""es"")"),"masa")</f>
        <v>masa</v>
      </c>
      <c r="H1316" s="3" t="s">
        <v>3552</v>
      </c>
      <c r="I1316" s="3" t="s">
        <v>3553</v>
      </c>
      <c r="J1316" s="3" t="s">
        <v>3554</v>
      </c>
      <c r="K1316" s="3" t="s">
        <v>3555</v>
      </c>
      <c r="L1316" s="3" t="s">
        <v>3556</v>
      </c>
      <c r="M1316" s="3" t="s">
        <v>3557</v>
      </c>
      <c r="N1316" s="3" t="s">
        <v>3558</v>
      </c>
      <c r="O1316" s="3" t="s">
        <v>3559</v>
      </c>
      <c r="P1316" s="3" t="s">
        <v>3555</v>
      </c>
      <c r="Q1316" s="3" t="s">
        <v>3556</v>
      </c>
      <c r="R1316" s="3" t="s">
        <v>3560</v>
      </c>
      <c r="S1316" s="3" t="s">
        <v>3561</v>
      </c>
      <c r="T1316" s="3" t="s">
        <v>3558</v>
      </c>
      <c r="U1316" s="3" t="s">
        <v>3557</v>
      </c>
      <c r="V1316" s="3" t="s">
        <v>3562</v>
      </c>
      <c r="W1316" s="3" t="s">
        <v>3563</v>
      </c>
      <c r="X1316" s="3" t="s">
        <v>3564</v>
      </c>
      <c r="Y1316" s="3" t="s">
        <v>3565</v>
      </c>
      <c r="Z1316" s="3" t="s">
        <v>3566</v>
      </c>
      <c r="AA1316" s="3" t="s">
        <v>3567</v>
      </c>
      <c r="AB1316" s="3" t="s">
        <v>3568</v>
      </c>
      <c r="AC1316" s="3" t="s">
        <v>3557</v>
      </c>
      <c r="AD1316" s="3" t="s">
        <v>3569</v>
      </c>
      <c r="AE1316" s="3" t="s">
        <v>3570</v>
      </c>
      <c r="AF1316" s="3" t="s">
        <v>3557</v>
      </c>
      <c r="AG1316" s="3" t="s">
        <v>3571</v>
      </c>
      <c r="AH1316" s="3" t="s">
        <v>3572</v>
      </c>
      <c r="AI1316" s="3" t="s">
        <v>3573</v>
      </c>
      <c r="AJ1316" s="3" t="s">
        <v>3557</v>
      </c>
      <c r="AK1316" s="3" t="s">
        <v>3574</v>
      </c>
      <c r="AL1316" s="3" t="s">
        <v>3575</v>
      </c>
      <c r="AM1316" s="3" t="s">
        <v>3576</v>
      </c>
      <c r="AN1316" s="3" t="s">
        <v>3577</v>
      </c>
      <c r="AO1316" s="3" t="s">
        <v>3578</v>
      </c>
      <c r="AP1316" s="3" t="s">
        <v>3579</v>
      </c>
      <c r="AQ1316" s="3" t="s">
        <v>3580</v>
      </c>
      <c r="AR1316" s="3" t="s">
        <v>3564</v>
      </c>
      <c r="AS1316" s="3" t="s">
        <v>3581</v>
      </c>
      <c r="AT1316" s="3" t="s">
        <v>3557</v>
      </c>
      <c r="AU1316" s="3" t="s">
        <v>3582</v>
      </c>
      <c r="AV1316" s="3" t="s">
        <v>3583</v>
      </c>
      <c r="AW1316" s="3" t="s">
        <v>3584</v>
      </c>
      <c r="AX1316" s="3" t="s">
        <v>3585</v>
      </c>
      <c r="AY1316" s="3" t="s">
        <v>3586</v>
      </c>
      <c r="AZ1316" s="3" t="s">
        <v>3587</v>
      </c>
      <c r="BA1316" s="3" t="s">
        <v>3588</v>
      </c>
      <c r="BB1316" s="3" t="s">
        <v>3563</v>
      </c>
      <c r="BC1316" s="3" t="s">
        <v>3589</v>
      </c>
      <c r="BD1316" s="3" t="s">
        <v>3590</v>
      </c>
      <c r="BE1316" s="3" t="s">
        <v>3591</v>
      </c>
      <c r="BF1316" s="3" t="s">
        <v>3592</v>
      </c>
      <c r="BG1316" s="3" t="s">
        <v>3593</v>
      </c>
      <c r="BH1316" s="3" t="s">
        <v>3594</v>
      </c>
      <c r="BI1316" s="3" t="s">
        <v>3595</v>
      </c>
      <c r="BJ1316" s="3" t="s">
        <v>3596</v>
      </c>
      <c r="BK1316" s="3" t="s">
        <v>3597</v>
      </c>
      <c r="BL1316" s="3" t="s">
        <v>3598</v>
      </c>
      <c r="BM1316" s="3" t="s">
        <v>3599</v>
      </c>
      <c r="BN1316" s="3" t="s">
        <v>3600</v>
      </c>
    </row>
    <row r="1317">
      <c r="A1317" s="3">
        <v>1295.0</v>
      </c>
      <c r="B1317" s="3" t="s">
        <v>189</v>
      </c>
      <c r="C1317" s="3" t="s">
        <v>190</v>
      </c>
      <c r="D1317" s="3" t="s">
        <v>3601</v>
      </c>
      <c r="E1317" s="3" t="s">
        <v>3518</v>
      </c>
      <c r="F1317" s="3" t="s">
        <v>3519</v>
      </c>
      <c r="G1317" s="3" t="str">
        <f>IFERROR(__xludf.DUMMYFUNCTION("GOOGLETRANSLATE(D1317,""fr"",""es"")"),"masa")</f>
        <v>masa</v>
      </c>
    </row>
    <row r="1318">
      <c r="A1318" s="3">
        <v>1296.0</v>
      </c>
      <c r="B1318" s="3" t="s">
        <v>189</v>
      </c>
      <c r="C1318" s="3" t="s">
        <v>190</v>
      </c>
      <c r="D1318" s="3" t="s">
        <v>3570</v>
      </c>
      <c r="E1318" s="3" t="s">
        <v>3518</v>
      </c>
      <c r="F1318" s="3" t="s">
        <v>3519</v>
      </c>
      <c r="G1318" s="3" t="str">
        <f>IFERROR(__xludf.DUMMYFUNCTION("GOOGLETRANSLATE(D1318,""fr"",""es"")"),"masas")</f>
        <v>masas</v>
      </c>
    </row>
    <row r="1319">
      <c r="A1319" s="3">
        <v>1297.0</v>
      </c>
      <c r="B1319" s="3" t="s">
        <v>189</v>
      </c>
      <c r="C1319" s="3" t="s">
        <v>190</v>
      </c>
      <c r="D1319" s="3" t="s">
        <v>3602</v>
      </c>
      <c r="E1319" s="3" t="s">
        <v>3603</v>
      </c>
      <c r="F1319" s="3" t="s">
        <v>3604</v>
      </c>
      <c r="G1319" s="3" t="str">
        <f>IFERROR(__xludf.DUMMYFUNCTION("GOOGLETRANSLATE(D1319,""fr"",""es"")"),"masa")</f>
        <v>masa</v>
      </c>
      <c r="H1319" s="3" t="s">
        <v>3605</v>
      </c>
      <c r="I1319" s="3" t="s">
        <v>3606</v>
      </c>
    </row>
    <row r="1320">
      <c r="A1320" s="3">
        <v>1298.0</v>
      </c>
      <c r="B1320" s="3" t="s">
        <v>189</v>
      </c>
      <c r="C1320" s="3" t="s">
        <v>190</v>
      </c>
      <c r="D1320" s="3" t="s">
        <v>3607</v>
      </c>
      <c r="E1320" s="3" t="s">
        <v>3603</v>
      </c>
      <c r="F1320" s="3" t="s">
        <v>3604</v>
      </c>
      <c r="G1320" s="3" t="str">
        <f>IFERROR(__xludf.DUMMYFUNCTION("GOOGLETRANSLATE(D1320,""fr"",""es"")"),"masa")</f>
        <v>masa</v>
      </c>
    </row>
    <row r="1321">
      <c r="A1321" s="3">
        <v>1299.0</v>
      </c>
      <c r="B1321" s="3" t="s">
        <v>189</v>
      </c>
      <c r="C1321" s="3" t="s">
        <v>190</v>
      </c>
      <c r="D1321" s="3" t="s">
        <v>3608</v>
      </c>
      <c r="E1321" s="3" t="s">
        <v>3609</v>
      </c>
      <c r="F1321" s="3" t="s">
        <v>3610</v>
      </c>
      <c r="G1321" s="3" t="str">
        <f>IFERROR(__xludf.DUMMYFUNCTION("GOOGLETRANSLATE(D1321,""fr"",""es"")"),"Matai")</f>
        <v>Matai</v>
      </c>
    </row>
    <row r="1322">
      <c r="A1322" s="3">
        <v>1300.0</v>
      </c>
      <c r="B1322" s="3" t="s">
        <v>189</v>
      </c>
      <c r="C1322" s="3" t="s">
        <v>190</v>
      </c>
      <c r="D1322" s="3" t="s">
        <v>3611</v>
      </c>
      <c r="E1322" s="3" t="s">
        <v>3609</v>
      </c>
      <c r="F1322" s="3" t="s">
        <v>3610</v>
      </c>
      <c r="G1322" s="3" t="str">
        <f>IFERROR(__xludf.DUMMYFUNCTION("GOOGLETRANSLATE(D1322,""fr"",""es"")"),"mastai")</f>
        <v>mastai</v>
      </c>
    </row>
    <row r="1323">
      <c r="A1323" s="3">
        <v>1301.0</v>
      </c>
      <c r="B1323" s="3" t="s">
        <v>189</v>
      </c>
      <c r="C1323" s="3" t="s">
        <v>190</v>
      </c>
      <c r="D1323" s="3" t="s">
        <v>3612</v>
      </c>
      <c r="E1323" s="3" t="s">
        <v>3609</v>
      </c>
      <c r="F1323" s="3" t="s">
        <v>3610</v>
      </c>
      <c r="G1323" s="3" t="str">
        <f>IFERROR(__xludf.DUMMYFUNCTION("GOOGLETRANSLATE(D1323,""fr"",""es"")"),"eran mate")</f>
        <v>eran mate</v>
      </c>
    </row>
    <row r="1324">
      <c r="A1324" s="3">
        <v>1302.0</v>
      </c>
      <c r="B1324" s="3" t="s">
        <v>189</v>
      </c>
      <c r="C1324" s="3" t="s">
        <v>190</v>
      </c>
      <c r="D1324" s="3" t="s">
        <v>3613</v>
      </c>
      <c r="E1324" s="3" t="s">
        <v>3609</v>
      </c>
      <c r="F1324" s="3" t="s">
        <v>3610</v>
      </c>
      <c r="G1324" s="3" t="str">
        <f>IFERROR(__xludf.DUMMYFUNCTION("GOOGLETRANSLATE(D1324,""fr"",""es"")"),"bonked")</f>
        <v>bonked</v>
      </c>
    </row>
    <row r="1325">
      <c r="A1325" s="3">
        <v>1303.0</v>
      </c>
      <c r="B1325" s="3" t="s">
        <v>189</v>
      </c>
      <c r="C1325" s="3" t="s">
        <v>190</v>
      </c>
      <c r="D1325" s="3" t="s">
        <v>3614</v>
      </c>
      <c r="E1325" s="3" t="s">
        <v>3609</v>
      </c>
      <c r="F1325" s="3" t="s">
        <v>3610</v>
      </c>
      <c r="G1325" s="3" t="str">
        <f>IFERROR(__xludf.DUMMYFUNCTION("GOOGLETRANSLATE(D1325,""fr"",""es"")"),"matán")</f>
        <v>matán</v>
      </c>
    </row>
    <row r="1326">
      <c r="A1326" s="3">
        <v>1304.0</v>
      </c>
      <c r="B1326" s="3" t="s">
        <v>189</v>
      </c>
      <c r="C1326" s="3" t="s">
        <v>190</v>
      </c>
      <c r="D1326" s="3" t="s">
        <v>3615</v>
      </c>
      <c r="E1326" s="3" t="s">
        <v>3609</v>
      </c>
      <c r="F1326" s="3" t="s">
        <v>3610</v>
      </c>
      <c r="G1326" s="3" t="str">
        <f>IFERROR(__xludf.DUMMYFUNCTION("GOOGLETRANSLATE(D1326,""fr"",""es"")"),"masta")</f>
        <v>masta</v>
      </c>
    </row>
    <row r="1327">
      <c r="A1327" s="3">
        <v>1305.0</v>
      </c>
      <c r="B1327" s="3" t="s">
        <v>189</v>
      </c>
      <c r="C1327" s="3" t="s">
        <v>190</v>
      </c>
      <c r="D1327" s="3" t="s">
        <v>3616</v>
      </c>
      <c r="E1327" s="3" t="s">
        <v>3609</v>
      </c>
      <c r="F1327" s="3" t="s">
        <v>3610</v>
      </c>
      <c r="G1327" s="3" t="str">
        <f>IFERROR(__xludf.DUMMYFUNCTION("GOOGLETRANSLATE(D1327,""fr"",""es"")"),"Compañero")</f>
        <v>Compañero</v>
      </c>
    </row>
    <row r="1328">
      <c r="A1328" s="3">
        <v>1306.0</v>
      </c>
      <c r="B1328" s="3" t="s">
        <v>189</v>
      </c>
      <c r="C1328" s="3" t="s">
        <v>190</v>
      </c>
      <c r="D1328" s="3" t="s">
        <v>3617</v>
      </c>
      <c r="E1328" s="3" t="s">
        <v>3609</v>
      </c>
      <c r="F1328" s="3" t="s">
        <v>3610</v>
      </c>
      <c r="G1328" s="3" t="str">
        <f>IFERROR(__xludf.DUMMYFUNCTION("GOOGLETRANSLATE(D1328,""fr"",""es"")"),"melena")</f>
        <v>melena</v>
      </c>
    </row>
    <row r="1329">
      <c r="A1329" s="3">
        <v>1307.0</v>
      </c>
      <c r="B1329" s="3" t="s">
        <v>189</v>
      </c>
      <c r="C1329" s="3" t="s">
        <v>190</v>
      </c>
      <c r="D1329" s="3" t="s">
        <v>3618</v>
      </c>
      <c r="E1329" s="3" t="s">
        <v>3619</v>
      </c>
      <c r="F1329" s="3" t="s">
        <v>3620</v>
      </c>
      <c r="G1329" s="3" t="str">
        <f>IFERROR(__xludf.DUMMYFUNCTION("GOOGLETRANSLATE(D1329,""fr"",""es"")"),"partidos")</f>
        <v>partidos</v>
      </c>
    </row>
    <row r="1330">
      <c r="A1330" s="3">
        <v>1308.0</v>
      </c>
      <c r="B1330" s="3" t="s">
        <v>189</v>
      </c>
      <c r="C1330" s="3" t="s">
        <v>190</v>
      </c>
      <c r="D1330" s="3" t="s">
        <v>3621</v>
      </c>
      <c r="E1330" s="3" t="s">
        <v>3619</v>
      </c>
      <c r="F1330" s="3" t="s">
        <v>3620</v>
      </c>
      <c r="G1330" s="3" t="str">
        <f>IFERROR(__xludf.DUMMYFUNCTION("GOOGLETRANSLATE(D1330,""fr"",""es"")"),"mástil")</f>
        <v>mástil</v>
      </c>
    </row>
    <row r="1331">
      <c r="A1331" s="3">
        <v>1309.0</v>
      </c>
      <c r="B1331" s="3" t="s">
        <v>189</v>
      </c>
      <c r="C1331" s="3" t="s">
        <v>190</v>
      </c>
      <c r="D1331" s="3" t="s">
        <v>3622</v>
      </c>
      <c r="E1331" s="3" t="s">
        <v>3623</v>
      </c>
      <c r="F1331" s="3" t="s">
        <v>3624</v>
      </c>
      <c r="G1331" s="3" t="str">
        <f>IFERROR(__xludf.DUMMYFUNCTION("GOOGLETRANSLATE(D1331,""fr"",""es"")"),"colchón")</f>
        <v>colchón</v>
      </c>
    </row>
    <row r="1332">
      <c r="A1332" s="3">
        <v>1310.0</v>
      </c>
      <c r="B1332" s="3" t="s">
        <v>189</v>
      </c>
      <c r="C1332" s="3" t="s">
        <v>190</v>
      </c>
      <c r="D1332" s="3" t="s">
        <v>3625</v>
      </c>
      <c r="E1332" s="3" t="s">
        <v>3623</v>
      </c>
      <c r="F1332" s="3" t="s">
        <v>3624</v>
      </c>
      <c r="G1332" s="3" t="str">
        <f>IFERROR(__xludf.DUMMYFUNCTION("GOOGLETRANSLATE(D1332,""fr"",""es"")"),"mastaso")</f>
        <v>mastaso</v>
      </c>
    </row>
    <row r="1333">
      <c r="A1333" s="3">
        <v>1311.0</v>
      </c>
      <c r="B1333" s="3" t="s">
        <v>189</v>
      </c>
      <c r="C1333" s="3" t="s">
        <v>190</v>
      </c>
      <c r="D1333" s="3" t="s">
        <v>3626</v>
      </c>
      <c r="E1333" s="3" t="s">
        <v>3623</v>
      </c>
      <c r="F1333" s="3" t="s">
        <v>3624</v>
      </c>
      <c r="G1333" s="3" t="str">
        <f>IFERROR(__xludf.DUMMYFUNCTION("GOOGLETRANSLATE(D1333,""fr"",""es"")"),"colchón")</f>
        <v>colchón</v>
      </c>
    </row>
    <row r="1334">
      <c r="A1334" s="3">
        <v>1312.0</v>
      </c>
      <c r="B1334" s="3" t="s">
        <v>189</v>
      </c>
      <c r="C1334" s="3" t="s">
        <v>190</v>
      </c>
      <c r="D1334" s="3" t="s">
        <v>3627</v>
      </c>
      <c r="E1334" s="3" t="s">
        <v>3623</v>
      </c>
      <c r="F1334" s="3" t="s">
        <v>3624</v>
      </c>
      <c r="G1334" s="3" t="str">
        <f>IFERROR(__xludf.DUMMYFUNCTION("GOOGLETRANSLATE(D1334,""fr"",""es"")"),"mastés")</f>
        <v>mastés</v>
      </c>
    </row>
    <row r="1335">
      <c r="A1335" s="3">
        <v>1313.0</v>
      </c>
      <c r="B1335" s="3" t="s">
        <v>189</v>
      </c>
      <c r="C1335" s="3" t="s">
        <v>190</v>
      </c>
      <c r="D1335" s="3" t="s">
        <v>3628</v>
      </c>
      <c r="E1335" s="3" t="s">
        <v>3623</v>
      </c>
      <c r="F1335" s="3" t="s">
        <v>3624</v>
      </c>
      <c r="G1335" s="3" t="str">
        <f>IFERROR(__xludf.DUMMYFUNCTION("GOOGLETRANSLATE(D1335,""fr"",""es"")"),"matecito")</f>
        <v>matecito</v>
      </c>
    </row>
    <row r="1336">
      <c r="A1336" s="3">
        <v>1314.0</v>
      </c>
      <c r="B1336" s="3" t="s">
        <v>189</v>
      </c>
      <c r="C1336" s="3" t="s">
        <v>190</v>
      </c>
      <c r="D1336" s="3" t="s">
        <v>3629</v>
      </c>
      <c r="E1336" s="3" t="s">
        <v>3623</v>
      </c>
      <c r="F1336" s="3" t="s">
        <v>3624</v>
      </c>
      <c r="G1336" s="3" t="str">
        <f>IFERROR(__xludf.DUMMYFUNCTION("GOOGLETRANSLATE(D1336,""fr"",""es"")"),"mastaso")</f>
        <v>mastaso</v>
      </c>
    </row>
    <row r="1337">
      <c r="A1337" s="3">
        <v>1315.0</v>
      </c>
      <c r="B1337" s="3" t="s">
        <v>189</v>
      </c>
      <c r="C1337" s="3" t="s">
        <v>190</v>
      </c>
      <c r="D1337" s="3" t="s">
        <v>3630</v>
      </c>
      <c r="E1337" s="3" t="s">
        <v>3631</v>
      </c>
      <c r="F1337" s="3" t="s">
        <v>3632</v>
      </c>
      <c r="G1337" s="3" t="str">
        <f>IFERROR(__xludf.DUMMYFUNCTION("GOOGLETRANSLATE(D1337,""fr"",""es"")"),"Matou")</f>
        <v>Matou</v>
      </c>
      <c r="H1337" s="3" t="s">
        <v>3633</v>
      </c>
      <c r="I1337" s="3" t="s">
        <v>3634</v>
      </c>
      <c r="J1337" s="3" t="s">
        <v>3635</v>
      </c>
      <c r="K1337" s="3" t="s">
        <v>3636</v>
      </c>
      <c r="L1337" s="3" t="s">
        <v>3635</v>
      </c>
      <c r="M1337" s="3" t="s">
        <v>3637</v>
      </c>
    </row>
    <row r="1338">
      <c r="A1338" s="3">
        <v>1316.0</v>
      </c>
      <c r="B1338" s="3" t="s">
        <v>189</v>
      </c>
      <c r="C1338" s="3" t="s">
        <v>190</v>
      </c>
      <c r="D1338" s="3" t="s">
        <v>3638</v>
      </c>
      <c r="E1338" s="3" t="s">
        <v>3631</v>
      </c>
      <c r="F1338" s="3" t="s">
        <v>3632</v>
      </c>
      <c r="G1338" s="3" t="str">
        <f>IFERROR(__xludf.DUMMYFUNCTION("GOOGLETRANSLATE(D1338,""fr"",""es"")"),"titular")</f>
        <v>titular</v>
      </c>
    </row>
    <row r="1339">
      <c r="A1339" s="3">
        <v>1317.0</v>
      </c>
      <c r="B1339" s="3" t="s">
        <v>189</v>
      </c>
      <c r="C1339" s="3" t="s">
        <v>190</v>
      </c>
      <c r="D1339" s="3" t="s">
        <v>3639</v>
      </c>
      <c r="E1339" s="3" t="s">
        <v>3139</v>
      </c>
      <c r="F1339" s="3" t="s">
        <v>3140</v>
      </c>
      <c r="G1339" s="3" t="str">
        <f>IFERROR(__xludf.DUMMYFUNCTION("GOOGLETRANSLATE(D1339,""fr"",""es"")"),"tipo")</f>
        <v>tipo</v>
      </c>
      <c r="H1339" s="3" t="s">
        <v>3640</v>
      </c>
      <c r="I1339" s="3" t="s">
        <v>550</v>
      </c>
      <c r="J1339" s="3" t="s">
        <v>551</v>
      </c>
      <c r="K1339" s="3" t="s">
        <v>552</v>
      </c>
      <c r="L1339" s="3" t="s">
        <v>553</v>
      </c>
      <c r="M1339" s="3" t="s">
        <v>554</v>
      </c>
      <c r="N1339" s="3" t="s">
        <v>3641</v>
      </c>
      <c r="O1339" s="3" t="s">
        <v>551</v>
      </c>
      <c r="P1339" s="3" t="s">
        <v>3642</v>
      </c>
      <c r="Q1339" s="3" t="s">
        <v>3643</v>
      </c>
      <c r="R1339" s="3" t="s">
        <v>3644</v>
      </c>
      <c r="S1339" s="3" t="s">
        <v>3645</v>
      </c>
      <c r="T1339" s="3" t="s">
        <v>3646</v>
      </c>
      <c r="U1339" s="3" t="s">
        <v>3647</v>
      </c>
      <c r="V1339" s="3" t="s">
        <v>3648</v>
      </c>
      <c r="W1339" s="3" t="s">
        <v>3649</v>
      </c>
      <c r="X1339" s="3" t="s">
        <v>3650</v>
      </c>
      <c r="Y1339" s="3" t="s">
        <v>3651</v>
      </c>
      <c r="Z1339" s="3" t="s">
        <v>3652</v>
      </c>
      <c r="AA1339" s="3" t="s">
        <v>3653</v>
      </c>
      <c r="AB1339" s="3" t="s">
        <v>552</v>
      </c>
      <c r="AC1339" s="3" t="s">
        <v>3654</v>
      </c>
      <c r="AD1339" s="3" t="s">
        <v>3655</v>
      </c>
      <c r="AE1339" s="3" t="s">
        <v>3656</v>
      </c>
      <c r="AF1339" s="3" t="s">
        <v>551</v>
      </c>
      <c r="AG1339" s="3" t="s">
        <v>3650</v>
      </c>
      <c r="AH1339" s="3" t="s">
        <v>3657</v>
      </c>
      <c r="AI1339" s="3" t="s">
        <v>3364</v>
      </c>
      <c r="AJ1339" s="3" t="s">
        <v>3658</v>
      </c>
      <c r="AK1339" s="3" t="s">
        <v>3659</v>
      </c>
      <c r="AL1339" s="3" t="s">
        <v>3660</v>
      </c>
      <c r="AM1339" s="3" t="s">
        <v>2053</v>
      </c>
    </row>
    <row r="1340">
      <c r="A1340" s="3">
        <v>1318.0</v>
      </c>
      <c r="B1340" s="3" t="s">
        <v>189</v>
      </c>
      <c r="C1340" s="3" t="s">
        <v>190</v>
      </c>
      <c r="D1340" s="3" t="s">
        <v>3661</v>
      </c>
      <c r="E1340" s="3" t="s">
        <v>3160</v>
      </c>
      <c r="F1340" s="3" t="s">
        <v>3161</v>
      </c>
      <c r="G1340" s="3" t="str">
        <f>IFERROR(__xludf.DUMMYFUNCTION("GOOGLETRANSLATE(D1340,""fr"",""es"")"),"mecha")</f>
        <v>mecha</v>
      </c>
      <c r="H1340" s="3" t="s">
        <v>3662</v>
      </c>
      <c r="I1340" s="3" t="s">
        <v>3663</v>
      </c>
      <c r="J1340" s="3" t="s">
        <v>3664</v>
      </c>
      <c r="K1340" s="3" t="s">
        <v>3665</v>
      </c>
      <c r="L1340" s="3" t="s">
        <v>3664</v>
      </c>
    </row>
    <row r="1341">
      <c r="A1341" s="3">
        <v>1319.0</v>
      </c>
      <c r="B1341" s="3" t="s">
        <v>189</v>
      </c>
      <c r="C1341" s="3" t="s">
        <v>190</v>
      </c>
      <c r="D1341" s="3" t="s">
        <v>3666</v>
      </c>
      <c r="E1341" s="3" t="s">
        <v>3160</v>
      </c>
      <c r="F1341" s="3" t="s">
        <v>3161</v>
      </c>
      <c r="G1341" s="3" t="str">
        <f>IFERROR(__xludf.DUMMYFUNCTION("GOOGLETRANSLATE(D1341,""fr"",""es"")"),"mecha")</f>
        <v>mecha</v>
      </c>
    </row>
    <row r="1342">
      <c r="A1342" s="3">
        <v>1320.0</v>
      </c>
      <c r="B1342" s="3" t="s">
        <v>189</v>
      </c>
      <c r="C1342" s="3" t="s">
        <v>190</v>
      </c>
      <c r="D1342" s="3" t="s">
        <v>3667</v>
      </c>
      <c r="E1342" s="3" t="s">
        <v>3139</v>
      </c>
      <c r="F1342" s="3" t="s">
        <v>3140</v>
      </c>
      <c r="G1342" s="3" t="str">
        <f>IFERROR(__xludf.DUMMYFUNCTION("GOOGLETRANSLATE(D1342,""fr"",""es"")"),"la meca")</f>
        <v>la meca</v>
      </c>
    </row>
    <row r="1343">
      <c r="A1343" s="3">
        <v>1321.0</v>
      </c>
      <c r="B1343" s="3" t="s">
        <v>189</v>
      </c>
      <c r="C1343" s="3" t="s">
        <v>190</v>
      </c>
      <c r="D1343" s="3" t="s">
        <v>3668</v>
      </c>
      <c r="E1343" s="3" t="s">
        <v>3139</v>
      </c>
      <c r="F1343" s="3" t="s">
        <v>3140</v>
      </c>
      <c r="G1343" s="3" t="str">
        <f>IFERROR(__xludf.DUMMYFUNCTION("GOOGLETRANSLATE(D1343,""fr"",""es"")"),"tipo")</f>
        <v>tipo</v>
      </c>
    </row>
    <row r="1344">
      <c r="A1344" s="3">
        <v>1322.0</v>
      </c>
      <c r="B1344" s="3" t="s">
        <v>189</v>
      </c>
      <c r="C1344" s="3" t="s">
        <v>190</v>
      </c>
      <c r="D1344" s="3" t="s">
        <v>3669</v>
      </c>
      <c r="E1344" s="3" t="s">
        <v>3670</v>
      </c>
      <c r="F1344" s="3" t="s">
        <v>3671</v>
      </c>
      <c r="G1344" s="3" t="str">
        <f>IFERROR(__xludf.DUMMYFUNCTION("GOOGLETRANSLATE(D1344,""fr"",""es"")"),"mismo")</f>
        <v>mismo</v>
      </c>
      <c r="H1344" s="3" t="s">
        <v>3672</v>
      </c>
      <c r="I1344" s="3" t="s">
        <v>3295</v>
      </c>
      <c r="J1344" s="3" t="s">
        <v>3673</v>
      </c>
      <c r="K1344" s="3" t="s">
        <v>3672</v>
      </c>
      <c r="L1344" s="3" t="s">
        <v>3674</v>
      </c>
      <c r="M1344" s="3" t="s">
        <v>827</v>
      </c>
      <c r="N1344" s="3" t="s">
        <v>3675</v>
      </c>
      <c r="O1344" s="3" t="s">
        <v>3676</v>
      </c>
      <c r="P1344" s="3" t="s">
        <v>3288</v>
      </c>
      <c r="Q1344" s="3" t="s">
        <v>3287</v>
      </c>
      <c r="R1344" s="3" t="s">
        <v>3677</v>
      </c>
      <c r="S1344" s="3" t="s">
        <v>3678</v>
      </c>
      <c r="T1344" s="3" t="s">
        <v>3679</v>
      </c>
      <c r="U1344" s="3" t="s">
        <v>3678</v>
      </c>
      <c r="V1344" s="3" t="s">
        <v>3678</v>
      </c>
      <c r="W1344" s="3" t="s">
        <v>3680</v>
      </c>
      <c r="X1344" s="3" t="s">
        <v>3681</v>
      </c>
      <c r="Y1344" s="3" t="s">
        <v>3679</v>
      </c>
      <c r="Z1344" s="3" t="s">
        <v>3682</v>
      </c>
      <c r="AA1344" s="3" t="s">
        <v>3683</v>
      </c>
    </row>
    <row r="1345">
      <c r="A1345" s="3">
        <v>1323.0</v>
      </c>
      <c r="B1345" s="3" t="s">
        <v>189</v>
      </c>
      <c r="C1345" s="3" t="s">
        <v>190</v>
      </c>
      <c r="D1345" s="3" t="s">
        <v>3684</v>
      </c>
      <c r="E1345" s="3" t="s">
        <v>3670</v>
      </c>
      <c r="F1345" s="3" t="s">
        <v>3671</v>
      </c>
      <c r="G1345" s="3" t="str">
        <f>IFERROR(__xludf.DUMMYFUNCTION("GOOGLETRANSLATE(D1345,""fr"",""es"")"),"mismo")</f>
        <v>mismo</v>
      </c>
    </row>
    <row r="1346">
      <c r="A1346" s="3">
        <v>1324.0</v>
      </c>
      <c r="B1346" s="3" t="s">
        <v>189</v>
      </c>
      <c r="C1346" s="3" t="s">
        <v>190</v>
      </c>
      <c r="D1346" s="3" t="s">
        <v>3685</v>
      </c>
      <c r="E1346" s="3" t="s">
        <v>3281</v>
      </c>
      <c r="F1346" s="3" t="s">
        <v>3282</v>
      </c>
      <c r="G1346" s="3" t="str">
        <f>IFERROR(__xludf.DUMMYFUNCTION("GOOGLETRANSLATE(D1346,""fr"",""es"")"),"dirigió")</f>
        <v>dirigió</v>
      </c>
    </row>
    <row r="1347">
      <c r="A1347" s="3">
        <v>1325.0</v>
      </c>
      <c r="B1347" s="3" t="s">
        <v>189</v>
      </c>
      <c r="C1347" s="3" t="s">
        <v>190</v>
      </c>
      <c r="D1347" s="3" t="s">
        <v>3686</v>
      </c>
      <c r="E1347" s="3" t="s">
        <v>3281</v>
      </c>
      <c r="F1347" s="3" t="s">
        <v>3282</v>
      </c>
      <c r="G1347" s="3" t="str">
        <f>IFERROR(__xludf.DUMMYFUNCTION("GOOGLETRANSLATE(D1347,""fr"",""es"")"),"Plomo")</f>
        <v>Plomo</v>
      </c>
    </row>
    <row r="1348">
      <c r="A1348" s="3">
        <v>1326.0</v>
      </c>
      <c r="B1348" s="3" t="s">
        <v>189</v>
      </c>
      <c r="C1348" s="3" t="s">
        <v>190</v>
      </c>
      <c r="D1348" s="3" t="s">
        <v>3687</v>
      </c>
      <c r="E1348" s="3" t="s">
        <v>3281</v>
      </c>
      <c r="F1348" s="3" t="s">
        <v>3282</v>
      </c>
      <c r="G1348" s="3" t="str">
        <f>IFERROR(__xludf.DUMMYFUNCTION("GOOGLETRANSLATE(D1348,""fr"",""es"")"),"principal")</f>
        <v>principal</v>
      </c>
    </row>
    <row r="1349">
      <c r="A1349" s="3">
        <v>1327.0</v>
      </c>
      <c r="B1349" s="3" t="s">
        <v>189</v>
      </c>
      <c r="C1349" s="3" t="s">
        <v>190</v>
      </c>
      <c r="D1349" s="3" t="s">
        <v>3582</v>
      </c>
      <c r="E1349" s="3" t="s">
        <v>3518</v>
      </c>
      <c r="F1349" s="3" t="s">
        <v>3519</v>
      </c>
      <c r="G1349" s="3" t="str">
        <f>IFERROR(__xludf.DUMMYFUNCTION("GOOGLETRANSLATE(D1349,""fr"",""es"")"),"desorden")</f>
        <v>desorden</v>
      </c>
      <c r="H1349" s="3" t="s">
        <v>3688</v>
      </c>
      <c r="I1349" s="3" t="s">
        <v>3689</v>
      </c>
      <c r="J1349" s="3" t="s">
        <v>3690</v>
      </c>
      <c r="K1349" s="3" t="s">
        <v>3691</v>
      </c>
      <c r="L1349" s="3" t="s">
        <v>3692</v>
      </c>
    </row>
    <row r="1350">
      <c r="A1350" s="3">
        <v>1328.0</v>
      </c>
      <c r="B1350" s="3" t="s">
        <v>189</v>
      </c>
      <c r="C1350" s="3" t="s">
        <v>190</v>
      </c>
      <c r="D1350" s="3" t="s">
        <v>3693</v>
      </c>
      <c r="E1350" s="3" t="s">
        <v>3518</v>
      </c>
      <c r="F1350" s="3" t="s">
        <v>3519</v>
      </c>
      <c r="G1350" s="3" t="str">
        <f>IFERROR(__xludf.DUMMYFUNCTION("GOOGLETRANSLATE(D1350,""fr"",""es"")"),"masa")</f>
        <v>masa</v>
      </c>
      <c r="H1350" s="3" t="s">
        <v>3694</v>
      </c>
      <c r="I1350" s="3" t="s">
        <v>3694</v>
      </c>
      <c r="J1350" s="3" t="s">
        <v>3694</v>
      </c>
    </row>
    <row r="1351">
      <c r="A1351" s="3">
        <v>1329.0</v>
      </c>
      <c r="B1351" s="3" t="s">
        <v>189</v>
      </c>
      <c r="C1351" s="3" t="s">
        <v>190</v>
      </c>
      <c r="D1351" s="3" t="s">
        <v>3695</v>
      </c>
      <c r="E1351" s="3" t="s">
        <v>3518</v>
      </c>
      <c r="F1351" s="3" t="s">
        <v>3519</v>
      </c>
      <c r="G1351" s="3" t="str">
        <f>IFERROR(__xludf.DUMMYFUNCTION("GOOGLETRANSLATE(D1351,""fr"",""es"")"),"masas")</f>
        <v>masas</v>
      </c>
    </row>
    <row r="1352">
      <c r="A1352" s="3">
        <v>1330.0</v>
      </c>
      <c r="B1352" s="3" t="s">
        <v>189</v>
      </c>
      <c r="C1352" s="3" t="s">
        <v>190</v>
      </c>
      <c r="D1352" s="3" t="s">
        <v>3696</v>
      </c>
      <c r="E1352" s="3" t="s">
        <v>3137</v>
      </c>
      <c r="F1352" s="3" t="s">
        <v>136</v>
      </c>
      <c r="G1352" s="3" t="str">
        <f>IFERROR(__xludf.DUMMYFUNCTION("GOOGLETRANSLATE(D1352,""fr"",""es"")"),"pone")</f>
        <v>pone</v>
      </c>
    </row>
    <row r="1353">
      <c r="A1353" s="3">
        <v>1331.0</v>
      </c>
      <c r="B1353" s="3" t="s">
        <v>189</v>
      </c>
      <c r="C1353" s="3" t="s">
        <v>190</v>
      </c>
      <c r="D1353" s="3" t="s">
        <v>3697</v>
      </c>
      <c r="E1353" s="3" t="s">
        <v>3137</v>
      </c>
      <c r="F1353" s="3" t="s">
        <v>136</v>
      </c>
      <c r="G1353" s="3" t="str">
        <f>IFERROR(__xludf.DUMMYFUNCTION("GOOGLETRANSLATE(D1353,""fr"",""es"")"),"poner")</f>
        <v>poner</v>
      </c>
    </row>
    <row r="1354">
      <c r="A1354" s="3">
        <v>1332.0</v>
      </c>
      <c r="B1354" s="3" t="s">
        <v>189</v>
      </c>
      <c r="C1354" s="3" t="s">
        <v>190</v>
      </c>
      <c r="D1354" s="3" t="s">
        <v>3698</v>
      </c>
      <c r="E1354" s="3" t="s">
        <v>3609</v>
      </c>
      <c r="F1354" s="3" t="s">
        <v>3610</v>
      </c>
      <c r="G1354" s="3" t="str">
        <f>IFERROR(__xludf.DUMMYFUNCTION("GOOGLETRANSLATE(D1354,""fr"",""es"")"),"poner")</f>
        <v>poner</v>
      </c>
    </row>
    <row r="1355">
      <c r="A1355" s="3">
        <v>1333.0</v>
      </c>
      <c r="B1355" s="3" t="s">
        <v>189</v>
      </c>
      <c r="C1355" s="3" t="s">
        <v>190</v>
      </c>
      <c r="D1355" s="3" t="s">
        <v>3699</v>
      </c>
      <c r="E1355" s="3" t="s">
        <v>3609</v>
      </c>
      <c r="F1355" s="3" t="s">
        <v>3610</v>
      </c>
      <c r="G1355" s="3" t="str">
        <f>IFERROR(__xludf.DUMMYFUNCTION("GOOGLETRANSLATE(D1355,""fr"",""es"")"),"putteais")</f>
        <v>putteais</v>
      </c>
    </row>
    <row r="1356">
      <c r="A1356" s="3">
        <v>1334.0</v>
      </c>
      <c r="B1356" s="3" t="s">
        <v>189</v>
      </c>
      <c r="C1356" s="3" t="s">
        <v>190</v>
      </c>
      <c r="D1356" s="3" t="s">
        <v>3700</v>
      </c>
      <c r="E1356" s="3" t="s">
        <v>3609</v>
      </c>
      <c r="F1356" s="3" t="s">
        <v>3610</v>
      </c>
      <c r="G1356" s="3" t="str">
        <f>IFERROR(__xludf.DUMMYFUNCTION("GOOGLETRANSLATE(D1356,""fr"",""es"")"),"poner")</f>
        <v>poner</v>
      </c>
    </row>
    <row r="1357">
      <c r="A1357" s="3">
        <v>1335.0</v>
      </c>
      <c r="B1357" s="3" t="s">
        <v>189</v>
      </c>
      <c r="C1357" s="3" t="s">
        <v>190</v>
      </c>
      <c r="D1357" s="3" t="s">
        <v>149</v>
      </c>
      <c r="E1357" s="3" t="s">
        <v>150</v>
      </c>
      <c r="F1357" s="3" t="s">
        <v>149</v>
      </c>
      <c r="G1357" s="3" t="str">
        <f>IFERROR(__xludf.DUMMYFUNCTION("GOOGLETRANSLATE(D1357,""fr"",""es"")"),"medio")</f>
        <v>medio</v>
      </c>
      <c r="H1357" s="3" t="s">
        <v>149</v>
      </c>
      <c r="I1357" s="3" t="s">
        <v>160</v>
      </c>
      <c r="J1357" s="3" t="s">
        <v>161</v>
      </c>
      <c r="K1357" s="3" t="s">
        <v>162</v>
      </c>
      <c r="L1357" s="3" t="s">
        <v>163</v>
      </c>
      <c r="M1357" s="3" t="s">
        <v>164</v>
      </c>
      <c r="N1357" s="3" t="s">
        <v>149</v>
      </c>
      <c r="O1357" s="3" t="s">
        <v>165</v>
      </c>
      <c r="P1357" s="3" t="s">
        <v>166</v>
      </c>
      <c r="Q1357" s="3" t="s">
        <v>160</v>
      </c>
      <c r="R1357" s="3" t="s">
        <v>149</v>
      </c>
      <c r="S1357" s="3" t="s">
        <v>3701</v>
      </c>
      <c r="T1357" s="3" t="s">
        <v>3702</v>
      </c>
    </row>
    <row r="1358">
      <c r="A1358" s="3">
        <v>1336.0</v>
      </c>
      <c r="B1358" s="3" t="s">
        <v>189</v>
      </c>
      <c r="C1358" s="3" t="s">
        <v>190</v>
      </c>
      <c r="D1358" s="3" t="s">
        <v>3703</v>
      </c>
      <c r="E1358" s="3" t="s">
        <v>150</v>
      </c>
      <c r="F1358" s="3" t="s">
        <v>149</v>
      </c>
      <c r="G1358" s="3" t="str">
        <f>IFERROR(__xludf.DUMMYFUNCTION("GOOGLETRANSLATE(D1358,""fr"",""es"")"),"medio-")</f>
        <v>medio-</v>
      </c>
    </row>
    <row r="1359">
      <c r="A1359" s="3">
        <v>1337.0</v>
      </c>
      <c r="B1359" s="3" t="s">
        <v>189</v>
      </c>
      <c r="C1359" s="3" t="s">
        <v>190</v>
      </c>
      <c r="D1359" s="3" t="s">
        <v>3704</v>
      </c>
      <c r="E1359" s="3" t="s">
        <v>3705</v>
      </c>
      <c r="F1359" s="3" t="s">
        <v>3706</v>
      </c>
      <c r="G1359" s="3" t="str">
        <f>IFERROR(__xludf.DUMMYFUNCTION("GOOGLETRANSLATE(D1359,""fr"",""es"")"),"Micé")</f>
        <v>Micé</v>
      </c>
      <c r="H1359" s="3" t="s">
        <v>3707</v>
      </c>
      <c r="I1359" s="3" t="s">
        <v>3708</v>
      </c>
    </row>
    <row r="1360">
      <c r="A1360" s="3">
        <v>1338.0</v>
      </c>
      <c r="B1360" s="3" t="s">
        <v>189</v>
      </c>
      <c r="C1360" s="3" t="s">
        <v>190</v>
      </c>
      <c r="D1360" s="3" t="s">
        <v>3709</v>
      </c>
      <c r="E1360" s="3" t="s">
        <v>3710</v>
      </c>
      <c r="F1360" s="3" t="s">
        <v>3711</v>
      </c>
      <c r="G1360" s="3" t="str">
        <f>IFERROR(__xludf.DUMMYFUNCTION("GOOGLETRANSLATE(D1360,""fr"",""es"")"),"Michel")</f>
        <v>Michel</v>
      </c>
      <c r="H1360" s="3" t="s">
        <v>3712</v>
      </c>
    </row>
    <row r="1361">
      <c r="A1361" s="3">
        <v>1339.0</v>
      </c>
      <c r="B1361" s="3" t="s">
        <v>189</v>
      </c>
      <c r="C1361" s="3" t="s">
        <v>190</v>
      </c>
      <c r="D1361" s="3" t="s">
        <v>3713</v>
      </c>
      <c r="E1361" s="3" t="s">
        <v>3710</v>
      </c>
      <c r="F1361" s="3" t="s">
        <v>3711</v>
      </c>
      <c r="G1361" s="3" t="str">
        <f>IFERROR(__xludf.DUMMYFUNCTION("GOOGLETRANSLATE(D1361,""fr"",""es"")"),"Michelle")</f>
        <v>Michelle</v>
      </c>
    </row>
    <row r="1362">
      <c r="A1362" s="3">
        <v>1340.0</v>
      </c>
      <c r="B1362" s="3" t="s">
        <v>189</v>
      </c>
      <c r="C1362" s="3" t="s">
        <v>190</v>
      </c>
      <c r="D1362" s="3" t="s">
        <v>3714</v>
      </c>
      <c r="E1362" s="3" t="s">
        <v>3705</v>
      </c>
      <c r="F1362" s="3" t="s">
        <v>3706</v>
      </c>
      <c r="G1362" s="3" t="str">
        <f>IFERROR(__xludf.DUMMYFUNCTION("GOOGLETRANSLATE(D1362,""fr"",""es"")"),"Cerraduras")</f>
        <v>Cerraduras</v>
      </c>
    </row>
    <row r="1363">
      <c r="A1363" s="3">
        <v>1341.0</v>
      </c>
      <c r="B1363" s="3" t="s">
        <v>189</v>
      </c>
      <c r="C1363" s="3" t="s">
        <v>190</v>
      </c>
      <c r="D1363" s="3" t="s">
        <v>3715</v>
      </c>
      <c r="E1363" s="3" t="s">
        <v>150</v>
      </c>
      <c r="F1363" s="3" t="s">
        <v>149</v>
      </c>
      <c r="G1363" s="3" t="str">
        <f>IFERROR(__xludf.DUMMYFUNCTION("GOOGLETRANSLATE(D1363,""fr"",""es"")"),"miga")</f>
        <v>miga</v>
      </c>
      <c r="H1363" s="3" t="s">
        <v>3716</v>
      </c>
      <c r="I1363" s="3" t="s">
        <v>3716</v>
      </c>
      <c r="J1363" s="3" t="s">
        <v>3716</v>
      </c>
      <c r="K1363" s="3" t="s">
        <v>3716</v>
      </c>
      <c r="L1363" s="3" t="s">
        <v>3716</v>
      </c>
    </row>
    <row r="1364">
      <c r="A1364" s="3">
        <v>1342.0</v>
      </c>
      <c r="B1364" s="3" t="s">
        <v>189</v>
      </c>
      <c r="C1364" s="3" t="s">
        <v>190</v>
      </c>
      <c r="D1364" s="3" t="s">
        <v>3717</v>
      </c>
      <c r="E1364" s="3" t="s">
        <v>150</v>
      </c>
      <c r="F1364" s="3" t="s">
        <v>149</v>
      </c>
      <c r="G1364" s="3" t="str">
        <f>IFERROR(__xludf.DUMMYFUNCTION("GOOGLETRANSLATE(D1364,""fr"",""es"")"),"mies")</f>
        <v>mies</v>
      </c>
    </row>
    <row r="1365">
      <c r="A1365" s="3">
        <v>1343.0</v>
      </c>
      <c r="B1365" s="3" t="s">
        <v>189</v>
      </c>
      <c r="C1365" s="3" t="s">
        <v>190</v>
      </c>
      <c r="D1365" s="3" t="s">
        <v>159</v>
      </c>
      <c r="E1365" s="3" t="s">
        <v>3718</v>
      </c>
      <c r="F1365" s="3" t="s">
        <v>159</v>
      </c>
      <c r="G1365" s="3" t="str">
        <f>IFERROR(__xludf.DUMMYFUNCTION("GOOGLETRANSLATE(D1365,""fr"",""es"")"),"mijo")</f>
        <v>mijo</v>
      </c>
    </row>
    <row r="1366">
      <c r="A1366" s="3">
        <v>1344.0</v>
      </c>
      <c r="B1366" s="3" t="s">
        <v>189</v>
      </c>
      <c r="C1366" s="3" t="s">
        <v>190</v>
      </c>
      <c r="D1366" s="3" t="s">
        <v>3719</v>
      </c>
      <c r="E1366" s="3" t="s">
        <v>3720</v>
      </c>
      <c r="F1366" s="3" t="s">
        <v>3721</v>
      </c>
      <c r="G1366" s="3" t="str">
        <f>IFERROR(__xludf.DUMMYFUNCTION("GOOGLETRANSLATE(D1366,""fr"",""es"")"),"milanés")</f>
        <v>milanés</v>
      </c>
      <c r="H1366" s="3" t="s">
        <v>3722</v>
      </c>
    </row>
    <row r="1367">
      <c r="A1367" s="3">
        <v>1345.0</v>
      </c>
      <c r="B1367" s="3" t="s">
        <v>189</v>
      </c>
      <c r="C1367" s="3" t="s">
        <v>190</v>
      </c>
      <c r="D1367" s="3" t="s">
        <v>3723</v>
      </c>
      <c r="E1367" s="3" t="s">
        <v>3724</v>
      </c>
      <c r="F1367" s="3" t="s">
        <v>3725</v>
      </c>
      <c r="G1367" s="3" t="str">
        <f>IFERROR(__xludf.DUMMYFUNCTION("GOOGLETRANSLATE(D1367,""fr"",""es"")"),"milicia")</f>
        <v>milicia</v>
      </c>
      <c r="H1367" s="3" t="s">
        <v>3726</v>
      </c>
      <c r="I1367" s="3" t="s">
        <v>3727</v>
      </c>
      <c r="J1367" s="3" t="s">
        <v>3726</v>
      </c>
    </row>
    <row r="1368">
      <c r="A1368" s="3">
        <v>1346.0</v>
      </c>
      <c r="B1368" s="3" t="s">
        <v>189</v>
      </c>
      <c r="C1368" s="3" t="s">
        <v>190</v>
      </c>
      <c r="D1368" s="3" t="s">
        <v>3728</v>
      </c>
      <c r="E1368" s="3" t="s">
        <v>3724</v>
      </c>
      <c r="F1368" s="3" t="s">
        <v>3725</v>
      </c>
      <c r="G1368" s="3" t="str">
        <f>IFERROR(__xludf.DUMMYFUNCTION("GOOGLETRANSLATE(D1368,""fr"",""es"")"),"milicias")</f>
        <v>milicias</v>
      </c>
    </row>
    <row r="1369">
      <c r="A1369" s="3">
        <v>1347.0</v>
      </c>
      <c r="B1369" s="3" t="s">
        <v>189</v>
      </c>
      <c r="C1369" s="3" t="s">
        <v>190</v>
      </c>
      <c r="D1369" s="3" t="s">
        <v>3729</v>
      </c>
      <c r="E1369" s="3" t="s">
        <v>3730</v>
      </c>
      <c r="F1369" s="3" t="s">
        <v>3731</v>
      </c>
      <c r="G1369" s="3" t="str">
        <f>IFERROR(__xludf.DUMMYFUNCTION("GOOGLETRANSLATE(D1369,""fr"",""es"")"),"Militai")</f>
        <v>Militai</v>
      </c>
    </row>
    <row r="1370">
      <c r="A1370" s="3">
        <v>1348.0</v>
      </c>
      <c r="B1370" s="3" t="s">
        <v>189</v>
      </c>
      <c r="C1370" s="3" t="s">
        <v>190</v>
      </c>
      <c r="D1370" s="3" t="s">
        <v>3732</v>
      </c>
      <c r="E1370" s="3" t="s">
        <v>3730</v>
      </c>
      <c r="F1370" s="3" t="s">
        <v>3731</v>
      </c>
      <c r="G1370" s="3" t="str">
        <f>IFERROR(__xludf.DUMMYFUNCTION("GOOGLETRANSLATE(D1370,""fr"",""es"")"),"militado")</f>
        <v>militado</v>
      </c>
    </row>
    <row r="1371">
      <c r="A1371" s="3">
        <v>1349.0</v>
      </c>
      <c r="B1371" s="3" t="s">
        <v>189</v>
      </c>
      <c r="C1371" s="3" t="s">
        <v>190</v>
      </c>
      <c r="D1371" s="3" t="s">
        <v>3733</v>
      </c>
      <c r="E1371" s="3" t="s">
        <v>3730</v>
      </c>
      <c r="F1371" s="3" t="s">
        <v>3731</v>
      </c>
      <c r="G1371" s="3" t="str">
        <f>IFERROR(__xludf.DUMMYFUNCTION("GOOGLETRANSLATE(D1371,""fr"",""es"")"),"militais")</f>
        <v>militais</v>
      </c>
    </row>
    <row r="1372">
      <c r="A1372" s="3">
        <v>1350.0</v>
      </c>
      <c r="B1372" s="3" t="s">
        <v>189</v>
      </c>
      <c r="C1372" s="3" t="s">
        <v>190</v>
      </c>
      <c r="D1372" s="3" t="s">
        <v>3734</v>
      </c>
      <c r="E1372" s="3" t="s">
        <v>3730</v>
      </c>
      <c r="F1372" s="3" t="s">
        <v>3731</v>
      </c>
      <c r="G1372" s="3" t="str">
        <f>IFERROR(__xludf.DUMMYFUNCTION("GOOGLETRANSLATE(D1372,""fr"",""es"")"),"militado")</f>
        <v>militado</v>
      </c>
    </row>
    <row r="1373">
      <c r="A1373" s="3">
        <v>1351.0</v>
      </c>
      <c r="B1373" s="3" t="s">
        <v>189</v>
      </c>
      <c r="C1373" s="3" t="s">
        <v>190</v>
      </c>
      <c r="D1373" s="3" t="s">
        <v>3735</v>
      </c>
      <c r="E1373" s="3" t="s">
        <v>3736</v>
      </c>
      <c r="F1373" s="3" t="s">
        <v>3737</v>
      </c>
      <c r="G1373" s="3" t="str">
        <f>IFERROR(__xludf.DUMMYFUNCTION("GOOGLETRANSLATE(D1373,""fr"",""es"")"),"Milita")</f>
        <v>Milita</v>
      </c>
    </row>
    <row r="1374">
      <c r="A1374" s="3">
        <v>1352.0</v>
      </c>
      <c r="B1374" s="3" t="s">
        <v>189</v>
      </c>
      <c r="C1374" s="3" t="s">
        <v>190</v>
      </c>
      <c r="D1374" s="3" t="s">
        <v>3738</v>
      </c>
      <c r="E1374" s="3" t="s">
        <v>3739</v>
      </c>
      <c r="F1374" s="3" t="s">
        <v>3740</v>
      </c>
      <c r="G1374" s="3" t="str">
        <f>IFERROR(__xludf.DUMMYFUNCTION("GOOGLETRANSLATE(D1374,""fr"",""es"")"),"militas a")</f>
        <v>militas a</v>
      </c>
    </row>
    <row r="1375">
      <c r="A1375" s="3">
        <v>1353.0</v>
      </c>
      <c r="B1375" s="3" t="s">
        <v>189</v>
      </c>
      <c r="C1375" s="3" t="s">
        <v>190</v>
      </c>
      <c r="D1375" s="3" t="s">
        <v>3741</v>
      </c>
      <c r="E1375" s="3" t="s">
        <v>3739</v>
      </c>
      <c r="F1375" s="3" t="s">
        <v>3740</v>
      </c>
      <c r="G1375" s="3" t="str">
        <f>IFERROR(__xludf.DUMMYFUNCTION("GOOGLETRANSLATE(D1375,""fr"",""es"")"),"militas a")</f>
        <v>militas a</v>
      </c>
    </row>
    <row r="1376">
      <c r="A1376" s="3">
        <v>1354.0</v>
      </c>
      <c r="B1376" s="3" t="s">
        <v>189</v>
      </c>
      <c r="C1376" s="3" t="s">
        <v>190</v>
      </c>
      <c r="D1376" s="3" t="s">
        <v>3742</v>
      </c>
      <c r="E1376" s="3" t="s">
        <v>3739</v>
      </c>
      <c r="F1376" s="3" t="s">
        <v>3740</v>
      </c>
      <c r="G1376" s="3" t="str">
        <f>IFERROR(__xludf.DUMMYFUNCTION("GOOGLETRANSLATE(D1376,""fr"",""es"")"),"militas a")</f>
        <v>militas a</v>
      </c>
    </row>
    <row r="1377">
      <c r="A1377" s="3">
        <v>1355.0</v>
      </c>
      <c r="B1377" s="3" t="s">
        <v>189</v>
      </c>
      <c r="C1377" s="3" t="s">
        <v>190</v>
      </c>
      <c r="D1377" s="3" t="s">
        <v>3743</v>
      </c>
      <c r="E1377" s="3" t="s">
        <v>3718</v>
      </c>
      <c r="F1377" s="3" t="s">
        <v>159</v>
      </c>
      <c r="G1377" s="3" t="str">
        <f>IFERROR(__xludf.DUMMYFUNCTION("GOOGLETRANSLATE(D1377,""fr"",""es"")"),"mil")</f>
        <v>mil</v>
      </c>
      <c r="H1377" s="3" t="s">
        <v>3744</v>
      </c>
      <c r="I1377" s="3" t="s">
        <v>3745</v>
      </c>
      <c r="J1377" s="3">
        <v>1000.0</v>
      </c>
      <c r="K1377" s="3" t="s">
        <v>3134</v>
      </c>
      <c r="L1377" s="3" t="s">
        <v>3746</v>
      </c>
      <c r="M1377" s="3" t="s">
        <v>160</v>
      </c>
      <c r="N1377" s="3" t="s">
        <v>160</v>
      </c>
      <c r="O1377" s="3" t="s">
        <v>161</v>
      </c>
      <c r="P1377" s="3" t="s">
        <v>162</v>
      </c>
      <c r="Q1377" s="3" t="s">
        <v>163</v>
      </c>
      <c r="R1377" s="3" t="s">
        <v>164</v>
      </c>
      <c r="S1377" s="3" t="s">
        <v>149</v>
      </c>
      <c r="T1377" s="3" t="s">
        <v>160</v>
      </c>
      <c r="U1377" s="3" t="s">
        <v>159</v>
      </c>
      <c r="V1377" s="3" t="s">
        <v>3747</v>
      </c>
      <c r="W1377" s="3" t="s">
        <v>160</v>
      </c>
      <c r="X1377" s="3" t="s">
        <v>3748</v>
      </c>
      <c r="Y1377" s="3" t="s">
        <v>165</v>
      </c>
      <c r="Z1377" s="3" t="s">
        <v>160</v>
      </c>
      <c r="AA1377" s="3" t="s">
        <v>149</v>
      </c>
      <c r="AB1377" s="3" t="s">
        <v>166</v>
      </c>
      <c r="AC1377" s="3" t="s">
        <v>167</v>
      </c>
      <c r="AD1377" s="3" t="s">
        <v>168</v>
      </c>
      <c r="AE1377" s="3" t="s">
        <v>169</v>
      </c>
      <c r="AF1377" s="3" t="s">
        <v>165</v>
      </c>
      <c r="AG1377" s="3" t="s">
        <v>166</v>
      </c>
      <c r="AH1377" s="3" t="s">
        <v>160</v>
      </c>
      <c r="AI1377" s="3" t="s">
        <v>149</v>
      </c>
      <c r="AJ1377" s="3" t="s">
        <v>3701</v>
      </c>
      <c r="AK1377" s="3" t="s">
        <v>3702</v>
      </c>
      <c r="AL1377" s="3" t="s">
        <v>3749</v>
      </c>
      <c r="AM1377" s="3" t="s">
        <v>160</v>
      </c>
      <c r="AN1377" s="3" t="s">
        <v>3744</v>
      </c>
      <c r="AO1377" s="3" t="s">
        <v>3745</v>
      </c>
      <c r="AP1377" s="3">
        <v>1000.0</v>
      </c>
      <c r="AQ1377" s="3" t="s">
        <v>3131</v>
      </c>
      <c r="AR1377" s="3" t="s">
        <v>3750</v>
      </c>
      <c r="AS1377" s="3" t="s">
        <v>3751</v>
      </c>
      <c r="AT1377" s="3" t="s">
        <v>3752</v>
      </c>
      <c r="AU1377" s="3" t="s">
        <v>369</v>
      </c>
      <c r="AV1377" s="3" t="s">
        <v>3753</v>
      </c>
      <c r="AW1377" s="3" t="s">
        <v>3754</v>
      </c>
      <c r="AX1377" s="3" t="s">
        <v>160</v>
      </c>
    </row>
    <row r="1378">
      <c r="A1378" s="3">
        <v>1356.0</v>
      </c>
      <c r="B1378" s="3" t="s">
        <v>189</v>
      </c>
      <c r="C1378" s="3" t="s">
        <v>190</v>
      </c>
      <c r="D1378" s="3" t="s">
        <v>3755</v>
      </c>
      <c r="E1378" s="3" t="s">
        <v>3718</v>
      </c>
      <c r="F1378" s="3" t="s">
        <v>159</v>
      </c>
      <c r="G1378" s="3" t="str">
        <f>IFERROR(__xludf.DUMMYFUNCTION("GOOGLETRANSLATE(D1378,""fr"",""es"")"),"millas")</f>
        <v>millas</v>
      </c>
    </row>
    <row r="1379">
      <c r="A1379" s="3">
        <v>1357.0</v>
      </c>
      <c r="B1379" s="3" t="s">
        <v>189</v>
      </c>
      <c r="C1379" s="3" t="s">
        <v>190</v>
      </c>
      <c r="D1379" s="3" t="s">
        <v>3756</v>
      </c>
      <c r="E1379" s="3" t="s">
        <v>3757</v>
      </c>
      <c r="F1379" s="3" t="s">
        <v>3758</v>
      </c>
      <c r="G1379" s="3" t="str">
        <f>IFERROR(__xludf.DUMMYFUNCTION("GOOGLETRANSLATE(D1379,""fr"",""es"")"),"mijo")</f>
        <v>mijo</v>
      </c>
      <c r="H1379" s="3" t="s">
        <v>3756</v>
      </c>
      <c r="I1379" s="3" t="s">
        <v>3759</v>
      </c>
      <c r="J1379" s="3" t="s">
        <v>3760</v>
      </c>
      <c r="K1379" s="3" t="s">
        <v>3756</v>
      </c>
    </row>
    <row r="1380">
      <c r="A1380" s="3">
        <v>1358.0</v>
      </c>
      <c r="B1380" s="3" t="s">
        <v>189</v>
      </c>
      <c r="C1380" s="3" t="s">
        <v>190</v>
      </c>
      <c r="D1380" s="3" t="s">
        <v>3761</v>
      </c>
      <c r="E1380" s="3" t="s">
        <v>3757</v>
      </c>
      <c r="F1380" s="3" t="s">
        <v>3758</v>
      </c>
      <c r="G1380" s="3" t="str">
        <f>IFERROR(__xludf.DUMMYFUNCTION("GOOGLETRANSLATE(D1380,""fr"",""es"")"),"molinero")</f>
        <v>molinero</v>
      </c>
    </row>
    <row r="1381">
      <c r="A1381" s="3">
        <v>1359.0</v>
      </c>
      <c r="B1381" s="3" t="s">
        <v>189</v>
      </c>
      <c r="C1381" s="3" t="s">
        <v>190</v>
      </c>
      <c r="D1381" s="3" t="s">
        <v>3762</v>
      </c>
      <c r="E1381" s="3" t="s">
        <v>3718</v>
      </c>
      <c r="F1381" s="3" t="s">
        <v>159</v>
      </c>
      <c r="G1381" s="3" t="str">
        <f>IFERROR(__xludf.DUMMYFUNCTION("GOOGLETRANSLATE(D1381,""fr"",""es"")"),"mils")</f>
        <v>mils</v>
      </c>
    </row>
    <row r="1382">
      <c r="A1382" s="3">
        <v>1360.0</v>
      </c>
      <c r="B1382" s="3" t="s">
        <v>189</v>
      </c>
      <c r="C1382" s="3" t="s">
        <v>190</v>
      </c>
      <c r="D1382" s="3" t="s">
        <v>3763</v>
      </c>
      <c r="E1382" s="3" t="s">
        <v>3764</v>
      </c>
      <c r="F1382" s="3" t="s">
        <v>3765</v>
      </c>
      <c r="G1382" s="3" t="str">
        <f>IFERROR(__xludf.DUMMYFUNCTION("GOOGLETRANSLATE(D1382,""fr"",""es"")"),"mimai")</f>
        <v>mimai</v>
      </c>
    </row>
    <row r="1383">
      <c r="A1383" s="3">
        <v>1361.0</v>
      </c>
      <c r="B1383" s="3" t="s">
        <v>189</v>
      </c>
      <c r="C1383" s="3" t="s">
        <v>190</v>
      </c>
      <c r="D1383" s="3" t="s">
        <v>3766</v>
      </c>
      <c r="E1383" s="3" t="s">
        <v>3764</v>
      </c>
      <c r="F1383" s="3" t="s">
        <v>3765</v>
      </c>
      <c r="G1383" s="3" t="str">
        <f>IFERROR(__xludf.DUMMYFUNCTION("GOOGLETRANSLATE(D1383,""fr"",""es"")"),"imitado")</f>
        <v>imitado</v>
      </c>
    </row>
    <row r="1384">
      <c r="A1384" s="3">
        <v>1362.0</v>
      </c>
      <c r="B1384" s="3" t="s">
        <v>189</v>
      </c>
      <c r="C1384" s="3" t="s">
        <v>190</v>
      </c>
      <c r="D1384" s="3" t="s">
        <v>3767</v>
      </c>
      <c r="E1384" s="3" t="s">
        <v>3764</v>
      </c>
      <c r="F1384" s="3" t="s">
        <v>3765</v>
      </c>
      <c r="G1384" s="3" t="str">
        <f>IFERROR(__xludf.DUMMYFUNCTION("GOOGLETRANSLATE(D1384,""fr"",""es"")"),"imitar")</f>
        <v>imitar</v>
      </c>
    </row>
    <row r="1385">
      <c r="A1385" s="3">
        <v>1363.0</v>
      </c>
      <c r="B1385" s="3" t="s">
        <v>189</v>
      </c>
      <c r="C1385" s="3" t="s">
        <v>190</v>
      </c>
      <c r="D1385" s="3" t="s">
        <v>3768</v>
      </c>
      <c r="E1385" s="3" t="s">
        <v>3764</v>
      </c>
      <c r="F1385" s="3" t="s">
        <v>3765</v>
      </c>
      <c r="G1385" s="3" t="str">
        <f>IFERROR(__xludf.DUMMYFUNCTION("GOOGLETRANSLATE(D1385,""fr"",""es"")"),"imitado")</f>
        <v>imitado</v>
      </c>
    </row>
    <row r="1386">
      <c r="A1386" s="3">
        <v>1364.0</v>
      </c>
      <c r="B1386" s="3" t="s">
        <v>189</v>
      </c>
      <c r="C1386" s="3" t="s">
        <v>190</v>
      </c>
      <c r="D1386" s="3" t="s">
        <v>3769</v>
      </c>
      <c r="E1386" s="3" t="s">
        <v>3770</v>
      </c>
      <c r="F1386" s="3" t="s">
        <v>3771</v>
      </c>
      <c r="G1386" s="3" t="str">
        <f>IFERROR(__xludf.DUMMYFUNCTION("GOOGLETRANSLATE(D1386,""fr"",""es"")"),"imitar")</f>
        <v>imitar</v>
      </c>
    </row>
    <row r="1387">
      <c r="A1387" s="3">
        <v>1365.0</v>
      </c>
      <c r="B1387" s="3" t="s">
        <v>189</v>
      </c>
      <c r="C1387" s="3" t="s">
        <v>190</v>
      </c>
      <c r="D1387" s="3" t="s">
        <v>3772</v>
      </c>
      <c r="E1387" s="3" t="s">
        <v>3773</v>
      </c>
      <c r="F1387" s="3" t="s">
        <v>3774</v>
      </c>
      <c r="G1387" s="3" t="str">
        <f>IFERROR(__xludf.DUMMYFUNCTION("GOOGLETRANSLATE(D1387,""fr"",""es"")"),"mimasse")</f>
        <v>mimasse</v>
      </c>
    </row>
    <row r="1388">
      <c r="A1388" s="3">
        <v>1366.0</v>
      </c>
      <c r="B1388" s="3" t="s">
        <v>189</v>
      </c>
      <c r="C1388" s="3" t="s">
        <v>190</v>
      </c>
      <c r="D1388" s="3" t="s">
        <v>3775</v>
      </c>
      <c r="E1388" s="3" t="s">
        <v>3773</v>
      </c>
      <c r="F1388" s="3" t="s">
        <v>3774</v>
      </c>
      <c r="G1388" s="3" t="str">
        <f>IFERROR(__xludf.DUMMYFUNCTION("GOOGLETRANSLATE(D1388,""fr"",""es"")"),"mimache")</f>
        <v>mimache</v>
      </c>
    </row>
    <row r="1389">
      <c r="A1389" s="3">
        <v>1367.0</v>
      </c>
      <c r="B1389" s="3" t="s">
        <v>189</v>
      </c>
      <c r="C1389" s="3" t="s">
        <v>190</v>
      </c>
      <c r="D1389" s="3" t="s">
        <v>3776</v>
      </c>
      <c r="E1389" s="3" t="s">
        <v>3773</v>
      </c>
      <c r="F1389" s="3" t="s">
        <v>3774</v>
      </c>
      <c r="G1389" s="3" t="str">
        <f>IFERROR(__xludf.DUMMYFUNCTION("GOOGLETRANSLATE(D1389,""fr"",""es"")"),"mimas")</f>
        <v>mimas</v>
      </c>
    </row>
    <row r="1390">
      <c r="A1390" s="3">
        <v>1368.0</v>
      </c>
      <c r="B1390" s="3" t="s">
        <v>189</v>
      </c>
      <c r="C1390" s="3" t="s">
        <v>190</v>
      </c>
      <c r="D1390" s="3" t="s">
        <v>3777</v>
      </c>
      <c r="E1390" s="3" t="s">
        <v>3778</v>
      </c>
      <c r="F1390" s="3" t="s">
        <v>3779</v>
      </c>
      <c r="G1390" s="3" t="str">
        <f>IFERROR(__xludf.DUMMYFUNCTION("GOOGLETRANSLATE(D1390,""fr"",""es"")"),"mímica")</f>
        <v>mímica</v>
      </c>
      <c r="H1390" s="3" t="s">
        <v>3777</v>
      </c>
      <c r="I1390" s="3" t="s">
        <v>3780</v>
      </c>
      <c r="J1390" s="3" t="s">
        <v>3781</v>
      </c>
      <c r="K1390" s="3" t="s">
        <v>3777</v>
      </c>
      <c r="L1390" s="3" t="s">
        <v>3780</v>
      </c>
      <c r="M1390" s="3" t="s">
        <v>3782</v>
      </c>
      <c r="N1390" s="3" t="s">
        <v>3777</v>
      </c>
      <c r="O1390" s="3" t="s">
        <v>3777</v>
      </c>
      <c r="P1390" s="3" t="s">
        <v>3783</v>
      </c>
      <c r="Q1390" s="3" t="s">
        <v>3784</v>
      </c>
      <c r="R1390" s="3" t="s">
        <v>3785</v>
      </c>
      <c r="S1390" s="3" t="s">
        <v>3786</v>
      </c>
    </row>
    <row r="1391">
      <c r="A1391" s="3">
        <v>1369.0</v>
      </c>
      <c r="B1391" s="3" t="s">
        <v>189</v>
      </c>
      <c r="C1391" s="3" t="s">
        <v>190</v>
      </c>
      <c r="D1391" s="3" t="s">
        <v>3787</v>
      </c>
      <c r="E1391" s="3" t="s">
        <v>3778</v>
      </c>
      <c r="F1391" s="3" t="s">
        <v>3779</v>
      </c>
      <c r="G1391" s="3" t="str">
        <f>IFERROR(__xludf.DUMMYFUNCTION("GOOGLETRANSLATE(D1391,""fr"",""es"")"),"molino")</f>
        <v>molino</v>
      </c>
    </row>
    <row r="1392">
      <c r="A1392" s="3">
        <v>1370.0</v>
      </c>
      <c r="B1392" s="3" t="s">
        <v>189</v>
      </c>
      <c r="C1392" s="3" t="s">
        <v>190</v>
      </c>
      <c r="D1392" s="3" t="s">
        <v>3788</v>
      </c>
      <c r="E1392" s="3" t="s">
        <v>3778</v>
      </c>
      <c r="F1392" s="3" t="s">
        <v>3779</v>
      </c>
      <c r="G1392" s="3" t="str">
        <f>IFERROR(__xludf.DUMMYFUNCTION("GOOGLETRANSLATE(D1392,""fr"",""es"")"),"mimes")</f>
        <v>mimes</v>
      </c>
    </row>
    <row r="1393">
      <c r="A1393" s="3">
        <v>1371.0</v>
      </c>
      <c r="B1393" s="3" t="s">
        <v>189</v>
      </c>
      <c r="C1393" s="3" t="s">
        <v>190</v>
      </c>
      <c r="D1393" s="3" t="s">
        <v>3789</v>
      </c>
      <c r="E1393" s="3" t="s">
        <v>3778</v>
      </c>
      <c r="F1393" s="3" t="s">
        <v>3779</v>
      </c>
      <c r="G1393" s="3" t="str">
        <f>IFERROR(__xludf.DUMMYFUNCTION("GOOGLETRANSLATE(D1393,""fr"",""es"")"),"mefmes")</f>
        <v>mefmes</v>
      </c>
    </row>
    <row r="1394">
      <c r="A1394" s="3">
        <v>1372.0</v>
      </c>
      <c r="B1394" s="3" t="s">
        <v>189</v>
      </c>
      <c r="C1394" s="3" t="s">
        <v>190</v>
      </c>
      <c r="D1394" s="3" t="s">
        <v>3790</v>
      </c>
      <c r="E1394" s="3" t="s">
        <v>3791</v>
      </c>
      <c r="F1394" s="3" t="s">
        <v>3790</v>
      </c>
      <c r="G1394" s="3" t="str">
        <f>IFERROR(__xludf.DUMMYFUNCTION("GOOGLETRANSLATE(D1394,""fr"",""es"")"),"mimi")</f>
        <v>mimi</v>
      </c>
    </row>
    <row r="1395">
      <c r="A1395" s="3">
        <v>1373.0</v>
      </c>
      <c r="B1395" s="3" t="s">
        <v>189</v>
      </c>
      <c r="C1395" s="3" t="s">
        <v>190</v>
      </c>
      <c r="D1395" s="3" t="s">
        <v>3792</v>
      </c>
      <c r="E1395" s="3" t="s">
        <v>3793</v>
      </c>
      <c r="F1395" s="3" t="s">
        <v>3794</v>
      </c>
      <c r="G1395" s="3" t="str">
        <f>IFERROR(__xludf.DUMMYFUNCTION("GOOGLETRANSLATE(D1395,""fr"",""es"")"),"imitar")</f>
        <v>imitar</v>
      </c>
    </row>
    <row r="1396">
      <c r="A1396" s="3">
        <v>1374.0</v>
      </c>
      <c r="B1396" s="3" t="s">
        <v>189</v>
      </c>
      <c r="C1396" s="3" t="s">
        <v>190</v>
      </c>
      <c r="D1396" s="3" t="s">
        <v>3795</v>
      </c>
      <c r="E1396" s="3" t="s">
        <v>3793</v>
      </c>
      <c r="F1396" s="3" t="s">
        <v>3794</v>
      </c>
      <c r="G1396" s="3" t="str">
        <f>IFERROR(__xludf.DUMMYFUNCTION("GOOGLETRANSLATE(D1396,""fr"",""es"")"),"imitar")</f>
        <v>imitar</v>
      </c>
    </row>
    <row r="1397">
      <c r="A1397" s="3">
        <v>1375.0</v>
      </c>
      <c r="B1397" s="3" t="s">
        <v>189</v>
      </c>
      <c r="C1397" s="3" t="s">
        <v>190</v>
      </c>
      <c r="D1397" s="3" t="s">
        <v>3796</v>
      </c>
      <c r="E1397" s="3" t="s">
        <v>3791</v>
      </c>
      <c r="F1397" s="3" t="s">
        <v>3790</v>
      </c>
      <c r="G1397" s="3" t="str">
        <f>IFERROR(__xludf.DUMMYFUNCTION("GOOGLETRANSLATE(D1397,""fr"",""es"")"),"miim")</f>
        <v>miim</v>
      </c>
    </row>
    <row r="1398">
      <c r="A1398" s="3">
        <v>1376.0</v>
      </c>
      <c r="B1398" s="3" t="s">
        <v>189</v>
      </c>
      <c r="C1398" s="3" t="s">
        <v>190</v>
      </c>
      <c r="D1398" s="3" t="s">
        <v>3797</v>
      </c>
      <c r="E1398" s="3" t="s">
        <v>3798</v>
      </c>
      <c r="F1398" s="3" t="s">
        <v>3799</v>
      </c>
      <c r="G1398" s="3" t="str">
        <f>IFERROR(__xludf.DUMMYFUNCTION("GOOGLETRANSLATE(D1398,""fr"",""es"")"),"mini")</f>
        <v>mini</v>
      </c>
    </row>
    <row r="1399">
      <c r="A1399" s="3">
        <v>1377.0</v>
      </c>
      <c r="B1399" s="3" t="s">
        <v>189</v>
      </c>
      <c r="C1399" s="3" t="s">
        <v>190</v>
      </c>
      <c r="D1399" s="3" t="s">
        <v>3800</v>
      </c>
      <c r="E1399" s="3" t="s">
        <v>3798</v>
      </c>
      <c r="F1399" s="3" t="s">
        <v>3799</v>
      </c>
      <c r="G1399" s="3" t="str">
        <f>IFERROR(__xludf.DUMMYFUNCTION("GOOGLETRANSLATE(D1399,""fr"",""es"")"),"estaban socavando")</f>
        <v>estaban socavando</v>
      </c>
    </row>
    <row r="1400">
      <c r="A1400" s="3">
        <v>1378.0</v>
      </c>
      <c r="B1400" s="3" t="s">
        <v>189</v>
      </c>
      <c r="C1400" s="3" t="s">
        <v>190</v>
      </c>
      <c r="D1400" s="3" t="s">
        <v>3801</v>
      </c>
      <c r="E1400" s="3" t="s">
        <v>3798</v>
      </c>
      <c r="F1400" s="3" t="s">
        <v>3799</v>
      </c>
      <c r="G1400" s="3" t="str">
        <f>IFERROR(__xludf.DUMMYFUNCTION("GOOGLETRANSLATE(D1400,""fr"",""es"")"),"mía")</f>
        <v>mía</v>
      </c>
    </row>
    <row r="1401">
      <c r="A1401" s="3">
        <v>1379.0</v>
      </c>
      <c r="B1401" s="3" t="s">
        <v>189</v>
      </c>
      <c r="C1401" s="3" t="s">
        <v>190</v>
      </c>
      <c r="D1401" s="3" t="s">
        <v>3802</v>
      </c>
      <c r="E1401" s="3" t="s">
        <v>3798</v>
      </c>
      <c r="F1401" s="3" t="s">
        <v>3799</v>
      </c>
      <c r="G1401" s="3" t="str">
        <f>IFERROR(__xludf.DUMMYFUNCTION("GOOGLETRANSLATE(D1401,""fr"",""es"")"),"confuso")</f>
        <v>confuso</v>
      </c>
    </row>
    <row r="1402">
      <c r="A1402" s="3">
        <v>1380.0</v>
      </c>
      <c r="B1402" s="3" t="s">
        <v>189</v>
      </c>
      <c r="C1402" s="3" t="s">
        <v>190</v>
      </c>
      <c r="D1402" s="3" t="s">
        <v>3803</v>
      </c>
      <c r="E1402" s="3" t="s">
        <v>3804</v>
      </c>
      <c r="F1402" s="3" t="s">
        <v>3805</v>
      </c>
      <c r="G1402" s="3" t="str">
        <f>IFERROR(__xludf.DUMMYFUNCTION("GOOGLETRANSLATE(D1402,""fr"",""es"")"),"mi nombre")</f>
        <v>mi nombre</v>
      </c>
    </row>
    <row r="1403">
      <c r="A1403" s="3">
        <v>1381.0</v>
      </c>
      <c r="B1403" s="3" t="s">
        <v>189</v>
      </c>
      <c r="C1403" s="3" t="s">
        <v>190</v>
      </c>
      <c r="D1403" s="3" t="s">
        <v>3806</v>
      </c>
      <c r="E1403" s="3" t="s">
        <v>3807</v>
      </c>
      <c r="F1403" s="3" t="s">
        <v>3808</v>
      </c>
      <c r="G1403" s="3" t="str">
        <f>IFERROR(__xludf.DUMMYFUNCTION("GOOGLETRANSLATE(D1403,""fr"",""es"")"),"Minassus")</f>
        <v>Minassus</v>
      </c>
    </row>
    <row r="1404">
      <c r="A1404" s="3">
        <v>1382.0</v>
      </c>
      <c r="B1404" s="3" t="s">
        <v>189</v>
      </c>
      <c r="C1404" s="3" t="s">
        <v>190</v>
      </c>
      <c r="D1404" s="3" t="s">
        <v>3809</v>
      </c>
      <c r="E1404" s="3" t="s">
        <v>3807</v>
      </c>
      <c r="F1404" s="3" t="s">
        <v>3808</v>
      </c>
      <c r="G1404" s="3" t="str">
        <f>IFERROR(__xludf.DUMMYFUNCTION("GOOGLETRANSLATE(D1404,""fr"",""es"")"),"minuto")</f>
        <v>minuto</v>
      </c>
    </row>
    <row r="1405">
      <c r="A1405" s="3">
        <v>1383.0</v>
      </c>
      <c r="B1405" s="3" t="s">
        <v>189</v>
      </c>
      <c r="C1405" s="3" t="s">
        <v>190</v>
      </c>
      <c r="D1405" s="3" t="s">
        <v>3810</v>
      </c>
      <c r="E1405" s="3" t="s">
        <v>3807</v>
      </c>
      <c r="F1405" s="3" t="s">
        <v>3808</v>
      </c>
      <c r="G1405" s="3" t="str">
        <f>IFERROR(__xludf.DUMMYFUNCTION("GOOGLETRANSLATE(D1405,""fr"",""es"")"),"Minassus")</f>
        <v>Minassus</v>
      </c>
    </row>
    <row r="1406">
      <c r="A1406" s="3">
        <v>1384.0</v>
      </c>
      <c r="B1406" s="3" t="s">
        <v>189</v>
      </c>
      <c r="C1406" s="3" t="s">
        <v>190</v>
      </c>
      <c r="D1406" s="3" t="s">
        <v>3811</v>
      </c>
      <c r="E1406" s="3" t="s">
        <v>3812</v>
      </c>
      <c r="F1406" s="3" t="s">
        <v>3813</v>
      </c>
      <c r="G1406" s="3" t="str">
        <f>IFERROR(__xludf.DUMMYFUNCTION("GOOGLETRANSLATE(D1406,""fr"",""es"")"),"mía")</f>
        <v>mía</v>
      </c>
      <c r="H1406" s="3" t="s">
        <v>3814</v>
      </c>
      <c r="I1406" s="3" t="s">
        <v>3815</v>
      </c>
      <c r="J1406" s="3" t="s">
        <v>3814</v>
      </c>
      <c r="K1406" s="3" t="s">
        <v>3816</v>
      </c>
      <c r="L1406" s="3" t="s">
        <v>3811</v>
      </c>
      <c r="M1406" s="3" t="s">
        <v>3811</v>
      </c>
      <c r="N1406" s="3" t="s">
        <v>3817</v>
      </c>
      <c r="O1406" s="3" t="s">
        <v>3818</v>
      </c>
      <c r="P1406" s="3" t="s">
        <v>3819</v>
      </c>
      <c r="Q1406" s="3" t="s">
        <v>3820</v>
      </c>
      <c r="R1406" s="3" t="s">
        <v>3821</v>
      </c>
      <c r="S1406" s="3" t="s">
        <v>3822</v>
      </c>
    </row>
    <row r="1407">
      <c r="A1407" s="3">
        <v>1385.0</v>
      </c>
      <c r="B1407" s="3" t="s">
        <v>189</v>
      </c>
      <c r="C1407" s="3" t="s">
        <v>190</v>
      </c>
      <c r="D1407" s="3" t="s">
        <v>3823</v>
      </c>
      <c r="E1407" s="3" t="s">
        <v>3812</v>
      </c>
      <c r="F1407" s="3" t="s">
        <v>3813</v>
      </c>
      <c r="G1407" s="3" t="str">
        <f>IFERROR(__xludf.DUMMYFUNCTION("GOOGLETRANSLATE(D1407,""fr"",""es"")"),"mía")</f>
        <v>mía</v>
      </c>
    </row>
    <row r="1408">
      <c r="A1408" s="3">
        <v>1386.0</v>
      </c>
      <c r="B1408" s="3" t="s">
        <v>189</v>
      </c>
      <c r="C1408" s="3" t="s">
        <v>190</v>
      </c>
      <c r="D1408" s="3" t="s">
        <v>3824</v>
      </c>
      <c r="E1408" s="3" t="s">
        <v>3812</v>
      </c>
      <c r="F1408" s="3" t="s">
        <v>3813</v>
      </c>
      <c r="G1408" s="3" t="str">
        <f>IFERROR(__xludf.DUMMYFUNCTION("GOOGLETRANSLATE(D1408,""fr"",""es"")"),"minas")</f>
        <v>minas</v>
      </c>
    </row>
    <row r="1409">
      <c r="A1409" s="3">
        <v>1387.0</v>
      </c>
      <c r="B1409" s="3" t="s">
        <v>189</v>
      </c>
      <c r="C1409" s="3" t="s">
        <v>190</v>
      </c>
      <c r="D1409" s="3" t="s">
        <v>3825</v>
      </c>
      <c r="E1409" s="3" t="s">
        <v>3798</v>
      </c>
      <c r="F1409" s="3" t="s">
        <v>3799</v>
      </c>
      <c r="G1409" s="3" t="str">
        <f>IFERROR(__xludf.DUMMYFUNCTION("GOOGLETRANSLATE(D1409,""fr"",""es"")"),"dar un toque")</f>
        <v>dar un toque</v>
      </c>
    </row>
    <row r="1410">
      <c r="A1410" s="3">
        <v>1388.0</v>
      </c>
      <c r="B1410" s="3" t="s">
        <v>189</v>
      </c>
      <c r="C1410" s="3" t="s">
        <v>190</v>
      </c>
      <c r="D1410" s="3" t="s">
        <v>3826</v>
      </c>
      <c r="E1410" s="3" t="s">
        <v>3798</v>
      </c>
      <c r="F1410" s="3" t="s">
        <v>3799</v>
      </c>
      <c r="G1410" s="3" t="str">
        <f>IFERROR(__xludf.DUMMYFUNCTION("GOOGLETRANSLATE(D1410,""fr"",""es"")"),"twinks")</f>
        <v>twinks</v>
      </c>
    </row>
    <row r="1411">
      <c r="A1411" s="3">
        <v>1389.0</v>
      </c>
      <c r="B1411" s="3" t="s">
        <v>189</v>
      </c>
      <c r="C1411" s="3" t="s">
        <v>190</v>
      </c>
      <c r="D1411" s="3" t="s">
        <v>3827</v>
      </c>
      <c r="E1411" s="3" t="s">
        <v>3828</v>
      </c>
      <c r="F1411" s="3" t="s">
        <v>3827</v>
      </c>
      <c r="G1411" s="3" t="str">
        <f>IFERROR(__xludf.DUMMYFUNCTION("GOOGLETRANSLATE(D1411,""fr"",""es"")"),"mini")</f>
        <v>mini</v>
      </c>
    </row>
    <row r="1412">
      <c r="A1412" s="3">
        <v>1390.0</v>
      </c>
      <c r="B1412" s="3" t="s">
        <v>189</v>
      </c>
      <c r="C1412" s="3" t="s">
        <v>190</v>
      </c>
      <c r="D1412" s="3" t="s">
        <v>3829</v>
      </c>
      <c r="E1412" s="3" t="s">
        <v>3828</v>
      </c>
      <c r="F1412" s="3" t="s">
        <v>3827</v>
      </c>
      <c r="G1412" s="3" t="str">
        <f>IFERROR(__xludf.DUMMYFUNCTION("GOOGLETRANSLATE(D1412,""fr"",""es"")"),"mini-")</f>
        <v>mini-</v>
      </c>
    </row>
    <row r="1413">
      <c r="A1413" s="3">
        <v>1391.0</v>
      </c>
      <c r="B1413" s="3" t="s">
        <v>189</v>
      </c>
      <c r="C1413" s="3" t="s">
        <v>190</v>
      </c>
      <c r="D1413" s="3" t="s">
        <v>3830</v>
      </c>
      <c r="E1413" s="3" t="s">
        <v>3831</v>
      </c>
      <c r="F1413" s="3" t="s">
        <v>3832</v>
      </c>
      <c r="G1413" s="3" t="str">
        <f>IFERROR(__xludf.DUMMYFUNCTION("GOOGLETRANSLATE(D1413,""fr"",""es"")"),"minicana")</f>
        <v>minicana</v>
      </c>
    </row>
    <row r="1414">
      <c r="A1414" s="3">
        <v>1392.0</v>
      </c>
      <c r="B1414" s="3" t="s">
        <v>189</v>
      </c>
      <c r="C1414" s="3" t="s">
        <v>190</v>
      </c>
      <c r="D1414" s="3" t="s">
        <v>3833</v>
      </c>
      <c r="E1414" s="3" t="s">
        <v>3834</v>
      </c>
      <c r="F1414" s="3" t="s">
        <v>3833</v>
      </c>
      <c r="G1414" s="3" t="str">
        <f>IFERROR(__xludf.DUMMYFUNCTION("GOOGLETRANSLATE(D1414,""fr"",""es"")"),"mínimo")</f>
        <v>mínimo</v>
      </c>
      <c r="H1414" s="3" t="s">
        <v>3833</v>
      </c>
      <c r="I1414" s="3" t="s">
        <v>3835</v>
      </c>
    </row>
    <row r="1415">
      <c r="A1415" s="3">
        <v>1393.0</v>
      </c>
      <c r="B1415" s="3" t="s">
        <v>189</v>
      </c>
      <c r="C1415" s="3" t="s">
        <v>190</v>
      </c>
      <c r="D1415" s="3" t="s">
        <v>3836</v>
      </c>
      <c r="E1415" s="3" t="s">
        <v>3834</v>
      </c>
      <c r="F1415" s="3" t="s">
        <v>3833</v>
      </c>
      <c r="G1415" s="3" t="str">
        <f>IFERROR(__xludf.DUMMYFUNCTION("GOOGLETRANSLATE(D1415,""fr"",""es"")"),"mínimo")</f>
        <v>mínimo</v>
      </c>
    </row>
    <row r="1416">
      <c r="A1416" s="3">
        <v>1394.0</v>
      </c>
      <c r="B1416" s="3" t="s">
        <v>189</v>
      </c>
      <c r="C1416" s="3" t="s">
        <v>190</v>
      </c>
      <c r="D1416" s="3" t="s">
        <v>3837</v>
      </c>
      <c r="E1416" s="3" t="s">
        <v>3834</v>
      </c>
      <c r="F1416" s="3" t="s">
        <v>3833</v>
      </c>
      <c r="G1416" s="3" t="str">
        <f>IFERROR(__xludf.DUMMYFUNCTION("GOOGLETRANSLATE(D1416,""fr"",""es"")"),"mínimo")</f>
        <v>mínimo</v>
      </c>
    </row>
    <row r="1417">
      <c r="A1417" s="3">
        <v>1395.0</v>
      </c>
      <c r="B1417" s="3" t="s">
        <v>189</v>
      </c>
      <c r="C1417" s="3" t="s">
        <v>190</v>
      </c>
      <c r="D1417" s="3" t="s">
        <v>3838</v>
      </c>
      <c r="E1417" s="3" t="s">
        <v>3839</v>
      </c>
      <c r="F1417" s="3" t="s">
        <v>3840</v>
      </c>
      <c r="G1417" s="3" t="str">
        <f>IFERROR(__xludf.DUMMYFUNCTION("GOOGLETRANSLATE(D1417,""fr"",""es"")"),"minimalismo")</f>
        <v>minimalismo</v>
      </c>
      <c r="H1417" s="3" t="s">
        <v>3841</v>
      </c>
      <c r="I1417" s="3" t="s">
        <v>3842</v>
      </c>
      <c r="J1417" s="3" t="s">
        <v>3843</v>
      </c>
    </row>
    <row r="1418">
      <c r="A1418" s="3">
        <v>1396.0</v>
      </c>
      <c r="B1418" s="3" t="s">
        <v>189</v>
      </c>
      <c r="C1418" s="3" t="s">
        <v>190</v>
      </c>
      <c r="D1418" s="3" t="s">
        <v>3844</v>
      </c>
      <c r="E1418" s="3" t="s">
        <v>3839</v>
      </c>
      <c r="F1418" s="3" t="s">
        <v>3840</v>
      </c>
      <c r="G1418" s="3" t="str">
        <f>IFERROR(__xludf.DUMMYFUNCTION("GOOGLETRANSLATE(D1418,""fr"",""es"")"),"minimalista")</f>
        <v>minimalista</v>
      </c>
      <c r="H1418" s="3" t="s">
        <v>3845</v>
      </c>
      <c r="I1418" s="3" t="s">
        <v>3845</v>
      </c>
      <c r="J1418" s="3" t="s">
        <v>3845</v>
      </c>
      <c r="K1418" s="3" t="s">
        <v>3845</v>
      </c>
    </row>
    <row r="1419">
      <c r="A1419" s="3">
        <v>1397.0</v>
      </c>
      <c r="B1419" s="3" t="s">
        <v>189</v>
      </c>
      <c r="C1419" s="3" t="s">
        <v>190</v>
      </c>
      <c r="D1419" s="3" t="s">
        <v>3846</v>
      </c>
      <c r="E1419" s="3" t="s">
        <v>3847</v>
      </c>
      <c r="F1419" s="3" t="s">
        <v>3848</v>
      </c>
      <c r="G1419" s="3" t="str">
        <f>IFERROR(__xludf.DUMMYFUNCTION("GOOGLETRANSLATE(D1419,""fr"",""es"")"),"mínimo")</f>
        <v>mínimo</v>
      </c>
      <c r="H1419" s="3" t="s">
        <v>3849</v>
      </c>
      <c r="I1419" s="3" t="s">
        <v>3850</v>
      </c>
      <c r="J1419" s="3" t="s">
        <v>3851</v>
      </c>
      <c r="K1419" s="3" t="s">
        <v>3852</v>
      </c>
      <c r="L1419" s="3" t="s">
        <v>3853</v>
      </c>
      <c r="M1419" s="3" t="s">
        <v>3854</v>
      </c>
      <c r="N1419" s="3" t="s">
        <v>3855</v>
      </c>
      <c r="O1419" s="3" t="s">
        <v>3856</v>
      </c>
      <c r="P1419" s="3" t="s">
        <v>3857</v>
      </c>
      <c r="Q1419" s="3" t="s">
        <v>3858</v>
      </c>
      <c r="R1419" s="3" t="s">
        <v>3833</v>
      </c>
      <c r="S1419" s="3" t="s">
        <v>3835</v>
      </c>
      <c r="T1419" s="3" t="s">
        <v>3852</v>
      </c>
      <c r="U1419" s="3" t="s">
        <v>3859</v>
      </c>
      <c r="V1419" s="3" t="s">
        <v>3860</v>
      </c>
      <c r="W1419" s="3" t="s">
        <v>3861</v>
      </c>
    </row>
    <row r="1420">
      <c r="A1420" s="3">
        <v>1398.0</v>
      </c>
      <c r="B1420" s="3" t="s">
        <v>189</v>
      </c>
      <c r="C1420" s="3" t="s">
        <v>190</v>
      </c>
      <c r="D1420" s="3" t="s">
        <v>3862</v>
      </c>
      <c r="E1420" s="3" t="s">
        <v>3847</v>
      </c>
      <c r="F1420" s="3" t="s">
        <v>3848</v>
      </c>
      <c r="G1420" s="3" t="str">
        <f>IFERROR(__xludf.DUMMYFUNCTION("GOOGLETRANSLATE(D1420,""fr"",""es"")"),"mínimo")</f>
        <v>mínimo</v>
      </c>
    </row>
    <row r="1421">
      <c r="A1421" s="3">
        <v>1399.0</v>
      </c>
      <c r="B1421" s="3" t="s">
        <v>189</v>
      </c>
      <c r="C1421" s="3" t="s">
        <v>190</v>
      </c>
      <c r="D1421" s="3" t="s">
        <v>3863</v>
      </c>
      <c r="E1421" s="3" t="s">
        <v>3828</v>
      </c>
      <c r="F1421" s="3" t="s">
        <v>3827</v>
      </c>
      <c r="G1421" s="3" t="str">
        <f>IFERROR(__xludf.DUMMYFUNCTION("GOOGLETRANSLATE(D1421,""fr"",""es"")"),"mini")</f>
        <v>mini</v>
      </c>
    </row>
    <row r="1422">
      <c r="A1422" s="3">
        <v>1400.0</v>
      </c>
      <c r="B1422" s="3" t="s">
        <v>189</v>
      </c>
      <c r="C1422" s="3" t="s">
        <v>190</v>
      </c>
      <c r="D1422" s="3" t="s">
        <v>3864</v>
      </c>
      <c r="E1422" s="3" t="s">
        <v>3865</v>
      </c>
      <c r="F1422" s="3" t="s">
        <v>3863</v>
      </c>
      <c r="G1422" s="3" t="str">
        <f>IFERROR(__xludf.DUMMYFUNCTION("GOOGLETRANSLATE(D1422,""fr"",""es"")"),"ministro")</f>
        <v>ministro</v>
      </c>
      <c r="H1422" s="3" t="s">
        <v>3866</v>
      </c>
      <c r="I1422" s="3" t="s">
        <v>3867</v>
      </c>
      <c r="J1422" s="3" t="s">
        <v>3868</v>
      </c>
      <c r="K1422" s="3" t="s">
        <v>3869</v>
      </c>
      <c r="L1422" s="3" t="s">
        <v>3870</v>
      </c>
      <c r="M1422" s="3" t="s">
        <v>3866</v>
      </c>
      <c r="N1422" s="3" t="s">
        <v>3866</v>
      </c>
      <c r="O1422" s="3" t="s">
        <v>3871</v>
      </c>
      <c r="P1422" s="3" t="s">
        <v>3872</v>
      </c>
      <c r="Q1422" s="3" t="s">
        <v>3866</v>
      </c>
      <c r="R1422" s="3" t="s">
        <v>3873</v>
      </c>
      <c r="S1422" s="3" t="s">
        <v>3874</v>
      </c>
      <c r="T1422" s="3" t="s">
        <v>3875</v>
      </c>
      <c r="U1422" s="3" t="s">
        <v>3866</v>
      </c>
      <c r="V1422" s="3" t="s">
        <v>3876</v>
      </c>
      <c r="W1422" s="3" t="s">
        <v>3866</v>
      </c>
      <c r="X1422" s="3" t="s">
        <v>3877</v>
      </c>
    </row>
    <row r="1423">
      <c r="A1423" s="3">
        <v>1401.0</v>
      </c>
      <c r="B1423" s="3" t="s">
        <v>189</v>
      </c>
      <c r="C1423" s="3" t="s">
        <v>190</v>
      </c>
      <c r="D1423" s="3" t="s">
        <v>3878</v>
      </c>
      <c r="E1423" s="3" t="s">
        <v>3865</v>
      </c>
      <c r="F1423" s="3" t="s">
        <v>3863</v>
      </c>
      <c r="G1423" s="3" t="str">
        <f>IFERROR(__xludf.DUMMYFUNCTION("GOOGLETRANSLATE(D1423,""fr"",""es"")"),"ministros")</f>
        <v>ministros</v>
      </c>
    </row>
    <row r="1424">
      <c r="A1424" s="3">
        <v>1402.0</v>
      </c>
      <c r="B1424" s="3" t="s">
        <v>189</v>
      </c>
      <c r="C1424" s="3" t="s">
        <v>190</v>
      </c>
      <c r="D1424" s="3" t="s">
        <v>3879</v>
      </c>
      <c r="E1424" s="3" t="s">
        <v>3880</v>
      </c>
      <c r="F1424" s="3" t="s">
        <v>3881</v>
      </c>
      <c r="G1424" s="3" t="str">
        <f>IFERROR(__xludf.DUMMYFUNCTION("GOOGLETRANSLATE(D1424,""fr"",""es"")"),"Minitela")</f>
        <v>Minitela</v>
      </c>
    </row>
    <row r="1425">
      <c r="A1425" s="3">
        <v>1403.0</v>
      </c>
      <c r="B1425" s="3" t="s">
        <v>189</v>
      </c>
      <c r="C1425" s="3" t="s">
        <v>190</v>
      </c>
      <c r="D1425" s="3" t="s">
        <v>3882</v>
      </c>
      <c r="E1425" s="3" t="s">
        <v>3880</v>
      </c>
      <c r="F1425" s="3" t="s">
        <v>3881</v>
      </c>
      <c r="G1425" s="3" t="str">
        <f>IFERROR(__xludf.DUMMYFUNCTION("GOOGLETRANSLATE(D1425,""fr"",""es"")"),"Mínimo")</f>
        <v>Mínimo</v>
      </c>
    </row>
    <row r="1426">
      <c r="A1426" s="3">
        <v>1404.0</v>
      </c>
      <c r="B1426" s="3" t="s">
        <v>189</v>
      </c>
      <c r="C1426" s="3" t="s">
        <v>190</v>
      </c>
      <c r="D1426" s="3" t="s">
        <v>3883</v>
      </c>
      <c r="E1426" s="3" t="s">
        <v>3828</v>
      </c>
      <c r="F1426" s="3" t="s">
        <v>3827</v>
      </c>
      <c r="G1426" s="3" t="str">
        <f>IFERROR(__xludf.DUMMYFUNCTION("GOOGLETRANSLATE(D1426,""fr"",""es"")"),"Minnie")</f>
        <v>Minnie</v>
      </c>
    </row>
    <row r="1427">
      <c r="A1427" s="3">
        <v>1405.0</v>
      </c>
      <c r="B1427" s="3" t="s">
        <v>189</v>
      </c>
      <c r="C1427" s="3" t="s">
        <v>190</v>
      </c>
      <c r="D1427" s="3" t="s">
        <v>3884</v>
      </c>
      <c r="E1427" s="3" t="s">
        <v>3885</v>
      </c>
      <c r="F1427" s="3" t="s">
        <v>3886</v>
      </c>
      <c r="G1427" s="3" t="str">
        <f>IFERROR(__xludf.DUMMYFUNCTION("GOOGLETRANSLATE(D1427,""fr"",""es"")"),"gatito")</f>
        <v>gatito</v>
      </c>
      <c r="H1427" s="3" t="s">
        <v>3887</v>
      </c>
      <c r="I1427" s="3" t="s">
        <v>3888</v>
      </c>
      <c r="J1427" s="3" t="s">
        <v>3889</v>
      </c>
      <c r="K1427" s="3" t="s">
        <v>3890</v>
      </c>
      <c r="L1427" s="3" t="s">
        <v>3891</v>
      </c>
      <c r="M1427" s="3" t="s">
        <v>3892</v>
      </c>
      <c r="N1427" s="3" t="s">
        <v>3887</v>
      </c>
      <c r="O1427" s="3" t="s">
        <v>1826</v>
      </c>
      <c r="P1427" s="3" t="s">
        <v>3889</v>
      </c>
      <c r="Q1427" s="3" t="s">
        <v>3890</v>
      </c>
      <c r="R1427" s="3" t="s">
        <v>3893</v>
      </c>
      <c r="S1427" s="3" t="s">
        <v>3894</v>
      </c>
      <c r="T1427" s="3" t="s">
        <v>2055</v>
      </c>
      <c r="U1427" s="3" t="s">
        <v>3895</v>
      </c>
      <c r="V1427" s="3" t="s">
        <v>3896</v>
      </c>
      <c r="W1427" s="3" t="s">
        <v>3897</v>
      </c>
      <c r="X1427" s="3" t="s">
        <v>3898</v>
      </c>
    </row>
    <row r="1428">
      <c r="A1428" s="3">
        <v>1406.0</v>
      </c>
      <c r="B1428" s="3" t="s">
        <v>189</v>
      </c>
      <c r="C1428" s="3" t="s">
        <v>190</v>
      </c>
      <c r="D1428" s="3" t="s">
        <v>3899</v>
      </c>
      <c r="E1428" s="3" t="s">
        <v>3885</v>
      </c>
      <c r="F1428" s="3" t="s">
        <v>3886</v>
      </c>
      <c r="G1428" s="3" t="str">
        <f>IFERROR(__xludf.DUMMYFUNCTION("GOOGLETRANSLATE(D1428,""fr"",""es"")"),"gatito")</f>
        <v>gatito</v>
      </c>
    </row>
    <row r="1429">
      <c r="A1429" s="3">
        <v>1407.0</v>
      </c>
      <c r="B1429" s="3" t="s">
        <v>189</v>
      </c>
      <c r="C1429" s="3" t="s">
        <v>190</v>
      </c>
      <c r="D1429" s="3" t="s">
        <v>3900</v>
      </c>
      <c r="E1429" s="3" t="s">
        <v>150</v>
      </c>
      <c r="F1429" s="3" t="s">
        <v>149</v>
      </c>
      <c r="G1429" s="3" t="str">
        <f>IFERROR(__xludf.DUMMYFUNCTION("GOOGLETRANSLATE(D1429,""fr"",""es"")"),"poner")</f>
        <v>poner</v>
      </c>
    </row>
    <row r="1430">
      <c r="A1430" s="3">
        <v>1408.0</v>
      </c>
      <c r="B1430" s="3" t="s">
        <v>189</v>
      </c>
      <c r="C1430" s="3" t="s">
        <v>190</v>
      </c>
      <c r="D1430" s="3" t="s">
        <v>3901</v>
      </c>
      <c r="E1430" s="3" t="s">
        <v>3902</v>
      </c>
      <c r="F1430" s="3" t="s">
        <v>3900</v>
      </c>
      <c r="G1430" s="3" t="str">
        <f>IFERROR(__xludf.DUMMYFUNCTION("GOOGLETRANSLATE(D1430,""fr"",""es"")"),"señorita")</f>
        <v>señorita</v>
      </c>
    </row>
    <row r="1431">
      <c r="A1431" s="3">
        <v>1409.0</v>
      </c>
      <c r="B1431" s="3" t="s">
        <v>189</v>
      </c>
      <c r="C1431" s="3" t="s">
        <v>190</v>
      </c>
      <c r="D1431" s="3" t="s">
        <v>3903</v>
      </c>
      <c r="E1431" s="3" t="s">
        <v>3902</v>
      </c>
      <c r="F1431" s="3" t="s">
        <v>3900</v>
      </c>
      <c r="G1431" s="3" t="str">
        <f>IFERROR(__xludf.DUMMYFUNCTION("GOOGLETRANSLATE(D1431,""fr"",""es"")"),"señorita")</f>
        <v>señorita</v>
      </c>
    </row>
    <row r="1432">
      <c r="A1432" s="3">
        <v>1410.0</v>
      </c>
      <c r="B1432" s="3" t="s">
        <v>189</v>
      </c>
      <c r="C1432" s="3" t="s">
        <v>190</v>
      </c>
      <c r="D1432" s="3" t="s">
        <v>3904</v>
      </c>
      <c r="E1432" s="3" t="s">
        <v>3905</v>
      </c>
      <c r="F1432" s="3" t="s">
        <v>3906</v>
      </c>
      <c r="G1432" s="3" t="str">
        <f>IFERROR(__xludf.DUMMYFUNCTION("GOOGLETRANSLATE(D1432,""fr"",""es"")"),"misal")</f>
        <v>misal</v>
      </c>
      <c r="H1432" s="3" t="s">
        <v>3907</v>
      </c>
    </row>
    <row r="1433">
      <c r="A1433" s="3">
        <v>1411.0</v>
      </c>
      <c r="B1433" s="3" t="s">
        <v>189</v>
      </c>
      <c r="C1433" s="3" t="s">
        <v>190</v>
      </c>
      <c r="D1433" s="3" t="s">
        <v>3908</v>
      </c>
      <c r="E1433" s="3" t="s">
        <v>3905</v>
      </c>
      <c r="F1433" s="3" t="s">
        <v>3906</v>
      </c>
      <c r="G1433" s="3" t="str">
        <f>IFERROR(__xludf.DUMMYFUNCTION("GOOGLETRANSLATE(D1433,""fr"",""es"")"),"Fusiones")</f>
        <v>Fusiones</v>
      </c>
    </row>
    <row r="1434">
      <c r="A1434" s="3">
        <v>1412.0</v>
      </c>
      <c r="B1434" s="3" t="s">
        <v>189</v>
      </c>
      <c r="C1434" s="3" t="s">
        <v>190</v>
      </c>
      <c r="D1434" s="3" t="s">
        <v>3909</v>
      </c>
      <c r="E1434" s="3" t="s">
        <v>3902</v>
      </c>
      <c r="F1434" s="3" t="s">
        <v>3900</v>
      </c>
      <c r="G1434" s="3" t="str">
        <f>IFERROR(__xludf.DUMMYFUNCTION("GOOGLETRANSLATE(D1434,""fr"",""es"")"),"suelte")</f>
        <v>suelte</v>
      </c>
    </row>
    <row r="1435">
      <c r="A1435" s="3">
        <v>1413.0</v>
      </c>
      <c r="B1435" s="3" t="s">
        <v>189</v>
      </c>
      <c r="C1435" s="3" t="s">
        <v>190</v>
      </c>
      <c r="D1435" s="3" t="s">
        <v>3910</v>
      </c>
      <c r="E1435" s="3" t="s">
        <v>3902</v>
      </c>
      <c r="F1435" s="3" t="s">
        <v>3900</v>
      </c>
      <c r="G1435" s="3" t="str">
        <f>IFERROR(__xludf.DUMMYFUNCTION("GOOGLETRANSLATE(D1435,""fr"",""es"")"),"desorden")</f>
        <v>desorden</v>
      </c>
    </row>
    <row r="1436">
      <c r="A1436" s="3">
        <v>1414.0</v>
      </c>
      <c r="B1436" s="3" t="s">
        <v>189</v>
      </c>
      <c r="C1436" s="3" t="s">
        <v>190</v>
      </c>
      <c r="D1436" s="3" t="s">
        <v>3911</v>
      </c>
      <c r="E1436" s="3" t="s">
        <v>3912</v>
      </c>
      <c r="F1436" s="3" t="s">
        <v>3913</v>
      </c>
      <c r="G1436" s="3" t="str">
        <f>IFERROR(__xludf.DUMMYFUNCTION("GOOGLETRANSLATE(D1436,""fr"",""es"")"),"misil")</f>
        <v>misil</v>
      </c>
      <c r="H1436" s="3" t="s">
        <v>3911</v>
      </c>
      <c r="I1436" s="3" t="s">
        <v>3914</v>
      </c>
      <c r="J1436" s="3" t="s">
        <v>3915</v>
      </c>
    </row>
    <row r="1437">
      <c r="A1437" s="3">
        <v>1415.0</v>
      </c>
      <c r="B1437" s="3" t="s">
        <v>189</v>
      </c>
      <c r="C1437" s="3" t="s">
        <v>190</v>
      </c>
      <c r="D1437" s="3" t="s">
        <v>3916</v>
      </c>
      <c r="E1437" s="3" t="s">
        <v>3912</v>
      </c>
      <c r="F1437" s="3" t="s">
        <v>3913</v>
      </c>
      <c r="G1437" s="3" t="str">
        <f>IFERROR(__xludf.DUMMYFUNCTION("GOOGLETRANSLATE(D1437,""fr"",""es"")"),"misiles")</f>
        <v>misiles</v>
      </c>
    </row>
    <row r="1438">
      <c r="A1438" s="3">
        <v>1416.0</v>
      </c>
      <c r="B1438" s="3" t="s">
        <v>189</v>
      </c>
      <c r="C1438" s="3" t="s">
        <v>190</v>
      </c>
      <c r="D1438" s="3" t="s">
        <v>3917</v>
      </c>
      <c r="E1438" s="3" t="s">
        <v>3918</v>
      </c>
      <c r="F1438" s="3" t="s">
        <v>3919</v>
      </c>
      <c r="G1438" s="3" t="str">
        <f>IFERROR(__xludf.DUMMYFUNCTION("GOOGLETRANSLATE(D1438,""fr"",""es"")"),"Misisipí")</f>
        <v>Misisipí</v>
      </c>
      <c r="H1438" s="3" t="s">
        <v>3917</v>
      </c>
      <c r="I1438" s="3" t="s">
        <v>3920</v>
      </c>
      <c r="J1438" s="3" t="s">
        <v>3921</v>
      </c>
      <c r="K1438" s="3" t="s">
        <v>3917</v>
      </c>
      <c r="L1438" s="3" t="s">
        <v>3922</v>
      </c>
    </row>
    <row r="1439">
      <c r="A1439" s="3">
        <v>1417.0</v>
      </c>
      <c r="B1439" s="3" t="s">
        <v>189</v>
      </c>
      <c r="C1439" s="3" t="s">
        <v>190</v>
      </c>
      <c r="D1439" s="3" t="s">
        <v>3923</v>
      </c>
      <c r="E1439" s="3" t="s">
        <v>150</v>
      </c>
      <c r="F1439" s="3" t="s">
        <v>149</v>
      </c>
      <c r="G1439" s="3" t="str">
        <f>IFERROR(__xludf.DUMMYFUNCTION("GOOGLETRANSLATE(D1439,""fr"",""es"")"),"poner")</f>
        <v>poner</v>
      </c>
      <c r="H1439" s="3" t="s">
        <v>3924</v>
      </c>
      <c r="I1439" s="3" t="s">
        <v>3925</v>
      </c>
    </row>
    <row r="1440">
      <c r="A1440" s="3">
        <v>1418.0</v>
      </c>
      <c r="B1440" s="3" t="s">
        <v>189</v>
      </c>
      <c r="C1440" s="3" t="s">
        <v>190</v>
      </c>
      <c r="D1440" s="3" t="s">
        <v>3926</v>
      </c>
      <c r="E1440" s="3" t="s">
        <v>150</v>
      </c>
      <c r="F1440" s="3" t="s">
        <v>149</v>
      </c>
      <c r="G1440" s="3" t="str">
        <f>IFERROR(__xludf.DUMMYFUNCTION("GOOGLETRANSLATE(D1440,""fr"",""es"")"),"mezclarse")</f>
        <v>mezclarse</v>
      </c>
    </row>
    <row r="1441">
      <c r="A1441" s="3">
        <v>1419.0</v>
      </c>
      <c r="B1441" s="3" t="s">
        <v>189</v>
      </c>
      <c r="C1441" s="3" t="s">
        <v>190</v>
      </c>
      <c r="D1441" s="3" t="s">
        <v>3927</v>
      </c>
      <c r="E1441" s="3" t="s">
        <v>3928</v>
      </c>
      <c r="F1441" s="3" t="s">
        <v>3929</v>
      </c>
      <c r="G1441" s="3" t="str">
        <f>IFERROR(__xludf.DUMMYFUNCTION("GOOGLETRANSLATE(D1441,""fr"",""es"")"),"mitai")</f>
        <v>mitai</v>
      </c>
    </row>
    <row r="1442">
      <c r="A1442" s="3">
        <v>1420.0</v>
      </c>
      <c r="B1442" s="3" t="s">
        <v>189</v>
      </c>
      <c r="C1442" s="3" t="s">
        <v>190</v>
      </c>
      <c r="D1442" s="3" t="s">
        <v>3930</v>
      </c>
      <c r="E1442" s="3" t="s">
        <v>3928</v>
      </c>
      <c r="F1442" s="3" t="s">
        <v>3929</v>
      </c>
      <c r="G1442" s="3" t="str">
        <f>IFERROR(__xludf.DUMMYFUNCTION("GOOGLETRANSLATE(D1442,""fr"",""es"")"),"mitigado")</f>
        <v>mitigado</v>
      </c>
    </row>
    <row r="1443">
      <c r="A1443" s="3">
        <v>1421.0</v>
      </c>
      <c r="B1443" s="3" t="s">
        <v>189</v>
      </c>
      <c r="C1443" s="3" t="s">
        <v>190</v>
      </c>
      <c r="D1443" s="3" t="s">
        <v>3931</v>
      </c>
      <c r="E1443" s="3" t="s">
        <v>3932</v>
      </c>
      <c r="F1443" s="3" t="s">
        <v>3933</v>
      </c>
      <c r="G1443" s="3" t="str">
        <f>IFERROR(__xludf.DUMMYFUNCTION("GOOGLETRANSLATE(D1443,""fr"",""es"")"),"guante")</f>
        <v>guante</v>
      </c>
      <c r="H1443" s="3" t="s">
        <v>3934</v>
      </c>
    </row>
    <row r="1444">
      <c r="A1444" s="3">
        <v>1422.0</v>
      </c>
      <c r="B1444" s="3" t="s">
        <v>189</v>
      </c>
      <c r="C1444" s="3" t="s">
        <v>190</v>
      </c>
      <c r="D1444" s="3" t="s">
        <v>3935</v>
      </c>
      <c r="E1444" s="3" t="s">
        <v>3932</v>
      </c>
      <c r="F1444" s="3" t="s">
        <v>3933</v>
      </c>
      <c r="G1444" s="3" t="str">
        <f>IFERROR(__xludf.DUMMYFUNCTION("GOOGLETRANSLATE(D1444,""fr"",""es"")"),"mitones")</f>
        <v>mitones</v>
      </c>
    </row>
    <row r="1445">
      <c r="A1445" s="3">
        <v>1423.0</v>
      </c>
      <c r="B1445" s="3" t="s">
        <v>189</v>
      </c>
      <c r="C1445" s="3" t="s">
        <v>190</v>
      </c>
      <c r="D1445" s="3" t="s">
        <v>3936</v>
      </c>
      <c r="E1445" s="3" t="s">
        <v>3928</v>
      </c>
      <c r="F1445" s="3" t="s">
        <v>3929</v>
      </c>
      <c r="G1445" s="3" t="str">
        <f>IFERROR(__xludf.DUMMYFUNCTION("GOOGLETRANSLATE(D1445,""fr"",""es"")"),"mitais")</f>
        <v>mitais</v>
      </c>
    </row>
    <row r="1446">
      <c r="A1446" s="3">
        <v>1424.0</v>
      </c>
      <c r="B1446" s="3" t="s">
        <v>189</v>
      </c>
      <c r="C1446" s="3" t="s">
        <v>190</v>
      </c>
      <c r="D1446" s="3" t="s">
        <v>3937</v>
      </c>
      <c r="E1446" s="3" t="s">
        <v>3928</v>
      </c>
      <c r="F1446" s="3" t="s">
        <v>3929</v>
      </c>
      <c r="G1446" s="3" t="str">
        <f>IFERROR(__xludf.DUMMYFUNCTION("GOOGLETRANSLATE(D1446,""fr"",""es"")"),"Mied")</f>
        <v>Mied</v>
      </c>
    </row>
    <row r="1447">
      <c r="A1447" s="3">
        <v>1425.0</v>
      </c>
      <c r="B1447" s="3" t="s">
        <v>189</v>
      </c>
      <c r="C1447" s="3" t="s">
        <v>190</v>
      </c>
      <c r="D1447" s="3" t="s">
        <v>3938</v>
      </c>
      <c r="E1447" s="3" t="s">
        <v>3939</v>
      </c>
      <c r="F1447" s="3" t="s">
        <v>3940</v>
      </c>
      <c r="G1447" s="3" t="str">
        <f>IFERROR(__xludf.DUMMYFUNCTION("GOOGLETRANSLATE(D1447,""fr"",""es"")"),"mitées")</f>
        <v>mitées</v>
      </c>
    </row>
    <row r="1448">
      <c r="A1448" s="3">
        <v>1426.0</v>
      </c>
      <c r="B1448" s="3" t="s">
        <v>189</v>
      </c>
      <c r="C1448" s="3" t="s">
        <v>190</v>
      </c>
      <c r="D1448" s="3" t="s">
        <v>3941</v>
      </c>
      <c r="E1448" s="3" t="s">
        <v>3942</v>
      </c>
      <c r="F1448" s="3" t="s">
        <v>3943</v>
      </c>
      <c r="G1448" s="3" t="str">
        <f>IFERROR(__xludf.DUMMYFUNCTION("GOOGLETRANSLATE(D1448,""fr"",""es"")"),"mitasse")</f>
        <v>mitasse</v>
      </c>
    </row>
    <row r="1449">
      <c r="A1449" s="3">
        <v>1427.0</v>
      </c>
      <c r="B1449" s="3" t="s">
        <v>189</v>
      </c>
      <c r="C1449" s="3" t="s">
        <v>190</v>
      </c>
      <c r="D1449" s="3" t="s">
        <v>3944</v>
      </c>
      <c r="E1449" s="3" t="s">
        <v>3942</v>
      </c>
      <c r="F1449" s="3" t="s">
        <v>3943</v>
      </c>
      <c r="G1449" s="3" t="str">
        <f>IFERROR(__xludf.DUMMYFUNCTION("GOOGLETRANSLATE(D1449,""fr"",""es"")"),"mitassent")</f>
        <v>mitassent</v>
      </c>
    </row>
    <row r="1450">
      <c r="A1450" s="3">
        <v>1428.0</v>
      </c>
      <c r="B1450" s="3" t="s">
        <v>189</v>
      </c>
      <c r="C1450" s="3" t="s">
        <v>190</v>
      </c>
      <c r="D1450" s="3" t="s">
        <v>3945</v>
      </c>
      <c r="E1450" s="3" t="s">
        <v>3942</v>
      </c>
      <c r="F1450" s="3" t="s">
        <v>3943</v>
      </c>
      <c r="G1450" s="3" t="str">
        <f>IFERROR(__xludf.DUMMYFUNCTION("GOOGLETRANSLATE(D1450,""fr"",""es"")"),"mitasse")</f>
        <v>mitasse</v>
      </c>
    </row>
    <row r="1451">
      <c r="A1451" s="3">
        <v>1429.0</v>
      </c>
      <c r="B1451" s="3" t="s">
        <v>189</v>
      </c>
      <c r="C1451" s="3" t="s">
        <v>190</v>
      </c>
      <c r="D1451" s="3" t="s">
        <v>3946</v>
      </c>
      <c r="E1451" s="3" t="s">
        <v>3947</v>
      </c>
      <c r="F1451" s="3" t="s">
        <v>3948</v>
      </c>
      <c r="G1451" s="3" t="str">
        <f>IFERROR(__xludf.DUMMYFUNCTION("GOOGLETRANSLATE(D1451,""fr"",""es"")"),"suave")</f>
        <v>suave</v>
      </c>
      <c r="H1451" s="3" t="s">
        <v>3949</v>
      </c>
      <c r="I1451" s="3" t="s">
        <v>3950</v>
      </c>
      <c r="J1451" s="3" t="s">
        <v>3951</v>
      </c>
      <c r="K1451" s="3" t="s">
        <v>3950</v>
      </c>
      <c r="L1451" s="3" t="s">
        <v>3952</v>
      </c>
      <c r="M1451" s="3" t="s">
        <v>3950</v>
      </c>
      <c r="N1451" s="3" t="s">
        <v>3950</v>
      </c>
      <c r="O1451" s="3" t="s">
        <v>3953</v>
      </c>
      <c r="P1451" s="3" t="s">
        <v>3949</v>
      </c>
      <c r="Q1451" s="3" t="s">
        <v>3954</v>
      </c>
      <c r="R1451" s="3" t="s">
        <v>3950</v>
      </c>
      <c r="S1451" s="3" t="s">
        <v>3950</v>
      </c>
      <c r="T1451" s="3" t="s">
        <v>3955</v>
      </c>
      <c r="U1451" s="3" t="s">
        <v>3950</v>
      </c>
      <c r="V1451" s="3" t="s">
        <v>3956</v>
      </c>
      <c r="W1451" s="3" t="s">
        <v>3957</v>
      </c>
      <c r="X1451" s="3" t="s">
        <v>3950</v>
      </c>
      <c r="Y1451" s="3" t="s">
        <v>3958</v>
      </c>
      <c r="Z1451" s="3" t="s">
        <v>3959</v>
      </c>
      <c r="AA1451" s="3" t="s">
        <v>3950</v>
      </c>
      <c r="AB1451" s="3" t="s">
        <v>3960</v>
      </c>
      <c r="AC1451" s="3" t="s">
        <v>3950</v>
      </c>
      <c r="AD1451" s="3" t="s">
        <v>3961</v>
      </c>
      <c r="AE1451" s="3" t="s">
        <v>3962</v>
      </c>
    </row>
    <row r="1452">
      <c r="A1452" s="3">
        <v>1430.0</v>
      </c>
      <c r="B1452" s="3" t="s">
        <v>189</v>
      </c>
      <c r="C1452" s="3" t="s">
        <v>190</v>
      </c>
      <c r="D1452" s="3" t="s">
        <v>3963</v>
      </c>
      <c r="E1452" s="3" t="s">
        <v>3964</v>
      </c>
      <c r="F1452" s="3" t="s">
        <v>3965</v>
      </c>
      <c r="G1452" s="3" t="str">
        <f>IFERROR(__xludf.DUMMYFUNCTION("GOOGLETRANSLATE(D1452,""fr"",""es"")"),"Mouchai")</f>
        <v>Mouchai</v>
      </c>
    </row>
    <row r="1453">
      <c r="A1453" s="3">
        <v>1431.0</v>
      </c>
      <c r="B1453" s="3" t="s">
        <v>189</v>
      </c>
      <c r="C1453" s="3" t="s">
        <v>190</v>
      </c>
      <c r="D1453" s="3" t="s">
        <v>3966</v>
      </c>
      <c r="E1453" s="3" t="s">
        <v>3964</v>
      </c>
      <c r="F1453" s="3" t="s">
        <v>3965</v>
      </c>
      <c r="G1453" s="3" t="str">
        <f>IFERROR(__xludf.DUMMYFUNCTION("GOOGLETRANSLATE(D1453,""fr"",""es"")"),"amamantado")</f>
        <v>amamantado</v>
      </c>
    </row>
    <row r="1454">
      <c r="A1454" s="3">
        <v>1432.0</v>
      </c>
      <c r="B1454" s="3" t="s">
        <v>189</v>
      </c>
      <c r="C1454" s="3" t="s">
        <v>190</v>
      </c>
      <c r="D1454" s="3" t="s">
        <v>3967</v>
      </c>
      <c r="E1454" s="3" t="s">
        <v>3964</v>
      </c>
      <c r="F1454" s="3" t="s">
        <v>3965</v>
      </c>
      <c r="G1454" s="3" t="str">
        <f>IFERROR(__xludf.DUMMYFUNCTION("GOOGLETRANSLATE(D1454,""fr"",""es"")"),"moucha")</f>
        <v>moucha</v>
      </c>
    </row>
    <row r="1455">
      <c r="A1455" s="3">
        <v>1433.0</v>
      </c>
      <c r="B1455" s="3" t="s">
        <v>189</v>
      </c>
      <c r="C1455" s="3" t="s">
        <v>190</v>
      </c>
      <c r="D1455" s="3" t="s">
        <v>3968</v>
      </c>
      <c r="E1455" s="3" t="s">
        <v>3964</v>
      </c>
      <c r="F1455" s="3" t="s">
        <v>3965</v>
      </c>
      <c r="G1455" s="3" t="str">
        <f>IFERROR(__xludf.DUMMYFUNCTION("GOOGLETRANSLATE(D1455,""fr"",""es"")"),"chupar")</f>
        <v>chupar</v>
      </c>
    </row>
    <row r="1456">
      <c r="A1456" s="3">
        <v>1434.0</v>
      </c>
      <c r="B1456" s="3" t="s">
        <v>189</v>
      </c>
      <c r="C1456" s="3" t="s">
        <v>190</v>
      </c>
      <c r="D1456" s="3" t="s">
        <v>3969</v>
      </c>
      <c r="E1456" s="3" t="s">
        <v>3970</v>
      </c>
      <c r="F1456" s="3" t="s">
        <v>3971</v>
      </c>
      <c r="G1456" s="3" t="str">
        <f>IFERROR(__xludf.DUMMYFUNCTION("GOOGLETRANSLATE(D1456,""fr"",""es"")"),"moucha")</f>
        <v>moucha</v>
      </c>
    </row>
    <row r="1457">
      <c r="A1457" s="3">
        <v>1435.0</v>
      </c>
      <c r="B1457" s="3" t="s">
        <v>189</v>
      </c>
      <c r="C1457" s="3" t="s">
        <v>190</v>
      </c>
      <c r="D1457" s="3" t="s">
        <v>3972</v>
      </c>
      <c r="E1457" s="3" t="s">
        <v>3973</v>
      </c>
      <c r="F1457" s="3" t="s">
        <v>3974</v>
      </c>
      <c r="G1457" s="3" t="str">
        <f>IFERROR(__xludf.DUMMYFUNCTION("GOOGLETRANSLATE(D1457,""fr"",""es"")"),"mouchasse")</f>
        <v>mouchasse</v>
      </c>
    </row>
    <row r="1458">
      <c r="A1458" s="3">
        <v>1436.0</v>
      </c>
      <c r="B1458" s="3" t="s">
        <v>189</v>
      </c>
      <c r="C1458" s="3" t="s">
        <v>190</v>
      </c>
      <c r="D1458" s="3" t="s">
        <v>3975</v>
      </c>
      <c r="E1458" s="3" t="s">
        <v>3973</v>
      </c>
      <c r="F1458" s="3" t="s">
        <v>3974</v>
      </c>
      <c r="G1458" s="3" t="str">
        <f>IFERROR(__xludf.DUMMYFUNCTION("GOOGLETRANSLATE(D1458,""fr"",""es"")"),"falta")</f>
        <v>falta</v>
      </c>
    </row>
    <row r="1459">
      <c r="A1459" s="3">
        <v>1437.0</v>
      </c>
      <c r="B1459" s="3" t="s">
        <v>189</v>
      </c>
      <c r="C1459" s="3" t="s">
        <v>190</v>
      </c>
      <c r="D1459" s="3" t="s">
        <v>3976</v>
      </c>
      <c r="E1459" s="3" t="s">
        <v>3973</v>
      </c>
      <c r="F1459" s="3" t="s">
        <v>3974</v>
      </c>
      <c r="G1459" s="3" t="str">
        <f>IFERROR(__xludf.DUMMYFUNCTION("GOOGLETRANSLATE(D1459,""fr"",""es"")"),"mouchass")</f>
        <v>mouchass</v>
      </c>
    </row>
    <row r="1460">
      <c r="A1460" s="3">
        <v>1438.0</v>
      </c>
      <c r="B1460" s="3" t="s">
        <v>189</v>
      </c>
      <c r="C1460" s="3" t="s">
        <v>190</v>
      </c>
      <c r="D1460" s="3" t="s">
        <v>3977</v>
      </c>
      <c r="E1460" s="3" t="s">
        <v>3978</v>
      </c>
      <c r="F1460" s="3" t="s">
        <v>3979</v>
      </c>
      <c r="G1460" s="3" t="str">
        <f>IFERROR(__xludf.DUMMYFUNCTION("GOOGLETRANSLATE(D1460,""fr"",""es"")"),"mosca")</f>
        <v>mosca</v>
      </c>
      <c r="H1460" s="3" t="s">
        <v>3980</v>
      </c>
      <c r="I1460" s="3" t="s">
        <v>3980</v>
      </c>
      <c r="J1460" s="3" t="s">
        <v>3981</v>
      </c>
      <c r="K1460" s="3" t="s">
        <v>3982</v>
      </c>
      <c r="L1460" s="3" t="s">
        <v>3980</v>
      </c>
      <c r="M1460" s="3" t="s">
        <v>3983</v>
      </c>
      <c r="N1460" s="3" t="s">
        <v>3980</v>
      </c>
      <c r="O1460" s="3" t="s">
        <v>3980</v>
      </c>
      <c r="P1460" s="3" t="s">
        <v>3980</v>
      </c>
      <c r="Q1460" s="3" t="s">
        <v>3980</v>
      </c>
      <c r="R1460" s="3" t="s">
        <v>3980</v>
      </c>
      <c r="S1460" s="3" t="s">
        <v>3980</v>
      </c>
      <c r="T1460" s="3" t="s">
        <v>3980</v>
      </c>
      <c r="U1460" s="3" t="s">
        <v>3980</v>
      </c>
      <c r="V1460" s="3" t="s">
        <v>3984</v>
      </c>
      <c r="W1460" s="3" t="s">
        <v>3982</v>
      </c>
      <c r="X1460" s="3" t="s">
        <v>3985</v>
      </c>
      <c r="Y1460" s="3" t="s">
        <v>3980</v>
      </c>
      <c r="Z1460" s="3" t="s">
        <v>3986</v>
      </c>
      <c r="AA1460" s="3" t="s">
        <v>3980</v>
      </c>
      <c r="AB1460" s="3" t="s">
        <v>3980</v>
      </c>
      <c r="AC1460" s="3" t="s">
        <v>3987</v>
      </c>
      <c r="AD1460" s="3" t="s">
        <v>3988</v>
      </c>
      <c r="AE1460" s="3" t="s">
        <v>3980</v>
      </c>
      <c r="AF1460" s="3" t="s">
        <v>3989</v>
      </c>
      <c r="AG1460" s="3" t="s">
        <v>3980</v>
      </c>
      <c r="AH1460" s="3" t="s">
        <v>3990</v>
      </c>
      <c r="AI1460" s="3" t="s">
        <v>3991</v>
      </c>
      <c r="AJ1460" s="3" t="s">
        <v>3992</v>
      </c>
      <c r="AK1460" s="3" t="s">
        <v>3980</v>
      </c>
      <c r="AL1460" s="3" t="s">
        <v>3993</v>
      </c>
      <c r="AM1460" s="3" t="s">
        <v>3987</v>
      </c>
    </row>
    <row r="1461">
      <c r="A1461" s="3">
        <v>1439.0</v>
      </c>
      <c r="B1461" s="3" t="s">
        <v>189</v>
      </c>
      <c r="C1461" s="3" t="s">
        <v>190</v>
      </c>
      <c r="D1461" s="3" t="s">
        <v>3994</v>
      </c>
      <c r="E1461" s="3" t="s">
        <v>3978</v>
      </c>
      <c r="F1461" s="3" t="s">
        <v>3979</v>
      </c>
      <c r="G1461" s="3" t="str">
        <f>IFERROR(__xludf.DUMMYFUNCTION("GOOGLETRANSLATE(D1461,""fr"",""es"")"),"volar")</f>
        <v>volar</v>
      </c>
    </row>
    <row r="1462">
      <c r="A1462" s="3">
        <v>1440.0</v>
      </c>
      <c r="B1462" s="3" t="s">
        <v>189</v>
      </c>
      <c r="C1462" s="3" t="s">
        <v>190</v>
      </c>
      <c r="D1462" s="3" t="s">
        <v>3995</v>
      </c>
      <c r="E1462" s="3" t="s">
        <v>3978</v>
      </c>
      <c r="F1462" s="3" t="s">
        <v>3979</v>
      </c>
      <c r="G1462" s="3" t="str">
        <f>IFERROR(__xludf.DUMMYFUNCTION("GOOGLETRANSLATE(D1462,""fr"",""es"")"),"moscas")</f>
        <v>moscas</v>
      </c>
    </row>
    <row r="1463">
      <c r="A1463" s="3">
        <v>1441.0</v>
      </c>
      <c r="B1463" s="3" t="s">
        <v>189</v>
      </c>
      <c r="C1463" s="3" t="s">
        <v>190</v>
      </c>
      <c r="D1463" s="3" t="s">
        <v>3996</v>
      </c>
      <c r="E1463" s="3" t="s">
        <v>3947</v>
      </c>
      <c r="F1463" s="3" t="s">
        <v>3948</v>
      </c>
      <c r="G1463" s="3" t="str">
        <f>IFERROR(__xludf.DUMMYFUNCTION("GOOGLETRANSLATE(D1463,""fr"",""es"")"),"abadejo")</f>
        <v>abadejo</v>
      </c>
      <c r="H1463" s="3" t="s">
        <v>3997</v>
      </c>
      <c r="I1463" s="3" t="s">
        <v>3996</v>
      </c>
      <c r="J1463" s="3" t="s">
        <v>3998</v>
      </c>
    </row>
    <row r="1464">
      <c r="A1464" s="3">
        <v>1442.0</v>
      </c>
      <c r="B1464" s="3" t="s">
        <v>189</v>
      </c>
      <c r="C1464" s="3" t="s">
        <v>190</v>
      </c>
      <c r="D1464" s="3" t="s">
        <v>3999</v>
      </c>
      <c r="E1464" s="3" t="s">
        <v>3947</v>
      </c>
      <c r="F1464" s="3" t="s">
        <v>3948</v>
      </c>
      <c r="G1464" s="3" t="str">
        <f>IFERROR(__xludf.DUMMYFUNCTION("GOOGLETRANSLATE(D1464,""fr"",""es"")"),"abadejo")</f>
        <v>abadejo</v>
      </c>
    </row>
    <row r="1465">
      <c r="A1465" s="3">
        <v>1443.0</v>
      </c>
      <c r="B1465" s="3" t="s">
        <v>189</v>
      </c>
      <c r="C1465" s="3" t="s">
        <v>190</v>
      </c>
      <c r="D1465" s="3" t="s">
        <v>4000</v>
      </c>
      <c r="E1465" s="3" t="s">
        <v>4001</v>
      </c>
      <c r="F1465" s="3" t="s">
        <v>4002</v>
      </c>
      <c r="G1465" s="3" t="str">
        <f>IFERROR(__xludf.DUMMYFUNCTION("GOOGLETRANSLATE(D1465,""fr"",""es"")"),"mojado")</f>
        <v>mojado</v>
      </c>
    </row>
    <row r="1466">
      <c r="A1466" s="3">
        <v>1444.0</v>
      </c>
      <c r="B1466" s="3" t="s">
        <v>189</v>
      </c>
      <c r="C1466" s="3" t="s">
        <v>190</v>
      </c>
      <c r="D1466" s="3" t="s">
        <v>4003</v>
      </c>
      <c r="E1466" s="3" t="s">
        <v>4001</v>
      </c>
      <c r="F1466" s="3" t="s">
        <v>4002</v>
      </c>
      <c r="G1466" s="3" t="str">
        <f>IFERROR(__xludf.DUMMYFUNCTION("GOOGLETRANSLATE(D1466,""fr"",""es"")"),"mojado")</f>
        <v>mojado</v>
      </c>
    </row>
    <row r="1467">
      <c r="A1467" s="3">
        <v>1445.0</v>
      </c>
      <c r="B1467" s="3" t="s">
        <v>189</v>
      </c>
      <c r="C1467" s="3" t="s">
        <v>190</v>
      </c>
      <c r="D1467" s="3" t="s">
        <v>4004</v>
      </c>
      <c r="E1467" s="3" t="s">
        <v>4001</v>
      </c>
      <c r="F1467" s="3" t="s">
        <v>4002</v>
      </c>
      <c r="G1467" s="3" t="str">
        <f>IFERROR(__xludf.DUMMYFUNCTION("GOOGLETRANSLATE(D1467,""fr"",""es"")"),"mojado")</f>
        <v>mojado</v>
      </c>
    </row>
    <row r="1468">
      <c r="A1468" s="3">
        <v>1446.0</v>
      </c>
      <c r="B1468" s="3" t="s">
        <v>189</v>
      </c>
      <c r="C1468" s="3" t="s">
        <v>190</v>
      </c>
      <c r="D1468" s="3" t="s">
        <v>4005</v>
      </c>
      <c r="E1468" s="3" t="s">
        <v>4001</v>
      </c>
      <c r="F1468" s="3" t="s">
        <v>4002</v>
      </c>
      <c r="G1468" s="3" t="str">
        <f>IFERROR(__xludf.DUMMYFUNCTION("GOOGLETRANSLATE(D1468,""fr"",""es"")"),"mojado")</f>
        <v>mojado</v>
      </c>
    </row>
    <row r="1469">
      <c r="A1469" s="3">
        <v>1447.0</v>
      </c>
      <c r="B1469" s="3" t="s">
        <v>189</v>
      </c>
      <c r="C1469" s="3" t="s">
        <v>190</v>
      </c>
      <c r="D1469" s="3" t="s">
        <v>4006</v>
      </c>
      <c r="E1469" s="3" t="s">
        <v>4007</v>
      </c>
      <c r="F1469" s="3" t="s">
        <v>4008</v>
      </c>
      <c r="G1469" s="3" t="str">
        <f>IFERROR(__xludf.DUMMYFUNCTION("GOOGLETRANSLATE(D1469,""fr"",""es"")"),"mojado")</f>
        <v>mojado</v>
      </c>
    </row>
    <row r="1470">
      <c r="A1470" s="3">
        <v>1448.0</v>
      </c>
      <c r="B1470" s="3" t="s">
        <v>189</v>
      </c>
      <c r="C1470" s="3" t="s">
        <v>190</v>
      </c>
      <c r="D1470" s="3" t="s">
        <v>4009</v>
      </c>
      <c r="E1470" s="3" t="s">
        <v>4010</v>
      </c>
      <c r="F1470" s="3" t="s">
        <v>4011</v>
      </c>
      <c r="G1470" s="3" t="str">
        <f>IFERROR(__xludf.DUMMYFUNCTION("GOOGLETRANSLATE(D1470,""fr"",""es"")"),"mojado")</f>
        <v>mojado</v>
      </c>
    </row>
    <row r="1471">
      <c r="A1471" s="3">
        <v>1449.0</v>
      </c>
      <c r="B1471" s="3" t="s">
        <v>189</v>
      </c>
      <c r="C1471" s="3" t="s">
        <v>190</v>
      </c>
      <c r="D1471" s="3" t="s">
        <v>4012</v>
      </c>
      <c r="E1471" s="3" t="s">
        <v>4010</v>
      </c>
      <c r="F1471" s="3" t="s">
        <v>4011</v>
      </c>
      <c r="G1471" s="3" t="str">
        <f>IFERROR(__xludf.DUMMYFUNCTION("GOOGLETRANSLATE(D1471,""fr"",""es"")"),"mojado")</f>
        <v>mojado</v>
      </c>
    </row>
    <row r="1472">
      <c r="A1472" s="3">
        <v>1450.0</v>
      </c>
      <c r="B1472" s="3" t="s">
        <v>189</v>
      </c>
      <c r="C1472" s="3" t="s">
        <v>190</v>
      </c>
      <c r="D1472" s="3" t="s">
        <v>4013</v>
      </c>
      <c r="E1472" s="3" t="s">
        <v>4010</v>
      </c>
      <c r="F1472" s="3" t="s">
        <v>4011</v>
      </c>
      <c r="G1472" s="3" t="str">
        <f>IFERROR(__xludf.DUMMYFUNCTION("GOOGLETRANSLATE(D1472,""fr"",""es"")"),"mojado")</f>
        <v>mojado</v>
      </c>
    </row>
    <row r="1473">
      <c r="A1473" s="3">
        <v>1451.0</v>
      </c>
      <c r="B1473" s="3" t="s">
        <v>189</v>
      </c>
      <c r="C1473" s="3" t="s">
        <v>190</v>
      </c>
      <c r="D1473" s="3" t="s">
        <v>4014</v>
      </c>
      <c r="E1473" s="3" t="s">
        <v>4015</v>
      </c>
      <c r="F1473" s="3" t="s">
        <v>4016</v>
      </c>
      <c r="G1473" s="3" t="str">
        <f>IFERROR(__xludf.DUMMYFUNCTION("GOOGLETRANSLATE(D1473,""fr"",""es"")"),"mojado")</f>
        <v>mojado</v>
      </c>
    </row>
    <row r="1474">
      <c r="A1474" s="3">
        <v>1452.0</v>
      </c>
      <c r="B1474" s="3" t="s">
        <v>189</v>
      </c>
      <c r="C1474" s="3" t="s">
        <v>190</v>
      </c>
      <c r="D1474" s="3" t="s">
        <v>4017</v>
      </c>
      <c r="E1474" s="3" t="s">
        <v>4015</v>
      </c>
      <c r="F1474" s="3" t="s">
        <v>4016</v>
      </c>
      <c r="G1474" s="3" t="str">
        <f>IFERROR(__xludf.DUMMYFUNCTION("GOOGLETRANSLATE(D1474,""fr"",""es"")"),"mojado")</f>
        <v>mojado</v>
      </c>
    </row>
    <row r="1475">
      <c r="A1475" s="3">
        <v>1453.0</v>
      </c>
      <c r="B1475" s="3" t="s">
        <v>189</v>
      </c>
      <c r="C1475" s="3" t="s">
        <v>190</v>
      </c>
      <c r="D1475" s="3" t="s">
        <v>4018</v>
      </c>
      <c r="E1475" s="3" t="s">
        <v>4015</v>
      </c>
      <c r="F1475" s="3" t="s">
        <v>4016</v>
      </c>
      <c r="G1475" s="3" t="str">
        <f>IFERROR(__xludf.DUMMYFUNCTION("GOOGLETRANSLATE(D1475,""fr"",""es"")"),"mojado")</f>
        <v>mojado</v>
      </c>
    </row>
    <row r="1476">
      <c r="A1476" s="3">
        <v>1454.0</v>
      </c>
      <c r="B1476" s="3" t="s">
        <v>189</v>
      </c>
      <c r="C1476" s="3" t="s">
        <v>190</v>
      </c>
      <c r="D1476" s="3" t="s">
        <v>4019</v>
      </c>
      <c r="E1476" s="3" t="s">
        <v>4020</v>
      </c>
      <c r="F1476" s="3" t="s">
        <v>4021</v>
      </c>
      <c r="G1476" s="3" t="str">
        <f>IFERROR(__xludf.DUMMYFUNCTION("GOOGLETRANSLATE(D1476,""fr"",""es"")"),"moulai")</f>
        <v>moulai</v>
      </c>
    </row>
    <row r="1477">
      <c r="A1477" s="3">
        <v>1455.0</v>
      </c>
      <c r="B1477" s="3" t="s">
        <v>189</v>
      </c>
      <c r="C1477" s="3" t="s">
        <v>190</v>
      </c>
      <c r="D1477" s="3" t="s">
        <v>4022</v>
      </c>
      <c r="E1477" s="3" t="s">
        <v>4020</v>
      </c>
      <c r="F1477" s="3" t="s">
        <v>4021</v>
      </c>
      <c r="G1477" s="3" t="str">
        <f>IFERROR(__xludf.DUMMYFUNCTION("GOOGLETRANSLATE(D1477,""fr"",""es"")"),"moldeado")</f>
        <v>moldeado</v>
      </c>
    </row>
    <row r="1478">
      <c r="A1478" s="3">
        <v>1456.0</v>
      </c>
      <c r="B1478" s="3" t="s">
        <v>189</v>
      </c>
      <c r="C1478" s="3" t="s">
        <v>190</v>
      </c>
      <c r="D1478" s="3" t="s">
        <v>4023</v>
      </c>
      <c r="E1478" s="3" t="s">
        <v>4020</v>
      </c>
      <c r="F1478" s="3" t="s">
        <v>4021</v>
      </c>
      <c r="G1478" s="3" t="str">
        <f>IFERROR(__xludf.DUMMYFUNCTION("GOOGLETRANSLATE(D1478,""fr"",""es"")"),"moulais")</f>
        <v>moulais</v>
      </c>
    </row>
    <row r="1479">
      <c r="A1479" s="3">
        <v>1457.0</v>
      </c>
      <c r="B1479" s="3" t="s">
        <v>189</v>
      </c>
      <c r="C1479" s="3" t="s">
        <v>190</v>
      </c>
      <c r="D1479" s="3" t="s">
        <v>4024</v>
      </c>
      <c r="E1479" s="3" t="s">
        <v>4020</v>
      </c>
      <c r="F1479" s="3" t="s">
        <v>4021</v>
      </c>
      <c r="G1479" s="3" t="str">
        <f>IFERROR(__xludf.DUMMYFUNCTION("GOOGLETRANSLATE(D1479,""fr"",""es"")"),"murió")</f>
        <v>murió</v>
      </c>
    </row>
    <row r="1480">
      <c r="A1480" s="3">
        <v>1458.0</v>
      </c>
      <c r="B1480" s="3" t="s">
        <v>189</v>
      </c>
      <c r="C1480" s="3" t="s">
        <v>190</v>
      </c>
      <c r="D1480" s="3" t="s">
        <v>4025</v>
      </c>
      <c r="E1480" s="3" t="s">
        <v>4026</v>
      </c>
      <c r="F1480" s="3" t="s">
        <v>4027</v>
      </c>
      <c r="G1480" s="3" t="str">
        <f>IFERROR(__xludf.DUMMYFUNCTION("GOOGLETRANSLATE(D1480,""fr"",""es"")"),"apretado")</f>
        <v>apretado</v>
      </c>
    </row>
    <row r="1481">
      <c r="A1481" s="3">
        <v>1459.0</v>
      </c>
      <c r="B1481" s="3" t="s">
        <v>189</v>
      </c>
      <c r="C1481" s="3" t="s">
        <v>190</v>
      </c>
      <c r="D1481" s="3" t="s">
        <v>4028</v>
      </c>
      <c r="E1481" s="3" t="s">
        <v>4029</v>
      </c>
      <c r="F1481" s="3" t="s">
        <v>4030</v>
      </c>
      <c r="G1481" s="3" t="str">
        <f>IFERROR(__xludf.DUMMYFUNCTION("GOOGLETRANSLATE(D1481,""fr"",""es"")"),"moldura")</f>
        <v>moldura</v>
      </c>
    </row>
    <row r="1482">
      <c r="A1482" s="3">
        <v>1460.0</v>
      </c>
      <c r="B1482" s="3" t="s">
        <v>189</v>
      </c>
      <c r="C1482" s="3" t="s">
        <v>190</v>
      </c>
      <c r="D1482" s="3" t="s">
        <v>4031</v>
      </c>
      <c r="E1482" s="3" t="s">
        <v>4029</v>
      </c>
      <c r="F1482" s="3" t="s">
        <v>4030</v>
      </c>
      <c r="G1482" s="3" t="str">
        <f>IFERROR(__xludf.DUMMYFUNCTION("GOOGLETRANSLATE(D1482,""fr"",""es"")"),"moho")</f>
        <v>moho</v>
      </c>
    </row>
    <row r="1483">
      <c r="A1483" s="3">
        <v>1461.0</v>
      </c>
      <c r="B1483" s="3" t="s">
        <v>189</v>
      </c>
      <c r="C1483" s="3" t="s">
        <v>190</v>
      </c>
      <c r="D1483" s="3" t="s">
        <v>4032</v>
      </c>
      <c r="E1483" s="3" t="s">
        <v>4029</v>
      </c>
      <c r="F1483" s="3" t="s">
        <v>4030</v>
      </c>
      <c r="G1483" s="3" t="str">
        <f>IFERROR(__xludf.DUMMYFUNCTION("GOOGLETRANSLATE(D1483,""fr"",""es"")"),"muda")</f>
        <v>muda</v>
      </c>
    </row>
    <row r="1484">
      <c r="A1484" s="3">
        <v>1462.0</v>
      </c>
      <c r="B1484" s="3" t="s">
        <v>189</v>
      </c>
      <c r="C1484" s="3" t="s">
        <v>190</v>
      </c>
      <c r="D1484" s="3" t="s">
        <v>4033</v>
      </c>
      <c r="E1484" s="3" t="s">
        <v>4034</v>
      </c>
      <c r="F1484" s="3" t="s">
        <v>4035</v>
      </c>
      <c r="G1484" s="3" t="str">
        <f>IFERROR(__xludf.DUMMYFUNCTION("GOOGLETRANSLATE(D1484,""fr"",""es"")"),"mejillón")</f>
        <v>mejillón</v>
      </c>
      <c r="H1484" s="3" t="s">
        <v>4036</v>
      </c>
      <c r="I1484" s="3" t="s">
        <v>4037</v>
      </c>
      <c r="J1484" s="3" t="s">
        <v>4038</v>
      </c>
      <c r="K1484" s="3" t="s">
        <v>4039</v>
      </c>
      <c r="L1484" s="3" t="s">
        <v>4037</v>
      </c>
      <c r="M1484" s="3" t="s">
        <v>4038</v>
      </c>
      <c r="N1484" s="3" t="s">
        <v>4040</v>
      </c>
      <c r="O1484" s="3" t="s">
        <v>4041</v>
      </c>
      <c r="P1484" s="3" t="s">
        <v>4042</v>
      </c>
      <c r="Q1484" s="3" t="s">
        <v>4043</v>
      </c>
      <c r="R1484" s="3" t="s">
        <v>4044</v>
      </c>
      <c r="S1484" s="3" t="s">
        <v>4045</v>
      </c>
      <c r="T1484" s="3" t="s">
        <v>4036</v>
      </c>
    </row>
    <row r="1485">
      <c r="A1485" s="3">
        <v>1463.0</v>
      </c>
      <c r="B1485" s="3" t="s">
        <v>189</v>
      </c>
      <c r="C1485" s="3" t="s">
        <v>190</v>
      </c>
      <c r="D1485" s="3" t="s">
        <v>4046</v>
      </c>
      <c r="E1485" s="3" t="s">
        <v>4034</v>
      </c>
      <c r="F1485" s="3" t="s">
        <v>4035</v>
      </c>
      <c r="G1485" s="3" t="str">
        <f>IFERROR(__xludf.DUMMYFUNCTION("GOOGLETRANSLATE(D1485,""fr"",""es"")"),"moho")</f>
        <v>moho</v>
      </c>
    </row>
    <row r="1486">
      <c r="A1486" s="3">
        <v>1464.0</v>
      </c>
      <c r="B1486" s="3" t="s">
        <v>189</v>
      </c>
      <c r="C1486" s="3" t="s">
        <v>190</v>
      </c>
      <c r="D1486" s="3" t="s">
        <v>4047</v>
      </c>
      <c r="E1486" s="3" t="s">
        <v>4034</v>
      </c>
      <c r="F1486" s="3" t="s">
        <v>4035</v>
      </c>
      <c r="G1486" s="3" t="str">
        <f>IFERROR(__xludf.DUMMYFUNCTION("GOOGLETRANSLATE(D1486,""fr"",""es"")"),"mejillones")</f>
        <v>mejillones</v>
      </c>
    </row>
    <row r="1487">
      <c r="A1487" s="3">
        <v>1465.0</v>
      </c>
      <c r="B1487" s="3" t="s">
        <v>189</v>
      </c>
      <c r="C1487" s="3" t="s">
        <v>190</v>
      </c>
      <c r="D1487" s="3" t="s">
        <v>4048</v>
      </c>
      <c r="E1487" s="3" t="s">
        <v>4049</v>
      </c>
      <c r="F1487" s="3" t="s">
        <v>4050</v>
      </c>
      <c r="G1487" s="3" t="str">
        <f>IFERROR(__xludf.DUMMYFUNCTION("GOOGLETRANSLATE(D1487,""fr"",""es"")"),"molino")</f>
        <v>molino</v>
      </c>
    </row>
    <row r="1488">
      <c r="A1488" s="3">
        <v>1466.0</v>
      </c>
      <c r="B1488" s="3" t="s">
        <v>189</v>
      </c>
      <c r="C1488" s="3" t="s">
        <v>190</v>
      </c>
      <c r="D1488" s="3" t="s">
        <v>4051</v>
      </c>
      <c r="E1488" s="3" t="s">
        <v>4049</v>
      </c>
      <c r="F1488" s="3" t="s">
        <v>4050</v>
      </c>
      <c r="G1488" s="3" t="str">
        <f>IFERROR(__xludf.DUMMYFUNCTION("GOOGLETRANSLATE(D1488,""fr"",""es"")"),"estaban moliendo")</f>
        <v>estaban moliendo</v>
      </c>
    </row>
    <row r="1489">
      <c r="A1489" s="3">
        <v>1467.0</v>
      </c>
      <c r="B1489" s="3" t="s">
        <v>189</v>
      </c>
      <c r="C1489" s="3" t="s">
        <v>190</v>
      </c>
      <c r="D1489" s="3" t="s">
        <v>4052</v>
      </c>
      <c r="E1489" s="3" t="s">
        <v>4049</v>
      </c>
      <c r="F1489" s="3" t="s">
        <v>4050</v>
      </c>
      <c r="G1489" s="3" t="str">
        <f>IFERROR(__xludf.DUMMYFUNCTION("GOOGLETRANSLATE(D1489,""fr"",""es"")"),"Moulinais")</f>
        <v>Moulinais</v>
      </c>
    </row>
    <row r="1490">
      <c r="A1490" s="3">
        <v>1468.0</v>
      </c>
      <c r="B1490" s="3" t="s">
        <v>189</v>
      </c>
      <c r="C1490" s="3" t="s">
        <v>190</v>
      </c>
      <c r="D1490" s="3" t="s">
        <v>4053</v>
      </c>
      <c r="E1490" s="3" t="s">
        <v>4049</v>
      </c>
      <c r="F1490" s="3" t="s">
        <v>4050</v>
      </c>
      <c r="G1490" s="3" t="str">
        <f>IFERROR(__xludf.DUMMYFUNCTION("GOOGLETRANSLATE(D1490,""fr"",""es"")"),"mojado")</f>
        <v>mojado</v>
      </c>
    </row>
    <row r="1491">
      <c r="A1491" s="3">
        <v>1469.0</v>
      </c>
      <c r="B1491" s="3" t="s">
        <v>189</v>
      </c>
      <c r="C1491" s="3" t="s">
        <v>190</v>
      </c>
      <c r="D1491" s="3" t="s">
        <v>4054</v>
      </c>
      <c r="E1491" s="3" t="s">
        <v>4055</v>
      </c>
      <c r="F1491" s="3" t="s">
        <v>4056</v>
      </c>
      <c r="G1491" s="3" t="str">
        <f>IFERROR(__xludf.DUMMYFUNCTION("GOOGLETRANSLATE(D1491,""fr"",""es"")"),"molino")</f>
        <v>molino</v>
      </c>
    </row>
    <row r="1492">
      <c r="A1492" s="3">
        <v>1470.0</v>
      </c>
      <c r="B1492" s="3" t="s">
        <v>189</v>
      </c>
      <c r="C1492" s="3" t="s">
        <v>190</v>
      </c>
      <c r="D1492" s="3" t="s">
        <v>4057</v>
      </c>
      <c r="E1492" s="3" t="s">
        <v>4058</v>
      </c>
      <c r="F1492" s="3" t="s">
        <v>4059</v>
      </c>
      <c r="G1492" s="3" t="str">
        <f>IFERROR(__xludf.DUMMYFUNCTION("GOOGLETRANSLATE(D1492,""fr"",""es"")"),"molino")</f>
        <v>molino</v>
      </c>
    </row>
    <row r="1493">
      <c r="A1493" s="3">
        <v>1471.0</v>
      </c>
      <c r="B1493" s="3" t="s">
        <v>189</v>
      </c>
      <c r="C1493" s="3" t="s">
        <v>190</v>
      </c>
      <c r="D1493" s="3" t="s">
        <v>4060</v>
      </c>
      <c r="E1493" s="3" t="s">
        <v>4058</v>
      </c>
      <c r="F1493" s="3" t="s">
        <v>4059</v>
      </c>
      <c r="G1493" s="3" t="str">
        <f>IFERROR(__xludf.DUMMYFUNCTION("GOOGLETRANSLATE(D1493,""fr"",""es"")"),"molino")</f>
        <v>molino</v>
      </c>
    </row>
    <row r="1494">
      <c r="A1494" s="3">
        <v>1472.0</v>
      </c>
      <c r="B1494" s="3" t="s">
        <v>189</v>
      </c>
      <c r="C1494" s="3" t="s">
        <v>190</v>
      </c>
      <c r="D1494" s="3" t="s">
        <v>4061</v>
      </c>
      <c r="E1494" s="3" t="s">
        <v>4058</v>
      </c>
      <c r="F1494" s="3" t="s">
        <v>4059</v>
      </c>
      <c r="G1494" s="3" t="str">
        <f>IFERROR(__xludf.DUMMYFUNCTION("GOOGLETRANSLATE(D1494,""fr"",""es"")"),"molino")</f>
        <v>molino</v>
      </c>
    </row>
    <row r="1495">
      <c r="A1495" s="3">
        <v>1473.0</v>
      </c>
      <c r="B1495" s="3" t="s">
        <v>189</v>
      </c>
      <c r="C1495" s="3" t="s">
        <v>190</v>
      </c>
      <c r="D1495" s="3" t="s">
        <v>4062</v>
      </c>
      <c r="E1495" s="3" t="s">
        <v>4063</v>
      </c>
      <c r="F1495" s="3" t="s">
        <v>4064</v>
      </c>
      <c r="G1495" s="3" t="str">
        <f>IFERROR(__xludf.DUMMYFUNCTION("GOOGLETRANSLATE(D1495,""fr"",""es"")"),"moumlina")</f>
        <v>moumlina</v>
      </c>
    </row>
    <row r="1496">
      <c r="A1496" s="3">
        <v>1474.0</v>
      </c>
      <c r="B1496" s="3" t="s">
        <v>189</v>
      </c>
      <c r="C1496" s="3" t="s">
        <v>190</v>
      </c>
      <c r="D1496" s="3" t="s">
        <v>4065</v>
      </c>
      <c r="E1496" s="3" t="s">
        <v>4063</v>
      </c>
      <c r="F1496" s="3" t="s">
        <v>4064</v>
      </c>
      <c r="G1496" s="3" t="str">
        <f>IFERROR(__xludf.DUMMYFUNCTION("GOOGLETRANSLATE(D1496,""fr"",""es"")"),"hierba")</f>
        <v>hierba</v>
      </c>
    </row>
    <row r="1497">
      <c r="A1497" s="3">
        <v>1475.0</v>
      </c>
      <c r="B1497" s="3" t="s">
        <v>189</v>
      </c>
      <c r="C1497" s="3" t="s">
        <v>190</v>
      </c>
      <c r="D1497" s="3" t="s">
        <v>4066</v>
      </c>
      <c r="E1497" s="3" t="s">
        <v>4063</v>
      </c>
      <c r="F1497" s="3" t="s">
        <v>4064</v>
      </c>
      <c r="G1497" s="3" t="str">
        <f>IFERROR(__xludf.DUMMYFUNCTION("GOOGLETRANSLATE(D1497,""fr"",""es"")"),"molinas")</f>
        <v>molinas</v>
      </c>
    </row>
    <row r="1498">
      <c r="A1498" s="3">
        <v>1476.0</v>
      </c>
      <c r="B1498" s="3" t="s">
        <v>189</v>
      </c>
      <c r="C1498" s="3" t="s">
        <v>190</v>
      </c>
      <c r="D1498" s="3" t="s">
        <v>4067</v>
      </c>
      <c r="E1498" s="3" t="s">
        <v>4049</v>
      </c>
      <c r="F1498" s="3" t="s">
        <v>4050</v>
      </c>
      <c r="G1498" s="3" t="str">
        <f>IFERROR(__xludf.DUMMYFUNCTION("GOOGLETRANSLATE(D1498,""fr"",""es"")"),"carrete")</f>
        <v>carrete</v>
      </c>
    </row>
    <row r="1499">
      <c r="A1499" s="3">
        <v>1477.0</v>
      </c>
      <c r="B1499" s="3" t="s">
        <v>189</v>
      </c>
      <c r="C1499" s="3" t="s">
        <v>190</v>
      </c>
      <c r="D1499" s="3" t="s">
        <v>4068</v>
      </c>
      <c r="E1499" s="3" t="s">
        <v>4049</v>
      </c>
      <c r="F1499" s="3" t="s">
        <v>4050</v>
      </c>
      <c r="G1499" s="3" t="str">
        <f>IFERROR(__xludf.DUMMYFUNCTION("GOOGLETRANSLATE(D1499,""fr"",""es"")"),"bobinas")</f>
        <v>bobinas</v>
      </c>
    </row>
    <row r="1500">
      <c r="A1500" s="3">
        <v>1478.0</v>
      </c>
      <c r="B1500" s="3" t="s">
        <v>189</v>
      </c>
      <c r="C1500" s="3" t="s">
        <v>190</v>
      </c>
      <c r="D1500" s="3" t="s">
        <v>4069</v>
      </c>
      <c r="E1500" s="3" t="s">
        <v>3947</v>
      </c>
      <c r="F1500" s="3" t="s">
        <v>3948</v>
      </c>
      <c r="G1500" s="3" t="str">
        <f>IFERROR(__xludf.DUMMYFUNCTION("GOOGLETRANSLATE(D1500,""fr"",""es"")"),"suave")</f>
        <v>suave</v>
      </c>
    </row>
    <row r="1501">
      <c r="A1501" s="3">
        <v>1479.0</v>
      </c>
      <c r="B1501" s="3" t="s">
        <v>189</v>
      </c>
      <c r="C1501" s="3" t="s">
        <v>190</v>
      </c>
      <c r="D1501" s="3" t="s">
        <v>4070</v>
      </c>
      <c r="E1501" s="3" t="s">
        <v>4071</v>
      </c>
      <c r="F1501" s="3" t="s">
        <v>4072</v>
      </c>
      <c r="G1501" s="3" t="str">
        <f>IFERROR(__xludf.DUMMYFUNCTION("GOOGLETRANSLATE(D1501,""fr"",""es"")"),"moussai")</f>
        <v>moussai</v>
      </c>
    </row>
    <row r="1502">
      <c r="A1502" s="3">
        <v>1480.0</v>
      </c>
      <c r="B1502" s="3" t="s">
        <v>189</v>
      </c>
      <c r="C1502" s="3" t="s">
        <v>190</v>
      </c>
      <c r="D1502" s="3" t="s">
        <v>4073</v>
      </c>
      <c r="E1502" s="3" t="s">
        <v>4071</v>
      </c>
      <c r="F1502" s="3" t="s">
        <v>4072</v>
      </c>
      <c r="G1502" s="3" t="str">
        <f>IFERROR(__xludf.DUMMYFUNCTION("GOOGLETRANSLATE(D1502,""fr"",""es"")"),"susurrado")</f>
        <v>susurrado</v>
      </c>
    </row>
    <row r="1503">
      <c r="A1503" s="3">
        <v>1481.0</v>
      </c>
      <c r="B1503" s="3" t="s">
        <v>189</v>
      </c>
      <c r="C1503" s="3" t="s">
        <v>190</v>
      </c>
      <c r="D1503" s="3" t="s">
        <v>4074</v>
      </c>
      <c r="E1503" s="3" t="s">
        <v>4071</v>
      </c>
      <c r="F1503" s="3" t="s">
        <v>4072</v>
      </c>
      <c r="G1503" s="3" t="str">
        <f>IFERROR(__xludf.DUMMYFUNCTION("GOOGLETRANSLATE(D1503,""fr"",""es"")"),"pulposo")</f>
        <v>pulposo</v>
      </c>
    </row>
    <row r="1504">
      <c r="A1504" s="3">
        <v>1482.0</v>
      </c>
      <c r="B1504" s="3" t="s">
        <v>189</v>
      </c>
      <c r="C1504" s="3" t="s">
        <v>190</v>
      </c>
      <c r="D1504" s="3" t="s">
        <v>4075</v>
      </c>
      <c r="E1504" s="3" t="s">
        <v>4071</v>
      </c>
      <c r="F1504" s="3" t="s">
        <v>4072</v>
      </c>
      <c r="G1504" s="3" t="str">
        <f>IFERROR(__xludf.DUMMYFUNCTION("GOOGLETRANSLATE(D1504,""fr"",""es"")"),"mulou")</f>
        <v>mulou</v>
      </c>
    </row>
    <row r="1505">
      <c r="A1505" s="3">
        <v>1483.0</v>
      </c>
      <c r="B1505" s="3" t="s">
        <v>189</v>
      </c>
      <c r="C1505" s="3" t="s">
        <v>190</v>
      </c>
      <c r="D1505" s="3" t="s">
        <v>4076</v>
      </c>
      <c r="E1505" s="3" t="s">
        <v>4077</v>
      </c>
      <c r="F1505" s="3" t="s">
        <v>4078</v>
      </c>
      <c r="G1505" s="3" t="str">
        <f>IFERROR(__xludf.DUMMYFUNCTION("GOOGLETRANSLATE(D1505,""fr"",""es"")"),"moussâme")</f>
        <v>moussâme</v>
      </c>
    </row>
    <row r="1506">
      <c r="A1506" s="3">
        <v>1484.0</v>
      </c>
      <c r="B1506" s="3" t="s">
        <v>189</v>
      </c>
      <c r="C1506" s="3" t="s">
        <v>190</v>
      </c>
      <c r="D1506" s="3" t="s">
        <v>4079</v>
      </c>
      <c r="E1506" s="3" t="s">
        <v>4080</v>
      </c>
      <c r="F1506" s="3" t="s">
        <v>4081</v>
      </c>
      <c r="G1506" s="3" t="str">
        <f>IFERROR(__xludf.DUMMYFUNCTION("GOOGLETRANSLATE(D1506,""fr"",""es"")"),"musgo")</f>
        <v>musgo</v>
      </c>
    </row>
    <row r="1507">
      <c r="A1507" s="3">
        <v>1485.0</v>
      </c>
      <c r="B1507" s="3" t="s">
        <v>189</v>
      </c>
      <c r="C1507" s="3" t="s">
        <v>190</v>
      </c>
      <c r="D1507" s="3" t="s">
        <v>4082</v>
      </c>
      <c r="E1507" s="3" t="s">
        <v>4080</v>
      </c>
      <c r="F1507" s="3" t="s">
        <v>4081</v>
      </c>
      <c r="G1507" s="3" t="str">
        <f>IFERROR(__xludf.DUMMYFUNCTION("GOOGLETRANSLATE(D1507,""fr"",""es"")"),"Mossasse")</f>
        <v>Mossasse</v>
      </c>
    </row>
    <row r="1508">
      <c r="A1508" s="3">
        <v>1486.0</v>
      </c>
      <c r="B1508" s="3" t="s">
        <v>189</v>
      </c>
      <c r="C1508" s="3" t="s">
        <v>190</v>
      </c>
      <c r="D1508" s="3" t="s">
        <v>4083</v>
      </c>
      <c r="E1508" s="3" t="s">
        <v>4080</v>
      </c>
      <c r="F1508" s="3" t="s">
        <v>4081</v>
      </c>
      <c r="G1508" s="3" t="str">
        <f>IFERROR(__xludf.DUMMYFUNCTION("GOOGLETRANSLATE(D1508,""fr"",""es"")"),"musgo")</f>
        <v>musgo</v>
      </c>
    </row>
    <row r="1509">
      <c r="A1509" s="3">
        <v>1487.0</v>
      </c>
      <c r="B1509" s="3" t="s">
        <v>189</v>
      </c>
      <c r="C1509" s="3" t="s">
        <v>190</v>
      </c>
      <c r="D1509" s="3" t="s">
        <v>4084</v>
      </c>
      <c r="E1509" s="3" t="s">
        <v>4085</v>
      </c>
      <c r="F1509" s="3" t="s">
        <v>4086</v>
      </c>
      <c r="G1509" s="3" t="str">
        <f>IFERROR(__xludf.DUMMYFUNCTION("GOOGLETRANSLATE(D1509,""fr"",""es"")"),"espuma")</f>
        <v>espuma</v>
      </c>
      <c r="H1509" s="3" t="s">
        <v>4087</v>
      </c>
      <c r="I1509" s="3" t="s">
        <v>4088</v>
      </c>
      <c r="J1509" s="3" t="s">
        <v>4089</v>
      </c>
      <c r="K1509" s="3" t="s">
        <v>4090</v>
      </c>
      <c r="L1509" s="3" t="s">
        <v>4087</v>
      </c>
      <c r="M1509" s="3" t="s">
        <v>4091</v>
      </c>
      <c r="N1509" s="3" t="s">
        <v>4092</v>
      </c>
      <c r="O1509" s="3" t="s">
        <v>4093</v>
      </c>
      <c r="P1509" s="3" t="s">
        <v>4094</v>
      </c>
      <c r="Q1509" s="3" t="s">
        <v>4090</v>
      </c>
      <c r="R1509" s="3" t="s">
        <v>4087</v>
      </c>
      <c r="S1509" s="3" t="s">
        <v>4095</v>
      </c>
      <c r="T1509" s="3" t="s">
        <v>4089</v>
      </c>
      <c r="U1509" s="3" t="s">
        <v>4096</v>
      </c>
      <c r="V1509" s="3" t="s">
        <v>4097</v>
      </c>
      <c r="W1509" s="3" t="s">
        <v>4098</v>
      </c>
      <c r="X1509" s="3" t="s">
        <v>4099</v>
      </c>
      <c r="Y1509" s="3" t="s">
        <v>4100</v>
      </c>
      <c r="Z1509" s="3" t="s">
        <v>4090</v>
      </c>
    </row>
    <row r="1510">
      <c r="A1510" s="3">
        <v>1488.0</v>
      </c>
      <c r="B1510" s="3" t="s">
        <v>189</v>
      </c>
      <c r="C1510" s="3" t="s">
        <v>190</v>
      </c>
      <c r="D1510" s="3" t="s">
        <v>4101</v>
      </c>
      <c r="E1510" s="3" t="s">
        <v>4085</v>
      </c>
      <c r="F1510" s="3" t="s">
        <v>4086</v>
      </c>
      <c r="G1510" s="3" t="str">
        <f>IFERROR(__xludf.DUMMYFUNCTION("GOOGLETRANSLATE(D1510,""fr"",""es"")"),"látigo")</f>
        <v>látigo</v>
      </c>
    </row>
    <row r="1511">
      <c r="A1511" s="3">
        <v>1489.0</v>
      </c>
      <c r="B1511" s="3" t="s">
        <v>189</v>
      </c>
      <c r="C1511" s="3" t="s">
        <v>190</v>
      </c>
      <c r="D1511" s="3" t="s">
        <v>4102</v>
      </c>
      <c r="E1511" s="3" t="s">
        <v>4085</v>
      </c>
      <c r="F1511" s="3" t="s">
        <v>4086</v>
      </c>
      <c r="G1511" s="3" t="str">
        <f>IFERROR(__xludf.DUMMYFUNCTION("GOOGLETRANSLATE(D1511,""fr"",""es"")"),"musgo")</f>
        <v>musgo</v>
      </c>
    </row>
    <row r="1512">
      <c r="A1512" s="3">
        <v>1490.0</v>
      </c>
      <c r="B1512" s="3" t="s">
        <v>189</v>
      </c>
      <c r="C1512" s="3" t="s">
        <v>190</v>
      </c>
      <c r="D1512" s="3" t="s">
        <v>4103</v>
      </c>
      <c r="E1512" s="3" t="s">
        <v>3947</v>
      </c>
      <c r="F1512" s="3" t="s">
        <v>3948</v>
      </c>
      <c r="G1512" s="3" t="str">
        <f>IFERROR(__xludf.DUMMYFUNCTION("GOOGLETRANSLATE(D1512,""fr"",""es"")"),"deber")</f>
        <v>deber</v>
      </c>
      <c r="H1512" s="3" t="s">
        <v>4104</v>
      </c>
      <c r="I1512" s="3" t="s">
        <v>4105</v>
      </c>
      <c r="J1512" s="3" t="s">
        <v>4104</v>
      </c>
      <c r="K1512" s="3" t="s">
        <v>4106</v>
      </c>
      <c r="L1512" s="3" t="s">
        <v>4104</v>
      </c>
      <c r="M1512" s="3" t="s">
        <v>4104</v>
      </c>
    </row>
    <row r="1513">
      <c r="A1513" s="3">
        <v>1491.0</v>
      </c>
      <c r="B1513" s="3" t="s">
        <v>189</v>
      </c>
      <c r="C1513" s="3" t="s">
        <v>190</v>
      </c>
      <c r="D1513" s="3" t="s">
        <v>4107</v>
      </c>
      <c r="E1513" s="3" t="s">
        <v>3947</v>
      </c>
      <c r="F1513" s="3" t="s">
        <v>3948</v>
      </c>
      <c r="G1513" s="3" t="str">
        <f>IFERROR(__xludf.DUMMYFUNCTION("GOOGLETRANSLATE(D1513,""fr"",""es"")"),"movimientos")</f>
        <v>movimientos</v>
      </c>
    </row>
    <row r="1514">
      <c r="A1514" s="3">
        <v>1492.0</v>
      </c>
      <c r="B1514" s="3" t="s">
        <v>189</v>
      </c>
      <c r="C1514" s="3" t="s">
        <v>190</v>
      </c>
      <c r="D1514" s="3" t="s">
        <v>4108</v>
      </c>
      <c r="E1514" s="3" t="s">
        <v>4109</v>
      </c>
      <c r="F1514" s="3" t="s">
        <v>4110</v>
      </c>
      <c r="G1514" s="3" t="str">
        <f>IFERROR(__xludf.DUMMYFUNCTION("GOOGLETRANSLATE(D1514,""fr"",""es"")"),"Mycens")</f>
        <v>Mycens</v>
      </c>
      <c r="H1514" s="3" t="s">
        <v>4111</v>
      </c>
    </row>
    <row r="1515">
      <c r="A1515" s="3">
        <v>1493.0</v>
      </c>
      <c r="B1515" s="3" t="s">
        <v>189</v>
      </c>
      <c r="C1515" s="3" t="s">
        <v>190</v>
      </c>
      <c r="D1515" s="3" t="s">
        <v>4112</v>
      </c>
      <c r="E1515" s="3" t="s">
        <v>413</v>
      </c>
      <c r="F1515" s="3" t="s">
        <v>414</v>
      </c>
      <c r="G1515" s="3" t="str">
        <f>IFERROR(__xludf.DUMMYFUNCTION("GOOGLETRANSLATE(D1515,""fr"",""es"")"),"NO")</f>
        <v>NO</v>
      </c>
      <c r="H1515" s="3" t="s">
        <v>4113</v>
      </c>
      <c r="I1515" s="3" t="s">
        <v>4113</v>
      </c>
    </row>
    <row r="1516">
      <c r="A1516" s="3">
        <v>1494.0</v>
      </c>
      <c r="B1516" s="3" t="s">
        <v>189</v>
      </c>
      <c r="C1516" s="3" t="s">
        <v>190</v>
      </c>
      <c r="D1516" s="3" t="s">
        <v>4114</v>
      </c>
      <c r="E1516" s="3" t="s">
        <v>4115</v>
      </c>
      <c r="F1516" s="3" t="s">
        <v>4116</v>
      </c>
      <c r="G1516" s="3" t="str">
        <f>IFERROR(__xludf.DUMMYFUNCTION("GOOGLETRANSLATE(D1516,""fr"",""es"")"),"no'")</f>
        <v>no'</v>
      </c>
    </row>
    <row r="1517">
      <c r="A1517" s="3">
        <v>1495.0</v>
      </c>
      <c r="B1517" s="3" t="s">
        <v>189</v>
      </c>
      <c r="C1517" s="3" t="s">
        <v>190</v>
      </c>
      <c r="D1517" s="3" t="s">
        <v>4117</v>
      </c>
      <c r="E1517" s="3" t="s">
        <v>4118</v>
      </c>
      <c r="F1517" s="3" t="s">
        <v>4119</v>
      </c>
      <c r="G1517" s="3" t="str">
        <f>IFERROR(__xludf.DUMMYFUNCTION("GOOGLETRANSLATE(D1517,""fr"",""es"")"),"góndola")</f>
        <v>góndola</v>
      </c>
      <c r="H1517" s="3" t="s">
        <v>4117</v>
      </c>
    </row>
    <row r="1518">
      <c r="A1518" s="3">
        <v>1496.0</v>
      </c>
      <c r="B1518" s="3" t="s">
        <v>189</v>
      </c>
      <c r="C1518" s="3" t="s">
        <v>190</v>
      </c>
      <c r="D1518" s="3" t="s">
        <v>4120</v>
      </c>
      <c r="E1518" s="3" t="s">
        <v>4118</v>
      </c>
      <c r="F1518" s="3" t="s">
        <v>4119</v>
      </c>
      <c r="G1518" s="3" t="str">
        <f>IFERROR(__xludf.DUMMYFUNCTION("GOOGLETRANSLATE(D1518,""fr"",""es"")"),"cáñulas")</f>
        <v>cáñulas</v>
      </c>
    </row>
    <row r="1519">
      <c r="A1519" s="3">
        <v>1497.0</v>
      </c>
      <c r="B1519" s="3" t="s">
        <v>189</v>
      </c>
      <c r="C1519" s="3" t="s">
        <v>190</v>
      </c>
      <c r="D1519" s="3" t="s">
        <v>4121</v>
      </c>
      <c r="E1519" s="3" t="s">
        <v>4122</v>
      </c>
      <c r="F1519" s="3" t="s">
        <v>4123</v>
      </c>
      <c r="G1519" s="3" t="str">
        <f>IFERROR(__xludf.DUMMYFUNCTION("GOOGLETRANSLATE(D1519,""fr"",""es"")"),"madre perla")</f>
        <v>madre perla</v>
      </c>
      <c r="H1519" s="3" t="s">
        <v>4124</v>
      </c>
      <c r="I1519" s="3" t="s">
        <v>4121</v>
      </c>
    </row>
    <row r="1520">
      <c r="A1520" s="3">
        <v>1498.0</v>
      </c>
      <c r="B1520" s="3" t="s">
        <v>189</v>
      </c>
      <c r="C1520" s="3" t="s">
        <v>190</v>
      </c>
      <c r="D1520" s="3" t="s">
        <v>4125</v>
      </c>
      <c r="E1520" s="3" t="s">
        <v>4122</v>
      </c>
      <c r="F1520" s="3" t="s">
        <v>4123</v>
      </c>
      <c r="G1520" s="3" t="str">
        <f>IFERROR(__xludf.DUMMYFUNCTION("GOOGLETRANSLATE(D1520,""fr"",""es"")"),"asentir")</f>
        <v>asentir</v>
      </c>
    </row>
    <row r="1521">
      <c r="A1521" s="3">
        <v>1499.0</v>
      </c>
      <c r="B1521" s="3" t="s">
        <v>189</v>
      </c>
      <c r="C1521" s="3" t="s">
        <v>190</v>
      </c>
      <c r="D1521" s="3" t="s">
        <v>4126</v>
      </c>
      <c r="E1521" s="3" t="s">
        <v>4122</v>
      </c>
      <c r="F1521" s="3" t="s">
        <v>4123</v>
      </c>
      <c r="G1521" s="3" t="str">
        <f>IFERROR(__xludf.DUMMYFUNCTION("GOOGLETRANSLATE(D1521,""fr"",""es"")"),"perlas")</f>
        <v>perlas</v>
      </c>
    </row>
    <row r="1522">
      <c r="A1522" s="3">
        <v>1500.0</v>
      </c>
      <c r="B1522" s="3" t="s">
        <v>189</v>
      </c>
      <c r="C1522" s="3" t="s">
        <v>190</v>
      </c>
      <c r="D1522" s="3" t="s">
        <v>4127</v>
      </c>
      <c r="E1522" s="3" t="s">
        <v>4128</v>
      </c>
      <c r="F1522" s="3" t="s">
        <v>4129</v>
      </c>
      <c r="G1522" s="3" t="str">
        <f>IFERROR(__xludf.DUMMYFUNCTION("GOOGLETRANSLATE(D1522,""fr"",""es"")"),"enano")</f>
        <v>enano</v>
      </c>
    </row>
    <row r="1523">
      <c r="A1523" s="3">
        <v>1501.0</v>
      </c>
      <c r="B1523" s="3" t="s">
        <v>189</v>
      </c>
      <c r="C1523" s="3" t="s">
        <v>190</v>
      </c>
      <c r="D1523" s="3" t="s">
        <v>4130</v>
      </c>
      <c r="E1523" s="3" t="s">
        <v>4128</v>
      </c>
      <c r="F1523" s="3" t="s">
        <v>4129</v>
      </c>
      <c r="G1523" s="3" t="str">
        <f>IFERROR(__xludf.DUMMYFUNCTION("GOOGLETRANSLATE(D1523,""fr"",""es"")"),"enano")</f>
        <v>enano</v>
      </c>
    </row>
    <row r="1524">
      <c r="A1524" s="3">
        <v>1502.0</v>
      </c>
      <c r="B1524" s="3" t="s">
        <v>189</v>
      </c>
      <c r="C1524" s="3" t="s">
        <v>190</v>
      </c>
      <c r="D1524" s="3" t="s">
        <v>4131</v>
      </c>
      <c r="E1524" s="3" t="s">
        <v>4132</v>
      </c>
      <c r="F1524" s="3" t="s">
        <v>4133</v>
      </c>
      <c r="G1524" s="3" t="str">
        <f>IFERROR(__xludf.DUMMYFUNCTION("GOOGLETRANSLATE(D1524,""fr"",""es"")"),"nanismo")</f>
        <v>nanismo</v>
      </c>
      <c r="H1524" s="3" t="s">
        <v>4134</v>
      </c>
      <c r="I1524" s="3" t="s">
        <v>4135</v>
      </c>
    </row>
    <row r="1525">
      <c r="A1525" s="3">
        <v>1503.0</v>
      </c>
      <c r="B1525" s="3" t="s">
        <v>189</v>
      </c>
      <c r="C1525" s="3" t="s">
        <v>190</v>
      </c>
      <c r="D1525" s="3" t="s">
        <v>4136</v>
      </c>
      <c r="E1525" s="3" t="s">
        <v>4132</v>
      </c>
      <c r="F1525" s="3" t="s">
        <v>4133</v>
      </c>
      <c r="G1525" s="3" t="str">
        <f>IFERROR(__xludf.DUMMYFUNCTION("GOOGLETRANSLATE(D1525,""fr"",""es"")"),"nanismo")</f>
        <v>nanismo</v>
      </c>
    </row>
    <row r="1526">
      <c r="A1526" s="3">
        <v>1504.0</v>
      </c>
      <c r="B1526" s="3" t="s">
        <v>189</v>
      </c>
      <c r="C1526" s="3" t="s">
        <v>190</v>
      </c>
      <c r="D1526" s="3" t="s">
        <v>4137</v>
      </c>
      <c r="E1526" s="3" t="s">
        <v>4138</v>
      </c>
      <c r="F1526" s="3" t="s">
        <v>4139</v>
      </c>
      <c r="G1526" s="3" t="str">
        <f>IFERROR(__xludf.DUMMYFUNCTION("GOOGLETRANSLATE(D1526,""fr"",""es"")"),"Siesta")</f>
        <v>Siesta</v>
      </c>
    </row>
    <row r="1527">
      <c r="A1527" s="3">
        <v>1505.0</v>
      </c>
      <c r="B1527" s="3" t="s">
        <v>189</v>
      </c>
      <c r="C1527" s="3" t="s">
        <v>190</v>
      </c>
      <c r="D1527" s="3" t="s">
        <v>4140</v>
      </c>
      <c r="E1527" s="3" t="s">
        <v>4141</v>
      </c>
      <c r="F1527" s="3" t="s">
        <v>4142</v>
      </c>
      <c r="G1527" s="3" t="str">
        <f>IFERROR(__xludf.DUMMYFUNCTION("GOOGLETRANSLATE(D1527,""fr"",""es"")"),"nappai")</f>
        <v>nappai</v>
      </c>
    </row>
    <row r="1528">
      <c r="A1528" s="3">
        <v>1506.0</v>
      </c>
      <c r="B1528" s="3" t="s">
        <v>189</v>
      </c>
      <c r="C1528" s="3" t="s">
        <v>190</v>
      </c>
      <c r="D1528" s="3" t="s">
        <v>4143</v>
      </c>
      <c r="E1528" s="3" t="s">
        <v>4141</v>
      </c>
      <c r="F1528" s="3" t="s">
        <v>4142</v>
      </c>
      <c r="G1528" s="3" t="str">
        <f>IFERROR(__xludf.DUMMYFUNCTION("GOOGLETRANSLATE(D1528,""fr"",""es"")"),"apaudido")</f>
        <v>apaudido</v>
      </c>
    </row>
    <row r="1529">
      <c r="A1529" s="3">
        <v>1507.0</v>
      </c>
      <c r="B1529" s="3" t="s">
        <v>189</v>
      </c>
      <c r="C1529" s="3" t="s">
        <v>190</v>
      </c>
      <c r="D1529" s="3" t="s">
        <v>4144</v>
      </c>
      <c r="E1529" s="3" t="s">
        <v>4141</v>
      </c>
      <c r="F1529" s="3" t="s">
        <v>4142</v>
      </c>
      <c r="G1529" s="3" t="str">
        <f>IFERROR(__xludf.DUMMYFUNCTION("GOOGLETRANSLATE(D1529,""fr"",""es"")"),"Nappa")</f>
        <v>Nappa</v>
      </c>
    </row>
    <row r="1530">
      <c r="A1530" s="3">
        <v>1508.0</v>
      </c>
      <c r="B1530" s="3" t="s">
        <v>189</v>
      </c>
      <c r="C1530" s="3" t="s">
        <v>190</v>
      </c>
      <c r="D1530" s="3" t="s">
        <v>4145</v>
      </c>
      <c r="E1530" s="3" t="s">
        <v>4141</v>
      </c>
      <c r="F1530" s="3" t="s">
        <v>4142</v>
      </c>
      <c r="G1530" s="3" t="str">
        <f>IFERROR(__xludf.DUMMYFUNCTION("GOOGLETRANSLATE(D1530,""fr"",""es"")"),"pizca")</f>
        <v>pizca</v>
      </c>
    </row>
    <row r="1531">
      <c r="A1531" s="3">
        <v>1509.0</v>
      </c>
      <c r="B1531" s="3" t="s">
        <v>189</v>
      </c>
      <c r="C1531" s="3" t="s">
        <v>190</v>
      </c>
      <c r="D1531" s="3" t="s">
        <v>4146</v>
      </c>
      <c r="E1531" s="3" t="s">
        <v>4147</v>
      </c>
      <c r="F1531" s="3" t="s">
        <v>4148</v>
      </c>
      <c r="G1531" s="3" t="str">
        <f>IFERROR(__xludf.DUMMYFUNCTION("GOOGLETRANSLATE(D1531,""fr"",""es"")"),"siesta")</f>
        <v>siesta</v>
      </c>
    </row>
    <row r="1532">
      <c r="A1532" s="3">
        <v>1510.0</v>
      </c>
      <c r="B1532" s="3" t="s">
        <v>189</v>
      </c>
      <c r="C1532" s="3" t="s">
        <v>190</v>
      </c>
      <c r="D1532" s="3" t="s">
        <v>4149</v>
      </c>
      <c r="E1532" s="3" t="s">
        <v>4150</v>
      </c>
      <c r="F1532" s="3" t="s">
        <v>4151</v>
      </c>
      <c r="G1532" s="3" t="str">
        <f>IFERROR(__xludf.DUMMYFUNCTION("GOOGLETRANSLATE(D1532,""fr"",""es"")"),"pizca")</f>
        <v>pizca</v>
      </c>
    </row>
    <row r="1533">
      <c r="A1533" s="3">
        <v>1511.0</v>
      </c>
      <c r="B1533" s="3" t="s">
        <v>189</v>
      </c>
      <c r="C1533" s="3" t="s">
        <v>190</v>
      </c>
      <c r="D1533" s="3" t="s">
        <v>4152</v>
      </c>
      <c r="E1533" s="3" t="s">
        <v>4150</v>
      </c>
      <c r="F1533" s="3" t="s">
        <v>4151</v>
      </c>
      <c r="G1533" s="3" t="str">
        <f>IFERROR(__xludf.DUMMYFUNCTION("GOOGLETRANSLATE(D1533,""fr"",""es"")"),"pizca")</f>
        <v>pizca</v>
      </c>
    </row>
    <row r="1534">
      <c r="A1534" s="3">
        <v>1512.0</v>
      </c>
      <c r="B1534" s="3" t="s">
        <v>189</v>
      </c>
      <c r="C1534" s="3" t="s">
        <v>190</v>
      </c>
      <c r="D1534" s="3" t="s">
        <v>4153</v>
      </c>
      <c r="E1534" s="3" t="s">
        <v>4150</v>
      </c>
      <c r="F1534" s="3" t="s">
        <v>4151</v>
      </c>
      <c r="G1534" s="3" t="str">
        <f>IFERROR(__xludf.DUMMYFUNCTION("GOOGLETRANSLATE(D1534,""fr"",""es"")"),"trapas")</f>
        <v>trapas</v>
      </c>
    </row>
    <row r="1535">
      <c r="A1535" s="3">
        <v>1513.0</v>
      </c>
      <c r="B1535" s="3" t="s">
        <v>189</v>
      </c>
      <c r="C1535" s="3" t="s">
        <v>190</v>
      </c>
      <c r="D1535" s="3" t="s">
        <v>4154</v>
      </c>
      <c r="E1535" s="3" t="s">
        <v>4138</v>
      </c>
      <c r="F1535" s="3" t="s">
        <v>4139</v>
      </c>
      <c r="G1535" s="3" t="str">
        <f>IFERROR(__xludf.DUMMYFUNCTION("GOOGLETRANSLATE(D1535,""fr"",""es"")"),"capa")</f>
        <v>capa</v>
      </c>
      <c r="H1535" s="3" t="s">
        <v>4155</v>
      </c>
      <c r="I1535" s="3" t="s">
        <v>4156</v>
      </c>
      <c r="J1535" s="3" t="s">
        <v>918</v>
      </c>
      <c r="K1535" s="3" t="s">
        <v>4157</v>
      </c>
    </row>
    <row r="1536">
      <c r="A1536" s="3">
        <v>1514.0</v>
      </c>
      <c r="B1536" s="3" t="s">
        <v>189</v>
      </c>
      <c r="C1536" s="3" t="s">
        <v>190</v>
      </c>
      <c r="D1536" s="3" t="s">
        <v>4158</v>
      </c>
      <c r="E1536" s="3" t="s">
        <v>4138</v>
      </c>
      <c r="F1536" s="3" t="s">
        <v>4139</v>
      </c>
      <c r="G1536" s="3" t="str">
        <f>IFERROR(__xludf.DUMMYFUNCTION("GOOGLETRANSLATE(D1536,""fr"",""es"")"),"Manteles")</f>
        <v>Manteles</v>
      </c>
    </row>
    <row r="1537">
      <c r="A1537" s="3">
        <v>1515.0</v>
      </c>
      <c r="B1537" s="3" t="s">
        <v>189</v>
      </c>
      <c r="C1537" s="3" t="s">
        <v>190</v>
      </c>
      <c r="D1537" s="3" t="s">
        <v>4159</v>
      </c>
      <c r="E1537" s="3" t="s">
        <v>4138</v>
      </c>
      <c r="F1537" s="3" t="s">
        <v>4139</v>
      </c>
      <c r="G1537" s="3" t="str">
        <f>IFERROR(__xludf.DUMMYFUNCTION("GOOGLETRANSLATE(D1537,""fr"",""es"")"),"buhonde")</f>
        <v>buhonde</v>
      </c>
    </row>
    <row r="1538">
      <c r="A1538" s="3">
        <v>1516.0</v>
      </c>
      <c r="B1538" s="3" t="s">
        <v>189</v>
      </c>
      <c r="C1538" s="3" t="s">
        <v>190</v>
      </c>
      <c r="D1538" s="3" t="s">
        <v>4160</v>
      </c>
      <c r="E1538" s="3" t="s">
        <v>4161</v>
      </c>
      <c r="F1538" s="3" t="s">
        <v>4162</v>
      </c>
      <c r="G1538" s="3" t="str">
        <f>IFERROR(__xludf.DUMMYFUNCTION("GOOGLETRANSLATE(D1538,""fr"",""es"")"),"siesta")</f>
        <v>siesta</v>
      </c>
    </row>
    <row r="1539">
      <c r="A1539" s="3">
        <v>1517.0</v>
      </c>
      <c r="B1539" s="3" t="s">
        <v>189</v>
      </c>
      <c r="C1539" s="3" t="s">
        <v>190</v>
      </c>
      <c r="D1539" s="3" t="s">
        <v>4163</v>
      </c>
      <c r="E1539" s="3" t="s">
        <v>4161</v>
      </c>
      <c r="F1539" s="3" t="s">
        <v>4162</v>
      </c>
      <c r="G1539" s="3" t="str">
        <f>IFERROR(__xludf.DUMMYFUNCTION("GOOGLETRANSLATE(D1539,""fr"",""es"")"),"notas")</f>
        <v>notas</v>
      </c>
    </row>
    <row r="1540">
      <c r="A1540" s="3">
        <v>1518.0</v>
      </c>
      <c r="B1540" s="3" t="s">
        <v>189</v>
      </c>
      <c r="C1540" s="3" t="s">
        <v>190</v>
      </c>
      <c r="D1540" s="3" t="s">
        <v>4164</v>
      </c>
      <c r="E1540" s="3" t="s">
        <v>4165</v>
      </c>
      <c r="F1540" s="3" t="s">
        <v>4164</v>
      </c>
      <c r="G1540" s="3" t="str">
        <f>IFERROR(__xludf.DUMMYFUNCTION("GOOGLETRANSLATE(D1540,""fr"",""es"")"),"nativo")</f>
        <v>nativo</v>
      </c>
    </row>
    <row r="1541">
      <c r="A1541" s="3">
        <v>1519.0</v>
      </c>
      <c r="B1541" s="3" t="s">
        <v>189</v>
      </c>
      <c r="C1541" s="3" t="s">
        <v>190</v>
      </c>
      <c r="D1541" s="3" t="s">
        <v>4166</v>
      </c>
      <c r="E1541" s="3" t="s">
        <v>4165</v>
      </c>
      <c r="F1541" s="3" t="s">
        <v>4164</v>
      </c>
      <c r="G1541" s="3" t="str">
        <f>IFERROR(__xludf.DUMMYFUNCTION("GOOGLETRANSLATE(D1541,""fr"",""es"")"),"nativo")</f>
        <v>nativo</v>
      </c>
    </row>
    <row r="1542">
      <c r="A1542" s="3">
        <v>1520.0</v>
      </c>
      <c r="B1542" s="3" t="s">
        <v>189</v>
      </c>
      <c r="C1542" s="3" t="s">
        <v>190</v>
      </c>
      <c r="D1542" s="3" t="s">
        <v>4167</v>
      </c>
      <c r="E1542" s="3" t="s">
        <v>4165</v>
      </c>
      <c r="F1542" s="3" t="s">
        <v>4164</v>
      </c>
      <c r="G1542" s="3" t="str">
        <f>IFERROR(__xludf.DUMMYFUNCTION("GOOGLETRANSLATE(D1542,""fr"",""es"")"),"nativo")</f>
        <v>nativo</v>
      </c>
    </row>
    <row r="1543">
      <c r="A1543" s="3">
        <v>1521.0</v>
      </c>
      <c r="B1543" s="3" t="s">
        <v>189</v>
      </c>
      <c r="C1543" s="3" t="s">
        <v>190</v>
      </c>
      <c r="D1543" s="3" t="s">
        <v>4168</v>
      </c>
      <c r="E1543" s="3" t="s">
        <v>4169</v>
      </c>
      <c r="F1543" s="3" t="s">
        <v>4170</v>
      </c>
      <c r="G1543" s="3" t="str">
        <f>IFERROR(__xludf.DUMMYFUNCTION("GOOGLETRANSLATE(D1543,""fr"",""es"")"),"natalista")</f>
        <v>natalista</v>
      </c>
    </row>
    <row r="1544">
      <c r="A1544" s="3">
        <v>1522.0</v>
      </c>
      <c r="B1544" s="3" t="s">
        <v>189</v>
      </c>
      <c r="C1544" s="3" t="s">
        <v>190</v>
      </c>
      <c r="D1544" s="3" t="s">
        <v>4171</v>
      </c>
      <c r="E1544" s="3" t="s">
        <v>4169</v>
      </c>
      <c r="F1544" s="3" t="s">
        <v>4170</v>
      </c>
      <c r="G1544" s="3" t="str">
        <f>IFERROR(__xludf.DUMMYFUNCTION("GOOGLETRANSLATE(D1544,""fr"",""es"")"),"natalistas")</f>
        <v>natalistas</v>
      </c>
    </row>
    <row r="1545">
      <c r="A1545" s="3">
        <v>1523.0</v>
      </c>
      <c r="B1545" s="3" t="s">
        <v>189</v>
      </c>
      <c r="C1545" s="3" t="s">
        <v>190</v>
      </c>
      <c r="D1545" s="3" t="s">
        <v>4172</v>
      </c>
      <c r="E1545" s="3" t="s">
        <v>4165</v>
      </c>
      <c r="F1545" s="3" t="s">
        <v>4164</v>
      </c>
      <c r="G1545" s="3" t="str">
        <f>IFERROR(__xludf.DUMMYFUNCTION("GOOGLETRANSLATE(D1545,""fr"",""es"")"),"nativo")</f>
        <v>nativo</v>
      </c>
    </row>
    <row r="1546">
      <c r="A1546" s="3">
        <v>1524.0</v>
      </c>
      <c r="B1546" s="3" t="s">
        <v>189</v>
      </c>
      <c r="C1546" s="3" t="s">
        <v>190</v>
      </c>
      <c r="D1546" s="3" t="s">
        <v>4173</v>
      </c>
      <c r="E1546" s="3" t="s">
        <v>4174</v>
      </c>
      <c r="F1546" s="3" t="s">
        <v>4175</v>
      </c>
      <c r="G1546" s="3" t="str">
        <f>IFERROR(__xludf.DUMMYFUNCTION("GOOGLETRANSLATE(D1546,""fr"",""es"")"),"nattai")</f>
        <v>nattai</v>
      </c>
    </row>
    <row r="1547">
      <c r="A1547" s="3">
        <v>1525.0</v>
      </c>
      <c r="B1547" s="3" t="s">
        <v>189</v>
      </c>
      <c r="C1547" s="3" t="s">
        <v>190</v>
      </c>
      <c r="D1547" s="3" t="s">
        <v>4176</v>
      </c>
      <c r="E1547" s="3" t="s">
        <v>4174</v>
      </c>
      <c r="F1547" s="3" t="s">
        <v>4175</v>
      </c>
      <c r="G1547" s="3" t="str">
        <f>IFERROR(__xludf.DUMMYFUNCTION("GOOGLETRANSLATE(D1547,""fr"",""es"")"),"nació")</f>
        <v>nació</v>
      </c>
    </row>
    <row r="1548">
      <c r="A1548" s="3">
        <v>1526.0</v>
      </c>
      <c r="B1548" s="3" t="s">
        <v>189</v>
      </c>
      <c r="C1548" s="3" t="s">
        <v>190</v>
      </c>
      <c r="D1548" s="3" t="s">
        <v>4177</v>
      </c>
      <c r="E1548" s="3" t="s">
        <v>4174</v>
      </c>
      <c r="F1548" s="3" t="s">
        <v>4175</v>
      </c>
      <c r="G1548" s="3" t="str">
        <f>IFERROR(__xludf.DUMMYFUNCTION("GOOGLETRANSLATE(D1548,""fr"",""es"")"),"Nattais")</f>
        <v>Nattais</v>
      </c>
    </row>
    <row r="1549">
      <c r="A1549" s="3">
        <v>1527.0</v>
      </c>
      <c r="B1549" s="3" t="s">
        <v>189</v>
      </c>
      <c r="C1549" s="3" t="s">
        <v>190</v>
      </c>
      <c r="D1549" s="3" t="s">
        <v>4178</v>
      </c>
      <c r="E1549" s="3" t="s">
        <v>4174</v>
      </c>
      <c r="F1549" s="3" t="s">
        <v>4175</v>
      </c>
      <c r="G1549" s="3" t="str">
        <f>IFERROR(__xludf.DUMMYFUNCTION("GOOGLETRANSLATE(D1549,""fr"",""es"")"),"nació")</f>
        <v>nació</v>
      </c>
    </row>
    <row r="1550">
      <c r="A1550" s="3">
        <v>1528.0</v>
      </c>
      <c r="B1550" s="3" t="s">
        <v>189</v>
      </c>
      <c r="C1550" s="3" t="s">
        <v>190</v>
      </c>
      <c r="D1550" s="3" t="s">
        <v>4179</v>
      </c>
      <c r="E1550" s="3" t="s">
        <v>4180</v>
      </c>
      <c r="F1550" s="3" t="s">
        <v>4181</v>
      </c>
      <c r="G1550" s="3" t="str">
        <f>IFERROR(__xludf.DUMMYFUNCTION("GOOGLETRANSLATE(D1550,""fr"",""es"")"),"nattâme")</f>
        <v>nattâme</v>
      </c>
    </row>
    <row r="1551">
      <c r="A1551" s="3">
        <v>1529.0</v>
      </c>
      <c r="B1551" s="3" t="s">
        <v>189</v>
      </c>
      <c r="C1551" s="3" t="s">
        <v>190</v>
      </c>
      <c r="D1551" s="3" t="s">
        <v>4182</v>
      </c>
      <c r="E1551" s="3" t="s">
        <v>4183</v>
      </c>
      <c r="F1551" s="3" t="s">
        <v>4184</v>
      </c>
      <c r="G1551" s="3" t="str">
        <f>IFERROR(__xludf.DUMMYFUNCTION("GOOGLETRANSLATE(D1551,""fr"",""es"")"),"Natticess")</f>
        <v>Natticess</v>
      </c>
    </row>
    <row r="1552">
      <c r="A1552" s="3">
        <v>1530.0</v>
      </c>
      <c r="B1552" s="3" t="s">
        <v>189</v>
      </c>
      <c r="C1552" s="3" t="s">
        <v>190</v>
      </c>
      <c r="D1552" s="3" t="s">
        <v>4185</v>
      </c>
      <c r="E1552" s="3" t="s">
        <v>4183</v>
      </c>
      <c r="F1552" s="3" t="s">
        <v>4184</v>
      </c>
      <c r="G1552" s="3" t="str">
        <f>IFERROR(__xludf.DUMMYFUNCTION("GOOGLETRANSLATE(D1552,""fr"",""es"")"),"nattesent")</f>
        <v>nattesent</v>
      </c>
    </row>
    <row r="1553">
      <c r="A1553" s="3">
        <v>1531.0</v>
      </c>
      <c r="B1553" s="3" t="s">
        <v>189</v>
      </c>
      <c r="C1553" s="3" t="s">
        <v>190</v>
      </c>
      <c r="D1553" s="3" t="s">
        <v>4186</v>
      </c>
      <c r="E1553" s="3" t="s">
        <v>4183</v>
      </c>
      <c r="F1553" s="3" t="s">
        <v>4184</v>
      </c>
      <c r="G1553" s="3" t="str">
        <f>IFERROR(__xludf.DUMMYFUNCTION("GOOGLETRANSLATE(D1553,""fr"",""es"")"),"nattasses")</f>
        <v>nattasses</v>
      </c>
    </row>
    <row r="1554">
      <c r="A1554" s="3">
        <v>1532.0</v>
      </c>
      <c r="B1554" s="3" t="s">
        <v>189</v>
      </c>
      <c r="C1554" s="3" t="s">
        <v>190</v>
      </c>
      <c r="D1554" s="3" t="s">
        <v>4187</v>
      </c>
      <c r="E1554" s="3" t="s">
        <v>4188</v>
      </c>
      <c r="F1554" s="3" t="s">
        <v>4187</v>
      </c>
      <c r="G1554" s="3" t="str">
        <f>IFERROR(__xludf.DUMMYFUNCTION("GOOGLETRANSLATE(D1554,""fr"",""es"")"),"ninguno de los dos")</f>
        <v>ninguno de los dos</v>
      </c>
      <c r="H1554" s="3" t="s">
        <v>4189</v>
      </c>
      <c r="I1554" s="3" t="s">
        <v>4190</v>
      </c>
      <c r="J1554" s="3" t="s">
        <v>4191</v>
      </c>
    </row>
    <row r="1555">
      <c r="A1555" s="3">
        <v>1533.0</v>
      </c>
      <c r="B1555" s="3" t="s">
        <v>189</v>
      </c>
      <c r="C1555" s="3" t="s">
        <v>190</v>
      </c>
      <c r="D1555" s="3" t="s">
        <v>4192</v>
      </c>
      <c r="E1555" s="3" t="s">
        <v>4193</v>
      </c>
      <c r="F1555" s="3" t="s">
        <v>4194</v>
      </c>
      <c r="G1555" s="3" t="str">
        <f>IFERROR(__xludf.DUMMYFUNCTION("GOOGLETRANSLATE(D1555,""fr"",""es"")"),"Nichai")</f>
        <v>Nichai</v>
      </c>
    </row>
    <row r="1556">
      <c r="A1556" s="3">
        <v>1534.0</v>
      </c>
      <c r="B1556" s="3" t="s">
        <v>189</v>
      </c>
      <c r="C1556" s="3" t="s">
        <v>190</v>
      </c>
      <c r="D1556" s="3" t="s">
        <v>4195</v>
      </c>
      <c r="E1556" s="3" t="s">
        <v>4193</v>
      </c>
      <c r="F1556" s="3" t="s">
        <v>4194</v>
      </c>
      <c r="G1556" s="3" t="str">
        <f>IFERROR(__xludf.DUMMYFUNCTION("GOOGLETRANSLATE(D1556,""fr"",""es"")"),"nicho")</f>
        <v>nicho</v>
      </c>
    </row>
    <row r="1557">
      <c r="A1557" s="3">
        <v>1535.0</v>
      </c>
      <c r="B1557" s="3" t="s">
        <v>189</v>
      </c>
      <c r="C1557" s="3" t="s">
        <v>190</v>
      </c>
      <c r="D1557" s="3" t="s">
        <v>4196</v>
      </c>
      <c r="E1557" s="3" t="s">
        <v>4193</v>
      </c>
      <c r="F1557" s="3" t="s">
        <v>4194</v>
      </c>
      <c r="G1557" s="3" t="str">
        <f>IFERROR(__xludf.DUMMYFUNCTION("GOOGLETRANSLATE(D1557,""fr"",""es"")"),"nichais")</f>
        <v>nichais</v>
      </c>
    </row>
    <row r="1558">
      <c r="A1558" s="3">
        <v>1536.0</v>
      </c>
      <c r="B1558" s="3" t="s">
        <v>189</v>
      </c>
      <c r="C1558" s="3" t="s">
        <v>190</v>
      </c>
      <c r="D1558" s="3" t="s">
        <v>4197</v>
      </c>
      <c r="E1558" s="3" t="s">
        <v>4193</v>
      </c>
      <c r="F1558" s="3" t="s">
        <v>4194</v>
      </c>
      <c r="G1558" s="3" t="str">
        <f>IFERROR(__xludf.DUMMYFUNCTION("GOOGLETRANSLATE(D1558,""fr"",""es"")"),"nicha")</f>
        <v>nicha</v>
      </c>
    </row>
    <row r="1559">
      <c r="A1559" s="3">
        <v>1537.0</v>
      </c>
      <c r="B1559" s="3" t="s">
        <v>189</v>
      </c>
      <c r="C1559" s="3" t="s">
        <v>190</v>
      </c>
      <c r="D1559" s="3" t="s">
        <v>4198</v>
      </c>
      <c r="E1559" s="3" t="s">
        <v>4199</v>
      </c>
      <c r="F1559" s="3" t="s">
        <v>4200</v>
      </c>
      <c r="G1559" s="3" t="str">
        <f>IFERROR(__xludf.DUMMYFUNCTION("GOOGLETRANSLATE(D1559,""fr"",""es"")"),"nichâme")</f>
        <v>nichâme</v>
      </c>
    </row>
    <row r="1560">
      <c r="A1560" s="3">
        <v>1538.0</v>
      </c>
      <c r="B1560" s="3" t="s">
        <v>189</v>
      </c>
      <c r="C1560" s="3" t="s">
        <v>190</v>
      </c>
      <c r="D1560" s="3" t="s">
        <v>4201</v>
      </c>
      <c r="E1560" s="3" t="s">
        <v>4202</v>
      </c>
      <c r="F1560" s="3" t="s">
        <v>4203</v>
      </c>
      <c r="G1560" s="3" t="str">
        <f>IFERROR(__xludf.DUMMYFUNCTION("GOOGLETRANSLATE(D1560,""fr"",""es"")"),"nichasse")</f>
        <v>nichasse</v>
      </c>
    </row>
    <row r="1561">
      <c r="A1561" s="3">
        <v>1539.0</v>
      </c>
      <c r="B1561" s="3" t="s">
        <v>189</v>
      </c>
      <c r="C1561" s="3" t="s">
        <v>190</v>
      </c>
      <c r="D1561" s="3" t="s">
        <v>4204</v>
      </c>
      <c r="E1561" s="3" t="s">
        <v>4202</v>
      </c>
      <c r="F1561" s="3" t="s">
        <v>4203</v>
      </c>
      <c r="G1561" s="3" t="str">
        <f>IFERROR(__xludf.DUMMYFUNCTION("GOOGLETRANSLATE(D1561,""fr"",""es"")"),"nichass")</f>
        <v>nichass</v>
      </c>
    </row>
    <row r="1562">
      <c r="A1562" s="3">
        <v>1540.0</v>
      </c>
      <c r="B1562" s="3" t="s">
        <v>189</v>
      </c>
      <c r="C1562" s="3" t="s">
        <v>190</v>
      </c>
      <c r="D1562" s="3" t="s">
        <v>4205</v>
      </c>
      <c r="E1562" s="3" t="s">
        <v>4202</v>
      </c>
      <c r="F1562" s="3" t="s">
        <v>4203</v>
      </c>
      <c r="G1562" s="3" t="str">
        <f>IFERROR(__xludf.DUMMYFUNCTION("GOOGLETRANSLATE(D1562,""fr"",""es"")"),"nichass")</f>
        <v>nichass</v>
      </c>
    </row>
    <row r="1563">
      <c r="A1563" s="3">
        <v>1541.0</v>
      </c>
      <c r="B1563" s="3" t="s">
        <v>189</v>
      </c>
      <c r="C1563" s="3" t="s">
        <v>190</v>
      </c>
      <c r="D1563" s="3" t="s">
        <v>4206</v>
      </c>
      <c r="E1563" s="3" t="s">
        <v>4207</v>
      </c>
      <c r="F1563" s="3" t="s">
        <v>4208</v>
      </c>
      <c r="G1563" s="3" t="str">
        <f>IFERROR(__xludf.DUMMYFUNCTION("GOOGLETRANSLATE(D1563,""fr"",""es"")"),"nicho")</f>
        <v>nicho</v>
      </c>
      <c r="H1563" s="3" t="s">
        <v>4209</v>
      </c>
      <c r="I1563" s="3" t="s">
        <v>4210</v>
      </c>
      <c r="J1563" s="3" t="s">
        <v>4211</v>
      </c>
      <c r="K1563" s="3" t="s">
        <v>4212</v>
      </c>
      <c r="L1563" s="3" t="s">
        <v>4206</v>
      </c>
      <c r="M1563" s="3" t="s">
        <v>4210</v>
      </c>
      <c r="N1563" s="3" t="s">
        <v>4212</v>
      </c>
      <c r="O1563" s="3" t="s">
        <v>4213</v>
      </c>
      <c r="P1563" s="3" t="s">
        <v>4206</v>
      </c>
      <c r="Q1563" s="3" t="s">
        <v>4214</v>
      </c>
    </row>
    <row r="1564">
      <c r="A1564" s="3">
        <v>1542.0</v>
      </c>
      <c r="B1564" s="3" t="s">
        <v>189</v>
      </c>
      <c r="C1564" s="3" t="s">
        <v>190</v>
      </c>
      <c r="D1564" s="3" t="s">
        <v>4215</v>
      </c>
      <c r="E1564" s="3" t="s">
        <v>4207</v>
      </c>
      <c r="F1564" s="3" t="s">
        <v>4208</v>
      </c>
      <c r="G1564" s="3" t="str">
        <f>IFERROR(__xludf.DUMMYFUNCTION("GOOGLETRANSLATE(D1564,""fr"",""es"")"),"nicho")</f>
        <v>nicho</v>
      </c>
    </row>
    <row r="1565">
      <c r="A1565" s="3">
        <v>1543.0</v>
      </c>
      <c r="B1565" s="3" t="s">
        <v>189</v>
      </c>
      <c r="C1565" s="3" t="s">
        <v>190</v>
      </c>
      <c r="D1565" s="3" t="s">
        <v>4216</v>
      </c>
      <c r="E1565" s="3" t="s">
        <v>4207</v>
      </c>
      <c r="F1565" s="3" t="s">
        <v>4208</v>
      </c>
      <c r="G1565" s="3" t="str">
        <f>IFERROR(__xludf.DUMMYFUNCTION("GOOGLETRANSLATE(D1565,""fr"",""es"")"),"nichos")</f>
        <v>nichos</v>
      </c>
    </row>
    <row r="1566">
      <c r="A1566" s="3">
        <v>1544.0</v>
      </c>
      <c r="B1566" s="3" t="s">
        <v>189</v>
      </c>
      <c r="C1566" s="3" t="s">
        <v>190</v>
      </c>
      <c r="D1566" s="3" t="s">
        <v>4189</v>
      </c>
      <c r="E1566" s="3" t="s">
        <v>4217</v>
      </c>
      <c r="F1566" s="3" t="s">
        <v>4218</v>
      </c>
      <c r="G1566" s="3" t="str">
        <f>IFERROR(__xludf.DUMMYFUNCTION("GOOGLETRANSLATE(D1566,""fr"",""es"")"),"níquel")</f>
        <v>níquel</v>
      </c>
      <c r="H1566" s="3" t="s">
        <v>4219</v>
      </c>
      <c r="I1566" s="3" t="s">
        <v>4220</v>
      </c>
      <c r="J1566" s="3" t="s">
        <v>4221</v>
      </c>
      <c r="K1566" s="3" t="s">
        <v>4222</v>
      </c>
      <c r="L1566" s="3" t="s">
        <v>4223</v>
      </c>
      <c r="M1566" s="3" t="s">
        <v>4224</v>
      </c>
      <c r="N1566" s="3" t="s">
        <v>4225</v>
      </c>
      <c r="O1566" s="3" t="s">
        <v>4189</v>
      </c>
      <c r="P1566" s="3" t="s">
        <v>4189</v>
      </c>
      <c r="Q1566" s="3" t="s">
        <v>4189</v>
      </c>
      <c r="R1566" s="3" t="s">
        <v>4226</v>
      </c>
      <c r="S1566" s="3" t="s">
        <v>4189</v>
      </c>
      <c r="T1566" s="3" t="s">
        <v>4190</v>
      </c>
      <c r="U1566" s="3" t="s">
        <v>4191</v>
      </c>
    </row>
    <row r="1567">
      <c r="A1567" s="3">
        <v>1545.0</v>
      </c>
      <c r="B1567" s="3" t="s">
        <v>189</v>
      </c>
      <c r="C1567" s="3" t="s">
        <v>190</v>
      </c>
      <c r="D1567" s="3" t="s">
        <v>4227</v>
      </c>
      <c r="E1567" s="3" t="s">
        <v>4228</v>
      </c>
      <c r="F1567" s="3" t="s">
        <v>4229</v>
      </c>
      <c r="G1567" s="3" t="str">
        <f>IFERROR(__xludf.DUMMYFUNCTION("GOOGLETRANSLATE(D1567,""fr"",""es"")"),"níquel")</f>
        <v>níquel</v>
      </c>
    </row>
    <row r="1568">
      <c r="A1568" s="3">
        <v>1546.0</v>
      </c>
      <c r="B1568" s="3" t="s">
        <v>189</v>
      </c>
      <c r="C1568" s="3" t="s">
        <v>190</v>
      </c>
      <c r="D1568" s="3" t="s">
        <v>4230</v>
      </c>
      <c r="E1568" s="3" t="s">
        <v>4217</v>
      </c>
      <c r="F1568" s="3" t="s">
        <v>4218</v>
      </c>
      <c r="G1568" s="3" t="str">
        <f>IFERROR(__xludf.DUMMYFUNCTION("GOOGLETRANSLATE(D1568,""fr"",""es"")"),"níquela")</f>
        <v>níquela</v>
      </c>
    </row>
    <row r="1569">
      <c r="A1569" s="3">
        <v>1547.0</v>
      </c>
      <c r="B1569" s="3" t="s">
        <v>189</v>
      </c>
      <c r="C1569" s="3" t="s">
        <v>190</v>
      </c>
      <c r="D1569" s="3" t="s">
        <v>4231</v>
      </c>
      <c r="E1569" s="3" t="s">
        <v>4217</v>
      </c>
      <c r="F1569" s="3" t="s">
        <v>4218</v>
      </c>
      <c r="G1569" s="3" t="str">
        <f>IFERROR(__xludf.DUMMYFUNCTION("GOOGLETRANSLATE(D1569,""fr"",""es"")"),"níquel")</f>
        <v>níquel</v>
      </c>
    </row>
    <row r="1570">
      <c r="A1570" s="3">
        <v>1548.0</v>
      </c>
      <c r="B1570" s="3" t="s">
        <v>189</v>
      </c>
      <c r="C1570" s="3" t="s">
        <v>190</v>
      </c>
      <c r="D1570" s="3" t="s">
        <v>4232</v>
      </c>
      <c r="E1570" s="3" t="s">
        <v>4217</v>
      </c>
      <c r="F1570" s="3" t="s">
        <v>4218</v>
      </c>
      <c r="G1570" s="3" t="str">
        <f>IFERROR(__xludf.DUMMYFUNCTION("GOOGLETRANSLATE(D1570,""fr"",""es"")"),"monedas de hojas")</f>
        <v>monedas de hojas</v>
      </c>
    </row>
    <row r="1571">
      <c r="A1571" s="3">
        <v>1549.0</v>
      </c>
      <c r="B1571" s="3" t="s">
        <v>189</v>
      </c>
      <c r="C1571" s="3" t="s">
        <v>190</v>
      </c>
      <c r="D1571" s="3" t="s">
        <v>4233</v>
      </c>
      <c r="E1571" s="3" t="s">
        <v>4217</v>
      </c>
      <c r="F1571" s="3" t="s">
        <v>4218</v>
      </c>
      <c r="G1571" s="3" t="str">
        <f>IFERROR(__xludf.DUMMYFUNCTION("GOOGLETRANSLATE(D1571,""fr"",""es"")"),"monedas de hojas")</f>
        <v>monedas de hojas</v>
      </c>
    </row>
    <row r="1572">
      <c r="A1572" s="3">
        <v>1550.0</v>
      </c>
      <c r="B1572" s="3" t="s">
        <v>189</v>
      </c>
      <c r="C1572" s="3" t="s">
        <v>190</v>
      </c>
      <c r="D1572" s="3" t="s">
        <v>4234</v>
      </c>
      <c r="E1572" s="3" t="s">
        <v>4188</v>
      </c>
      <c r="F1572" s="3" t="s">
        <v>4187</v>
      </c>
      <c r="G1572" s="3" t="str">
        <f>IFERROR(__xludf.DUMMYFUNCTION("GOOGLETRANSLATE(D1572,""fr"",""es"")"),"nido")</f>
        <v>nido</v>
      </c>
      <c r="H1572" s="3" t="s">
        <v>4235</v>
      </c>
      <c r="I1572" s="3" t="s">
        <v>4236</v>
      </c>
      <c r="J1572" s="3" t="s">
        <v>4237</v>
      </c>
      <c r="K1572" s="3" t="s">
        <v>4238</v>
      </c>
      <c r="L1572" s="3" t="s">
        <v>4235</v>
      </c>
      <c r="M1572" s="3" t="s">
        <v>4239</v>
      </c>
      <c r="N1572" s="3" t="s">
        <v>4240</v>
      </c>
      <c r="O1572" s="3" t="s">
        <v>4235</v>
      </c>
      <c r="P1572" s="3" t="s">
        <v>4235</v>
      </c>
      <c r="Q1572" s="3" t="s">
        <v>4235</v>
      </c>
      <c r="R1572" s="3" t="s">
        <v>4235</v>
      </c>
      <c r="S1572" s="3" t="s">
        <v>4235</v>
      </c>
      <c r="T1572" s="3" t="s">
        <v>4241</v>
      </c>
      <c r="U1572" s="3" t="s">
        <v>998</v>
      </c>
      <c r="V1572" s="3" t="s">
        <v>4235</v>
      </c>
      <c r="W1572" s="3" t="s">
        <v>4235</v>
      </c>
    </row>
    <row r="1573">
      <c r="A1573" s="3">
        <v>1551.0</v>
      </c>
      <c r="B1573" s="3" t="s">
        <v>189</v>
      </c>
      <c r="C1573" s="3" t="s">
        <v>190</v>
      </c>
      <c r="D1573" s="3" t="s">
        <v>4242</v>
      </c>
      <c r="E1573" s="3" t="s">
        <v>4188</v>
      </c>
      <c r="F1573" s="3" t="s">
        <v>4187</v>
      </c>
      <c r="G1573" s="3" t="str">
        <f>IFERROR(__xludf.DUMMYFUNCTION("GOOGLETRANSLATE(D1573,""fr"",""es"")"),"nidos")</f>
        <v>nidos</v>
      </c>
    </row>
    <row r="1574">
      <c r="A1574" s="3">
        <v>1552.0</v>
      </c>
      <c r="B1574" s="3" t="s">
        <v>189</v>
      </c>
      <c r="C1574" s="3" t="s">
        <v>190</v>
      </c>
      <c r="D1574" s="3" t="s">
        <v>4243</v>
      </c>
      <c r="E1574" s="3" t="s">
        <v>4188</v>
      </c>
      <c r="F1574" s="3" t="s">
        <v>4187</v>
      </c>
      <c r="G1574" s="3" t="str">
        <f>IFERROR(__xludf.DUMMYFUNCTION("GOOGLETRANSLATE(D1574,""fr"",""es"")"),"nie")</f>
        <v>nie</v>
      </c>
    </row>
    <row r="1575">
      <c r="A1575" s="3">
        <v>1553.0</v>
      </c>
      <c r="B1575" s="3" t="s">
        <v>189</v>
      </c>
      <c r="C1575" s="3" t="s">
        <v>190</v>
      </c>
      <c r="D1575" s="3" t="s">
        <v>4244</v>
      </c>
      <c r="E1575" s="3" t="s">
        <v>4188</v>
      </c>
      <c r="F1575" s="3" t="s">
        <v>4187</v>
      </c>
      <c r="G1575" s="3" t="str">
        <f>IFERROR(__xludf.DUMMYFUNCTION("GOOGLETRANSLATE(D1575,""fr"",""es"")"),"negar")</f>
        <v>negar</v>
      </c>
    </row>
    <row r="1576">
      <c r="A1576" s="3">
        <v>1554.0</v>
      </c>
      <c r="B1576" s="3" t="s">
        <v>189</v>
      </c>
      <c r="C1576" s="3" t="s">
        <v>190</v>
      </c>
      <c r="D1576" s="3" t="s">
        <v>4245</v>
      </c>
      <c r="E1576" s="3" t="s">
        <v>4188</v>
      </c>
      <c r="F1576" s="3" t="s">
        <v>4187</v>
      </c>
      <c r="G1576" s="3" t="str">
        <f>IFERROR(__xludf.DUMMYFUNCTION("GOOGLETRANSLATE(D1576,""fr"",""es"")"),"nies")</f>
        <v>nies</v>
      </c>
    </row>
    <row r="1577">
      <c r="A1577" s="3">
        <v>1555.0</v>
      </c>
      <c r="B1577" s="3" t="s">
        <v>189</v>
      </c>
      <c r="C1577" s="3" t="s">
        <v>190</v>
      </c>
      <c r="D1577" s="3" t="s">
        <v>4246</v>
      </c>
      <c r="E1577" s="3" t="s">
        <v>4247</v>
      </c>
      <c r="F1577" s="3" t="s">
        <v>4248</v>
      </c>
      <c r="G1577" s="3" t="str">
        <f>IFERROR(__xludf.DUMMYFUNCTION("GOOGLETRANSLATE(D1577,""fr"",""es"")"),"Nilo")</f>
        <v>Nilo</v>
      </c>
      <c r="H1577" s="3" t="s">
        <v>4249</v>
      </c>
      <c r="I1577" s="3" t="s">
        <v>4250</v>
      </c>
    </row>
    <row r="1578">
      <c r="A1578" s="3">
        <v>1556.0</v>
      </c>
      <c r="B1578" s="3" t="s">
        <v>189</v>
      </c>
      <c r="C1578" s="3" t="s">
        <v>190</v>
      </c>
      <c r="D1578" s="3" t="s">
        <v>4251</v>
      </c>
      <c r="E1578" s="3" t="s">
        <v>4252</v>
      </c>
      <c r="F1578" s="3" t="s">
        <v>4251</v>
      </c>
      <c r="G1578" s="3" t="str">
        <f>IFERROR(__xludf.DUMMYFUNCTION("GOOGLETRANSLATE(D1578,""fr"",""es"")"),"Ninos")</f>
        <v>Ninos</v>
      </c>
    </row>
    <row r="1579">
      <c r="A1579" s="3">
        <v>1557.0</v>
      </c>
      <c r="B1579" s="3" t="s">
        <v>189</v>
      </c>
      <c r="C1579" s="3" t="s">
        <v>190</v>
      </c>
      <c r="D1579" s="3" t="s">
        <v>4253</v>
      </c>
      <c r="E1579" s="3" t="s">
        <v>4254</v>
      </c>
      <c r="F1579" s="3" t="s">
        <v>4255</v>
      </c>
      <c r="G1579" s="3" t="str">
        <f>IFERROR(__xludf.DUMMYFUNCTION("GOOGLETRANSLATE(D1579,""fr"",""es"")"),"Nippai")</f>
        <v>Nippai</v>
      </c>
    </row>
    <row r="1580">
      <c r="A1580" s="3">
        <v>1558.0</v>
      </c>
      <c r="B1580" s="3" t="s">
        <v>189</v>
      </c>
      <c r="C1580" s="3" t="s">
        <v>190</v>
      </c>
      <c r="D1580" s="3" t="s">
        <v>4256</v>
      </c>
      <c r="E1580" s="3" t="s">
        <v>4254</v>
      </c>
      <c r="F1580" s="3" t="s">
        <v>4255</v>
      </c>
      <c r="G1580" s="3" t="str">
        <f>IFERROR(__xludf.DUMMYFUNCTION("GOOGLETRANSLATE(D1580,""fr"",""es"")"),"Juniah")</f>
        <v>Juniah</v>
      </c>
    </row>
    <row r="1581">
      <c r="A1581" s="3">
        <v>1559.0</v>
      </c>
      <c r="B1581" s="3" t="s">
        <v>189</v>
      </c>
      <c r="C1581" s="3" t="s">
        <v>190</v>
      </c>
      <c r="D1581" s="3" t="s">
        <v>4257</v>
      </c>
      <c r="E1581" s="3" t="s">
        <v>4254</v>
      </c>
      <c r="F1581" s="3" t="s">
        <v>4255</v>
      </c>
      <c r="G1581" s="3" t="str">
        <f>IFERROR(__xludf.DUMMYFUNCTION("GOOGLETRANSLATE(D1581,""fr"",""es"")"),"Nippais")</f>
        <v>Nippais</v>
      </c>
    </row>
    <row r="1582">
      <c r="A1582" s="3">
        <v>1560.0</v>
      </c>
      <c r="B1582" s="3" t="s">
        <v>189</v>
      </c>
      <c r="C1582" s="3" t="s">
        <v>190</v>
      </c>
      <c r="D1582" s="3" t="s">
        <v>4258</v>
      </c>
      <c r="E1582" s="3" t="s">
        <v>4254</v>
      </c>
      <c r="F1582" s="3" t="s">
        <v>4255</v>
      </c>
      <c r="G1582" s="3" t="str">
        <f>IFERROR(__xludf.DUMMYFUNCTION("GOOGLETRANSLATE(D1582,""fr"",""es"")"),"júnior")</f>
        <v>júnior</v>
      </c>
    </row>
    <row r="1583">
      <c r="A1583" s="3">
        <v>1561.0</v>
      </c>
      <c r="B1583" s="3" t="s">
        <v>189</v>
      </c>
      <c r="C1583" s="3" t="s">
        <v>190</v>
      </c>
      <c r="D1583" s="3" t="s">
        <v>4259</v>
      </c>
      <c r="E1583" s="3" t="s">
        <v>4260</v>
      </c>
      <c r="F1583" s="3" t="s">
        <v>4261</v>
      </c>
      <c r="G1583" s="3" t="str">
        <f>IFERROR(__xludf.DUMMYFUNCTION("GOOGLETRANSLATE(D1583,""fr"",""es"")"),"nipp")</f>
        <v>nipp</v>
      </c>
    </row>
    <row r="1584">
      <c r="A1584" s="3">
        <v>1562.0</v>
      </c>
      <c r="B1584" s="3" t="s">
        <v>189</v>
      </c>
      <c r="C1584" s="3" t="s">
        <v>190</v>
      </c>
      <c r="D1584" s="3" t="s">
        <v>4262</v>
      </c>
      <c r="E1584" s="3" t="s">
        <v>4263</v>
      </c>
      <c r="F1584" s="3" t="s">
        <v>4264</v>
      </c>
      <c r="G1584" s="3" t="str">
        <f>IFERROR(__xludf.DUMMYFUNCTION("GOOGLETRANSLATE(D1584,""fr"",""es"")"),"Nippasse")</f>
        <v>Nippasse</v>
      </c>
    </row>
    <row r="1585">
      <c r="A1585" s="3">
        <v>1563.0</v>
      </c>
      <c r="B1585" s="3" t="s">
        <v>189</v>
      </c>
      <c r="C1585" s="3" t="s">
        <v>190</v>
      </c>
      <c r="D1585" s="3" t="s">
        <v>4265</v>
      </c>
      <c r="E1585" s="3" t="s">
        <v>4263</v>
      </c>
      <c r="F1585" s="3" t="s">
        <v>4264</v>
      </c>
      <c r="G1585" s="3" t="str">
        <f>IFERROR(__xludf.DUMMYFUNCTION("GOOGLETRANSLATE(D1585,""fr"",""es"")"),"nippass")</f>
        <v>nippass</v>
      </c>
    </row>
    <row r="1586">
      <c r="A1586" s="3">
        <v>1564.0</v>
      </c>
      <c r="B1586" s="3" t="s">
        <v>189</v>
      </c>
      <c r="C1586" s="3" t="s">
        <v>190</v>
      </c>
      <c r="D1586" s="3" t="s">
        <v>4266</v>
      </c>
      <c r="E1586" s="3" t="s">
        <v>4263</v>
      </c>
      <c r="F1586" s="3" t="s">
        <v>4264</v>
      </c>
      <c r="G1586" s="3" t="str">
        <f>IFERROR(__xludf.DUMMYFUNCTION("GOOGLETRANSLATE(D1586,""fr"",""es"")"),"Nippasses")</f>
        <v>Nippasses</v>
      </c>
    </row>
    <row r="1587">
      <c r="A1587" s="3">
        <v>1565.0</v>
      </c>
      <c r="B1587" s="3" t="s">
        <v>189</v>
      </c>
      <c r="C1587" s="3" t="s">
        <v>190</v>
      </c>
      <c r="D1587" s="3" t="s">
        <v>4267</v>
      </c>
      <c r="E1587" s="3" t="s">
        <v>4268</v>
      </c>
      <c r="F1587" s="3" t="s">
        <v>4269</v>
      </c>
      <c r="G1587" s="3" t="str">
        <f>IFERROR(__xludf.DUMMYFUNCTION("GOOGLETRANSLATE(D1587,""fr"",""es"")"),"cáscara")</f>
        <v>cáscara</v>
      </c>
    </row>
    <row r="1588">
      <c r="A1588" s="3">
        <v>1566.0</v>
      </c>
      <c r="B1588" s="3" t="s">
        <v>189</v>
      </c>
      <c r="C1588" s="3" t="s">
        <v>190</v>
      </c>
      <c r="D1588" s="3" t="s">
        <v>4270</v>
      </c>
      <c r="E1588" s="3" t="s">
        <v>4268</v>
      </c>
      <c r="F1588" s="3" t="s">
        <v>4269</v>
      </c>
      <c r="G1588" s="3" t="str">
        <f>IFERROR(__xludf.DUMMYFUNCTION("GOOGLETRANSLATE(D1588,""fr"",""es"")"),"chiquillo")</f>
        <v>chiquillo</v>
      </c>
    </row>
    <row r="1589">
      <c r="A1589" s="3">
        <v>1567.0</v>
      </c>
      <c r="B1589" s="3" t="s">
        <v>189</v>
      </c>
      <c r="C1589" s="3" t="s">
        <v>190</v>
      </c>
      <c r="D1589" s="3" t="s">
        <v>4271</v>
      </c>
      <c r="E1589" s="3" t="s">
        <v>4268</v>
      </c>
      <c r="F1589" s="3" t="s">
        <v>4269</v>
      </c>
      <c r="G1589" s="3" t="str">
        <f>IFERROR(__xludf.DUMMYFUNCTION("GOOGLETRANSLATE(D1589,""fr"",""es"")"),"madres")</f>
        <v>madres</v>
      </c>
    </row>
    <row r="1590">
      <c r="A1590" s="3">
        <v>1568.0</v>
      </c>
      <c r="B1590" s="3" t="s">
        <v>189</v>
      </c>
      <c r="C1590" s="3" t="s">
        <v>190</v>
      </c>
      <c r="D1590" s="3" t="s">
        <v>4272</v>
      </c>
      <c r="E1590" s="3" t="s">
        <v>4273</v>
      </c>
      <c r="F1590" s="3" t="s">
        <v>4274</v>
      </c>
      <c r="G1590" s="3" t="str">
        <f>IFERROR(__xludf.DUMMYFUNCTION("GOOGLETRANSLATE(D1590,""fr"",""es"")"),"niñera")</f>
        <v>niñera</v>
      </c>
    </row>
    <row r="1591">
      <c r="A1591" s="3">
        <v>1569.0</v>
      </c>
      <c r="B1591" s="3" t="s">
        <v>189</v>
      </c>
      <c r="C1591" s="3" t="s">
        <v>190</v>
      </c>
      <c r="D1591" s="3" t="s">
        <v>4275</v>
      </c>
      <c r="E1591" s="3" t="s">
        <v>4273</v>
      </c>
      <c r="F1591" s="3" t="s">
        <v>4274</v>
      </c>
      <c r="G1591" s="3" t="str">
        <f>IFERROR(__xludf.DUMMYFUNCTION("GOOGLETRANSLATE(D1591,""fr"",""es"")"),"mechas")</f>
        <v>mechas</v>
      </c>
    </row>
    <row r="1592">
      <c r="A1592" s="3">
        <v>1570.0</v>
      </c>
      <c r="B1592" s="3" t="s">
        <v>189</v>
      </c>
      <c r="C1592" s="3" t="s">
        <v>190</v>
      </c>
      <c r="D1592" s="3" t="s">
        <v>4276</v>
      </c>
      <c r="E1592" s="3" t="s">
        <v>4277</v>
      </c>
      <c r="F1592" s="3" t="s">
        <v>4278</v>
      </c>
      <c r="G1592" s="3" t="str">
        <f>IFERROR(__xludf.DUMMYFUNCTION("GOOGLETRANSLATE(D1592,""fr"",""es"")"),"noue")</f>
        <v>noue</v>
      </c>
    </row>
    <row r="1593">
      <c r="A1593" s="3">
        <v>1571.0</v>
      </c>
      <c r="B1593" s="3" t="s">
        <v>189</v>
      </c>
      <c r="C1593" s="3" t="s">
        <v>190</v>
      </c>
      <c r="D1593" s="3" t="s">
        <v>4279</v>
      </c>
      <c r="E1593" s="3" t="s">
        <v>4277</v>
      </c>
      <c r="F1593" s="3" t="s">
        <v>4278</v>
      </c>
      <c r="G1593" s="3" t="str">
        <f>IFERROR(__xludf.DUMMYFUNCTION("GOOGLETRANSLATE(D1593,""fr"",""es"")"),"Corbata")</f>
        <v>Corbata</v>
      </c>
    </row>
    <row r="1594">
      <c r="A1594" s="3">
        <v>1572.0</v>
      </c>
      <c r="B1594" s="3" t="s">
        <v>189</v>
      </c>
      <c r="C1594" s="3" t="s">
        <v>190</v>
      </c>
      <c r="D1594" s="3" t="s">
        <v>4280</v>
      </c>
      <c r="E1594" s="3" t="s">
        <v>4277</v>
      </c>
      <c r="F1594" s="3" t="s">
        <v>4278</v>
      </c>
      <c r="G1594" s="3" t="str">
        <f>IFERROR(__xludf.DUMMYFUNCTION("GOOGLETRANSLATE(D1594,""fr"",""es"")"),"toques")</f>
        <v>toques</v>
      </c>
    </row>
    <row r="1595">
      <c r="A1595" s="3">
        <v>1573.0</v>
      </c>
      <c r="B1595" s="3" t="s">
        <v>189</v>
      </c>
      <c r="C1595" s="3" t="s">
        <v>190</v>
      </c>
      <c r="D1595" s="3" t="s">
        <v>4281</v>
      </c>
      <c r="E1595" s="3" t="s">
        <v>4282</v>
      </c>
      <c r="F1595" s="3" t="s">
        <v>4283</v>
      </c>
      <c r="G1595" s="3" t="str">
        <f>IFERROR(__xludf.DUMMYFUNCTION("GOOGLETRANSLATE(D1595,""fr"",""es"")"),"fideos")</f>
        <v>fideos</v>
      </c>
      <c r="H1595" s="3" t="s">
        <v>4284</v>
      </c>
      <c r="I1595" s="3" t="s">
        <v>4285</v>
      </c>
      <c r="J1595" s="3" t="s">
        <v>4286</v>
      </c>
      <c r="K1595" s="3" t="s">
        <v>4287</v>
      </c>
      <c r="L1595" s="3" t="s">
        <v>4288</v>
      </c>
      <c r="M1595" s="3" t="s">
        <v>4289</v>
      </c>
      <c r="N1595" s="3" t="s">
        <v>4290</v>
      </c>
      <c r="O1595" s="3" t="s">
        <v>4288</v>
      </c>
    </row>
    <row r="1596">
      <c r="A1596" s="3">
        <v>1574.0</v>
      </c>
      <c r="B1596" s="3" t="s">
        <v>189</v>
      </c>
      <c r="C1596" s="3" t="s">
        <v>190</v>
      </c>
      <c r="D1596" s="3" t="s">
        <v>4291</v>
      </c>
      <c r="E1596" s="3" t="s">
        <v>4282</v>
      </c>
      <c r="F1596" s="3" t="s">
        <v>4283</v>
      </c>
      <c r="G1596" s="3" t="str">
        <f>IFERROR(__xludf.DUMMYFUNCTION("GOOGLETRANSLATE(D1596,""fr"",""es"")"),"fideos")</f>
        <v>fideos</v>
      </c>
      <c r="H1596" s="3" t="s">
        <v>4288</v>
      </c>
    </row>
    <row r="1597">
      <c r="A1597" s="3">
        <v>1575.0</v>
      </c>
      <c r="B1597" s="3" t="s">
        <v>189</v>
      </c>
      <c r="C1597" s="3" t="s">
        <v>190</v>
      </c>
      <c r="D1597" s="3" t="s">
        <v>4292</v>
      </c>
      <c r="E1597" s="3" t="s">
        <v>4293</v>
      </c>
      <c r="F1597" s="3" t="s">
        <v>4294</v>
      </c>
      <c r="G1597" s="3" t="str">
        <f>IFERROR(__xludf.DUMMYFUNCTION("GOOGLETRANSLATE(D1597,""fr"",""es"")"),"niñera")</f>
        <v>niñera</v>
      </c>
      <c r="H1597" s="3" t="s">
        <v>4295</v>
      </c>
      <c r="I1597" s="3" t="s">
        <v>4296</v>
      </c>
      <c r="J1597" s="3" t="s">
        <v>4297</v>
      </c>
      <c r="K1597" s="3" t="s">
        <v>4295</v>
      </c>
      <c r="L1597" s="3" t="s">
        <v>4298</v>
      </c>
      <c r="M1597" s="3" t="s">
        <v>4299</v>
      </c>
    </row>
    <row r="1598">
      <c r="A1598" s="3">
        <v>1576.0</v>
      </c>
      <c r="B1598" s="3" t="s">
        <v>189</v>
      </c>
      <c r="C1598" s="3" t="s">
        <v>190</v>
      </c>
      <c r="D1598" s="3" t="s">
        <v>4300</v>
      </c>
      <c r="E1598" s="3" t="s">
        <v>4293</v>
      </c>
      <c r="F1598" s="3" t="s">
        <v>4294</v>
      </c>
      <c r="G1598" s="3" t="str">
        <f>IFERROR(__xludf.DUMMYFUNCTION("GOOGLETRANSLATE(D1598,""fr"",""es"")"),"niñeras")</f>
        <v>niñeras</v>
      </c>
    </row>
    <row r="1599">
      <c r="A1599" s="3">
        <v>1577.0</v>
      </c>
      <c r="B1599" s="3" t="s">
        <v>189</v>
      </c>
      <c r="C1599" s="3" t="s">
        <v>190</v>
      </c>
      <c r="D1599" s="3" t="s">
        <v>4301</v>
      </c>
      <c r="E1599" s="3" t="s">
        <v>4277</v>
      </c>
      <c r="F1599" s="3" t="s">
        <v>4278</v>
      </c>
      <c r="G1599" s="3" t="str">
        <f>IFERROR(__xludf.DUMMYFUNCTION("GOOGLETRANSLATE(D1599,""fr"",""es"")"),"nosotros")</f>
        <v>nosotros</v>
      </c>
    </row>
    <row r="1600">
      <c r="A1600" s="3">
        <v>1578.0</v>
      </c>
      <c r="B1600" s="3" t="s">
        <v>189</v>
      </c>
      <c r="C1600" s="3" t="s">
        <v>190</v>
      </c>
      <c r="D1600" s="3" t="s">
        <v>4302</v>
      </c>
      <c r="E1600" s="3" t="s">
        <v>4303</v>
      </c>
      <c r="F1600" s="3" t="s">
        <v>4304</v>
      </c>
      <c r="G1600" s="3" t="str">
        <f>IFERROR(__xludf.DUMMYFUNCTION("GOOGLETRANSLATE(D1600,""fr"",""es"")"),"Nosotros mismos")</f>
        <v>Nosotros mismos</v>
      </c>
    </row>
    <row r="1601">
      <c r="A1601" s="3">
        <v>1579.0</v>
      </c>
      <c r="B1601" s="3" t="s">
        <v>189</v>
      </c>
      <c r="C1601" s="3" t="s">
        <v>190</v>
      </c>
      <c r="D1601" s="3" t="s">
        <v>4305</v>
      </c>
      <c r="E1601" s="3" t="s">
        <v>4306</v>
      </c>
      <c r="F1601" s="3" t="s">
        <v>4307</v>
      </c>
      <c r="G1601" s="3" t="str">
        <f>IFERROR(__xludf.DUMMYFUNCTION("GOOGLETRANSLATE(D1601,""fr"",""es"")"),"Dónde")</f>
        <v>Dónde</v>
      </c>
      <c r="H1601" s="3" t="s">
        <v>4308</v>
      </c>
      <c r="I1601" s="3" t="s">
        <v>4309</v>
      </c>
      <c r="J1601" s="3" t="s">
        <v>4310</v>
      </c>
      <c r="K1601" s="3" t="s">
        <v>4311</v>
      </c>
      <c r="L1601" s="3" t="s">
        <v>4312</v>
      </c>
    </row>
    <row r="1602">
      <c r="A1602" s="3">
        <v>1580.0</v>
      </c>
      <c r="B1602" s="3" t="s">
        <v>189</v>
      </c>
      <c r="C1602" s="3" t="s">
        <v>190</v>
      </c>
      <c r="D1602" s="3" t="s">
        <v>4313</v>
      </c>
      <c r="E1602" s="3" t="s">
        <v>4306</v>
      </c>
      <c r="F1602" s="3" t="s">
        <v>4307</v>
      </c>
      <c r="G1602" s="3" t="str">
        <f>IFERROR(__xludf.DUMMYFUNCTION("GOOGLETRANSLATE(D1602,""fr"",""es"")"),"dónde")</f>
        <v>dónde</v>
      </c>
      <c r="H1602" s="3" t="s">
        <v>2358</v>
      </c>
      <c r="I1602" s="3" t="s">
        <v>4314</v>
      </c>
      <c r="J1602" s="3" t="s">
        <v>4315</v>
      </c>
    </row>
    <row r="1603">
      <c r="A1603" s="3">
        <v>1581.0</v>
      </c>
      <c r="B1603" s="3" t="s">
        <v>189</v>
      </c>
      <c r="C1603" s="3" t="s">
        <v>190</v>
      </c>
      <c r="D1603" s="3" t="s">
        <v>4316</v>
      </c>
      <c r="E1603" s="3" t="s">
        <v>4317</v>
      </c>
      <c r="F1603" s="3" t="s">
        <v>4318</v>
      </c>
      <c r="G1603" s="3" t="str">
        <f>IFERROR(__xludf.DUMMYFUNCTION("GOOGLETRANSLATE(D1603,""fr"",""es"")"),"tibio")</f>
        <v>tibio</v>
      </c>
    </row>
    <row r="1604">
      <c r="A1604" s="3">
        <v>1582.0</v>
      </c>
      <c r="B1604" s="3" t="s">
        <v>189</v>
      </c>
      <c r="C1604" s="3" t="s">
        <v>190</v>
      </c>
      <c r="D1604" s="3" t="s">
        <v>4319</v>
      </c>
      <c r="E1604" s="3" t="s">
        <v>4317</v>
      </c>
      <c r="F1604" s="3" t="s">
        <v>4318</v>
      </c>
      <c r="G1604" s="3" t="str">
        <f>IFERROR(__xludf.DUMMYFUNCTION("GOOGLETRANSLATE(D1604,""fr"",""es"")"),"Ouilles")</f>
        <v>Ouilles</v>
      </c>
    </row>
    <row r="1605">
      <c r="A1605" s="3">
        <v>1583.0</v>
      </c>
      <c r="B1605" s="3" t="s">
        <v>189</v>
      </c>
      <c r="C1605" s="3" t="s">
        <v>190</v>
      </c>
      <c r="D1605" s="3" t="s">
        <v>4320</v>
      </c>
      <c r="E1605" s="3" t="s">
        <v>4321</v>
      </c>
      <c r="F1605" s="3" t="s">
        <v>4322</v>
      </c>
      <c r="G1605" s="3" t="str">
        <f>IFERROR(__xludf.DUMMYFUNCTION("GOOGLETRANSLATE(D1605,""fr"",""es"")"),"expulsar")</f>
        <v>expulsar</v>
      </c>
    </row>
    <row r="1606">
      <c r="A1606" s="3">
        <v>1584.0</v>
      </c>
      <c r="B1606" s="3" t="s">
        <v>189</v>
      </c>
      <c r="C1606" s="3" t="s">
        <v>190</v>
      </c>
      <c r="D1606" s="3" t="s">
        <v>4323</v>
      </c>
      <c r="E1606" s="3" t="s">
        <v>4321</v>
      </c>
      <c r="F1606" s="3" t="s">
        <v>4322</v>
      </c>
      <c r="G1606" s="3" t="str">
        <f>IFERROR(__xludf.DUMMYFUNCTION("GOOGLETRANSLATE(D1606,""fr"",""es"")"),"expulsado")</f>
        <v>expulsado</v>
      </c>
    </row>
    <row r="1607">
      <c r="A1607" s="3">
        <v>1585.0</v>
      </c>
      <c r="B1607" s="3" t="s">
        <v>189</v>
      </c>
      <c r="C1607" s="3" t="s">
        <v>190</v>
      </c>
      <c r="D1607" s="3" t="s">
        <v>4324</v>
      </c>
      <c r="E1607" s="3" t="s">
        <v>4325</v>
      </c>
      <c r="F1607" s="3" t="s">
        <v>4326</v>
      </c>
      <c r="G1607" s="3" t="str">
        <f>IFERROR(__xludf.DUMMYFUNCTION("GOOGLETRANSLATE(D1607,""fr"",""es"")"),"PAC")</f>
        <v>PAC</v>
      </c>
      <c r="H1607" s="3" t="s">
        <v>4327</v>
      </c>
      <c r="I1607" s="3" t="s">
        <v>4324</v>
      </c>
    </row>
    <row r="1608">
      <c r="A1608" s="3">
        <v>1586.0</v>
      </c>
      <c r="B1608" s="3" t="s">
        <v>189</v>
      </c>
      <c r="C1608" s="3" t="s">
        <v>190</v>
      </c>
      <c r="D1608" s="3" t="s">
        <v>4328</v>
      </c>
      <c r="E1608" s="3" t="s">
        <v>4329</v>
      </c>
      <c r="F1608" s="3" t="s">
        <v>4330</v>
      </c>
      <c r="G1608" s="3" t="str">
        <f>IFERROR(__xludf.DUMMYFUNCTION("GOOGLETRANSLATE(D1608,""fr"",""es"")"),"pacana")</f>
        <v>pacana</v>
      </c>
    </row>
    <row r="1609">
      <c r="A1609" s="3">
        <v>1587.0</v>
      </c>
      <c r="B1609" s="3" t="s">
        <v>189</v>
      </c>
      <c r="C1609" s="3" t="s">
        <v>190</v>
      </c>
      <c r="D1609" s="3" t="s">
        <v>4331</v>
      </c>
      <c r="E1609" s="3" t="s">
        <v>4325</v>
      </c>
      <c r="F1609" s="3" t="s">
        <v>4326</v>
      </c>
      <c r="G1609" s="3" t="str">
        <f>IFERROR(__xludf.DUMMYFUNCTION("GOOGLETRANSLATE(D1609,""fr"",""es"")"),"paquete")</f>
        <v>paquete</v>
      </c>
      <c r="H1609" s="3" t="s">
        <v>4331</v>
      </c>
    </row>
    <row r="1610">
      <c r="A1610" s="3">
        <v>1588.0</v>
      </c>
      <c r="B1610" s="3" t="s">
        <v>189</v>
      </c>
      <c r="C1610" s="3" t="s">
        <v>190</v>
      </c>
      <c r="D1610" s="3" t="s">
        <v>4332</v>
      </c>
      <c r="E1610" s="3" t="s">
        <v>4325</v>
      </c>
      <c r="F1610" s="3" t="s">
        <v>4326</v>
      </c>
      <c r="G1610" s="3" t="str">
        <f>IFERROR(__xludf.DUMMYFUNCTION("GOOGLETRANSLATE(D1610,""fr"",""es"")"),"paquete")</f>
        <v>paquete</v>
      </c>
    </row>
    <row r="1611">
      <c r="A1611" s="3">
        <v>1589.0</v>
      </c>
      <c r="B1611" s="3" t="s">
        <v>189</v>
      </c>
      <c r="C1611" s="3" t="s">
        <v>190</v>
      </c>
      <c r="D1611" s="3" t="s">
        <v>4333</v>
      </c>
      <c r="E1611" s="3" t="s">
        <v>4325</v>
      </c>
      <c r="F1611" s="3" t="s">
        <v>4326</v>
      </c>
      <c r="G1611" s="3" t="str">
        <f>IFERROR(__xludf.DUMMYFUNCTION("GOOGLETRANSLATE(D1611,""fr"",""es"")"),"pacto")</f>
        <v>pacto</v>
      </c>
      <c r="H1611" s="3" t="s">
        <v>4334</v>
      </c>
      <c r="I1611" s="3" t="s">
        <v>4335</v>
      </c>
      <c r="J1611" s="3" t="s">
        <v>4336</v>
      </c>
      <c r="K1611" s="3" t="s">
        <v>4337</v>
      </c>
      <c r="L1611" s="3" t="s">
        <v>4338</v>
      </c>
      <c r="M1611" s="3" t="s">
        <v>4339</v>
      </c>
      <c r="N1611" s="3" t="s">
        <v>4335</v>
      </c>
    </row>
    <row r="1612">
      <c r="A1612" s="3">
        <v>1590.0</v>
      </c>
      <c r="B1612" s="3" t="s">
        <v>189</v>
      </c>
      <c r="C1612" s="3" t="s">
        <v>190</v>
      </c>
      <c r="D1612" s="3" t="s">
        <v>4340</v>
      </c>
      <c r="E1612" s="3" t="s">
        <v>4325</v>
      </c>
      <c r="F1612" s="3" t="s">
        <v>4326</v>
      </c>
      <c r="G1612" s="3" t="str">
        <f>IFERROR(__xludf.DUMMYFUNCTION("GOOGLETRANSLATE(D1612,""fr"",""es"")"),"pactos")</f>
        <v>pactos</v>
      </c>
    </row>
    <row r="1613">
      <c r="A1613" s="3">
        <v>1591.0</v>
      </c>
      <c r="B1613" s="3" t="s">
        <v>189</v>
      </c>
      <c r="C1613" s="3" t="s">
        <v>190</v>
      </c>
      <c r="D1613" s="3" t="s">
        <v>4341</v>
      </c>
      <c r="E1613" s="3" t="s">
        <v>4342</v>
      </c>
      <c r="F1613" s="3" t="s">
        <v>4343</v>
      </c>
      <c r="G1613" s="3" t="str">
        <f>IFERROR(__xludf.DUMMYFUNCTION("GOOGLETRANSLATE(D1613,""fr"",""es"")"),"taparrabo")</f>
        <v>taparrabo</v>
      </c>
      <c r="H1613" s="3" t="s">
        <v>4344</v>
      </c>
      <c r="I1613" s="3" t="s">
        <v>4345</v>
      </c>
      <c r="J1613" s="3" t="s">
        <v>4346</v>
      </c>
      <c r="K1613" s="3" t="s">
        <v>4347</v>
      </c>
    </row>
    <row r="1614">
      <c r="A1614" s="3">
        <v>1592.0</v>
      </c>
      <c r="B1614" s="3" t="s">
        <v>189</v>
      </c>
      <c r="C1614" s="3" t="s">
        <v>190</v>
      </c>
      <c r="D1614" s="3" t="s">
        <v>4348</v>
      </c>
      <c r="E1614" s="3" t="s">
        <v>4342</v>
      </c>
      <c r="F1614" s="3" t="s">
        <v>4343</v>
      </c>
      <c r="G1614" s="3" t="str">
        <f>IFERROR(__xludf.DUMMYFUNCTION("GOOGLETRANSLATE(D1614,""fr"",""es"")"),"tapa")</f>
        <v>tapa</v>
      </c>
    </row>
    <row r="1615">
      <c r="A1615" s="3">
        <v>1593.0</v>
      </c>
      <c r="B1615" s="3" t="s">
        <v>189</v>
      </c>
      <c r="C1615" s="3" t="s">
        <v>190</v>
      </c>
      <c r="D1615" s="3" t="s">
        <v>4349</v>
      </c>
      <c r="E1615" s="3" t="s">
        <v>4350</v>
      </c>
      <c r="F1615" s="3" t="s">
        <v>4351</v>
      </c>
      <c r="G1615" s="3" t="str">
        <f>IFERROR(__xludf.DUMMYFUNCTION("GOOGLETRANSLATE(D1615,""fr"",""es"")"),"pagar")</f>
        <v>pagar</v>
      </c>
    </row>
    <row r="1616">
      <c r="A1616" s="3">
        <v>1594.0</v>
      </c>
      <c r="B1616" s="3" t="s">
        <v>189</v>
      </c>
      <c r="C1616" s="3" t="s">
        <v>190</v>
      </c>
      <c r="D1616" s="3" t="s">
        <v>4352</v>
      </c>
      <c r="E1616" s="3" t="s">
        <v>4353</v>
      </c>
      <c r="F1616" s="3" t="s">
        <v>4354</v>
      </c>
      <c r="G1616" s="3" t="str">
        <f>IFERROR(__xludf.DUMMYFUNCTION("GOOGLETRANSLATE(D1616,""fr"",""es"")"),"pagano")</f>
        <v>pagano</v>
      </c>
    </row>
    <row r="1617">
      <c r="A1617" s="3">
        <v>1595.0</v>
      </c>
      <c r="B1617" s="3" t="s">
        <v>189</v>
      </c>
      <c r="C1617" s="3" t="s">
        <v>190</v>
      </c>
      <c r="D1617" s="3" t="s">
        <v>4355</v>
      </c>
      <c r="E1617" s="3" t="s">
        <v>4353</v>
      </c>
      <c r="F1617" s="3" t="s">
        <v>4354</v>
      </c>
      <c r="G1617" s="3" t="str">
        <f>IFERROR(__xludf.DUMMYFUNCTION("GOOGLETRANSLATE(D1617,""fr"",""es"")"),"pagano")</f>
        <v>pagano</v>
      </c>
    </row>
    <row r="1618">
      <c r="A1618" s="3">
        <v>1596.0</v>
      </c>
      <c r="B1618" s="3" t="s">
        <v>189</v>
      </c>
      <c r="C1618" s="3" t="s">
        <v>190</v>
      </c>
      <c r="D1618" s="3" t="s">
        <v>4356</v>
      </c>
      <c r="E1618" s="3" t="s">
        <v>4350</v>
      </c>
      <c r="F1618" s="3" t="s">
        <v>4351</v>
      </c>
      <c r="G1618" s="3" t="str">
        <f>IFERROR(__xludf.DUMMYFUNCTION("GOOGLETRANSLATE(D1618,""fr"",""es"")"),"pagar")</f>
        <v>pagar</v>
      </c>
    </row>
    <row r="1619">
      <c r="A1619" s="3">
        <v>1597.0</v>
      </c>
      <c r="B1619" s="3" t="s">
        <v>189</v>
      </c>
      <c r="C1619" s="3" t="s">
        <v>190</v>
      </c>
      <c r="D1619" s="3" t="s">
        <v>4357</v>
      </c>
      <c r="E1619" s="3" t="s">
        <v>4350</v>
      </c>
      <c r="F1619" s="3" t="s">
        <v>4351</v>
      </c>
      <c r="G1619" s="3" t="str">
        <f>IFERROR(__xludf.DUMMYFUNCTION("GOOGLETRANSLATE(D1619,""fr"",""es"")"),"paga")</f>
        <v>paga</v>
      </c>
    </row>
    <row r="1620">
      <c r="A1620" s="3">
        <v>1598.0</v>
      </c>
      <c r="B1620" s="3" t="s">
        <v>189</v>
      </c>
      <c r="C1620" s="3" t="s">
        <v>190</v>
      </c>
      <c r="D1620" s="3" t="s">
        <v>4358</v>
      </c>
      <c r="E1620" s="3" t="s">
        <v>4359</v>
      </c>
      <c r="F1620" s="3" t="s">
        <v>4360</v>
      </c>
      <c r="G1620" s="3" t="str">
        <f>IFERROR(__xludf.DUMMYFUNCTION("GOOGLETRANSLATE(D1620,""fr"",""es"")"),"paillai")</f>
        <v>paillai</v>
      </c>
    </row>
    <row r="1621">
      <c r="A1621" s="3">
        <v>1599.0</v>
      </c>
      <c r="B1621" s="3" t="s">
        <v>189</v>
      </c>
      <c r="C1621" s="3" t="s">
        <v>190</v>
      </c>
      <c r="D1621" s="3" t="s">
        <v>4361</v>
      </c>
      <c r="E1621" s="3" t="s">
        <v>4359</v>
      </c>
      <c r="F1621" s="3" t="s">
        <v>4360</v>
      </c>
      <c r="G1621" s="3" t="str">
        <f>IFERROR(__xludf.DUMMYFUNCTION("GOOGLETRANSLATE(D1621,""fr"",""es"")"),"mlantado")</f>
        <v>mlantado</v>
      </c>
    </row>
    <row r="1622">
      <c r="A1622" s="3">
        <v>1600.0</v>
      </c>
      <c r="B1622" s="3" t="s">
        <v>189</v>
      </c>
      <c r="C1622" s="3" t="s">
        <v>190</v>
      </c>
      <c r="D1622" s="3" t="s">
        <v>4362</v>
      </c>
      <c r="E1622" s="3" t="s">
        <v>4359</v>
      </c>
      <c r="F1622" s="3" t="s">
        <v>4360</v>
      </c>
      <c r="G1622" s="3" t="str">
        <f>IFERROR(__xludf.DUMMYFUNCTION("GOOGLETRANSLATE(D1622,""fr"",""es"")"),"Paillais")</f>
        <v>Paillais</v>
      </c>
    </row>
    <row r="1623">
      <c r="A1623" s="3">
        <v>1601.0</v>
      </c>
      <c r="B1623" s="3" t="s">
        <v>189</v>
      </c>
      <c r="C1623" s="3" t="s">
        <v>190</v>
      </c>
      <c r="D1623" s="3" t="s">
        <v>4363</v>
      </c>
      <c r="E1623" s="3" t="s">
        <v>4359</v>
      </c>
      <c r="F1623" s="3" t="s">
        <v>4360</v>
      </c>
      <c r="G1623" s="3" t="str">
        <f>IFERROR(__xludf.DUMMYFUNCTION("GOOGLETRANSLATE(D1623,""fr"",""es"")"),"pailary")</f>
        <v>pailary</v>
      </c>
    </row>
    <row r="1624">
      <c r="A1624" s="3">
        <v>1602.0</v>
      </c>
      <c r="B1624" s="3" t="s">
        <v>189</v>
      </c>
      <c r="C1624" s="3" t="s">
        <v>190</v>
      </c>
      <c r="D1624" s="3" t="s">
        <v>4364</v>
      </c>
      <c r="E1624" s="3" t="s">
        <v>4365</v>
      </c>
      <c r="F1624" s="3" t="s">
        <v>4366</v>
      </c>
      <c r="G1624" s="3" t="str">
        <f>IFERROR(__xludf.DUMMYFUNCTION("GOOGLETRANSLATE(D1624,""fr"",""es"")"),"paillâme")</f>
        <v>paillâme</v>
      </c>
    </row>
    <row r="1625">
      <c r="A1625" s="3">
        <v>1603.0</v>
      </c>
      <c r="B1625" s="3" t="s">
        <v>189</v>
      </c>
      <c r="C1625" s="3" t="s">
        <v>190</v>
      </c>
      <c r="D1625" s="3" t="s">
        <v>4367</v>
      </c>
      <c r="E1625" s="3" t="s">
        <v>4368</v>
      </c>
      <c r="F1625" s="3" t="s">
        <v>4369</v>
      </c>
      <c r="G1625" s="3" t="str">
        <f>IFERROR(__xludf.DUMMYFUNCTION("GOOGLETRANSLATE(D1625,""fr"",""es"")"),"hipoteca")</f>
        <v>hipoteca</v>
      </c>
    </row>
    <row r="1626">
      <c r="A1626" s="3">
        <v>1604.0</v>
      </c>
      <c r="B1626" s="3" t="s">
        <v>189</v>
      </c>
      <c r="C1626" s="3" t="s">
        <v>190</v>
      </c>
      <c r="D1626" s="3" t="s">
        <v>4370</v>
      </c>
      <c r="E1626" s="3" t="s">
        <v>4368</v>
      </c>
      <c r="F1626" s="3" t="s">
        <v>4369</v>
      </c>
      <c r="G1626" s="3" t="str">
        <f>IFERROR(__xludf.DUMMYFUNCTION("GOOGLETRANSLATE(D1626,""fr"",""es"")"),"afilado")</f>
        <v>afilado</v>
      </c>
    </row>
    <row r="1627">
      <c r="A1627" s="3">
        <v>1605.0</v>
      </c>
      <c r="B1627" s="3" t="s">
        <v>189</v>
      </c>
      <c r="C1627" s="3" t="s">
        <v>190</v>
      </c>
      <c r="D1627" s="3" t="s">
        <v>4371</v>
      </c>
      <c r="E1627" s="3" t="s">
        <v>4368</v>
      </c>
      <c r="F1627" s="3" t="s">
        <v>4369</v>
      </c>
      <c r="G1627" s="3" t="str">
        <f>IFERROR(__xludf.DUMMYFUNCTION("GOOGLETRANSLATE(D1627,""fr"",""es"")"),"rosario")</f>
        <v>rosario</v>
      </c>
    </row>
    <row r="1628">
      <c r="A1628" s="3">
        <v>1606.0</v>
      </c>
      <c r="B1628" s="3" t="s">
        <v>189</v>
      </c>
      <c r="C1628" s="3" t="s">
        <v>190</v>
      </c>
      <c r="D1628" s="3" t="s">
        <v>4372</v>
      </c>
      <c r="E1628" s="3" t="s">
        <v>4373</v>
      </c>
      <c r="F1628" s="3" t="s">
        <v>4374</v>
      </c>
      <c r="G1628" s="3" t="str">
        <f>IFERROR(__xludf.DUMMYFUNCTION("GOOGLETRANSLATE(D1628,""fr"",""es"")"),"Sorbete")</f>
        <v>Sorbete</v>
      </c>
      <c r="H1628" s="3" t="s">
        <v>4375</v>
      </c>
      <c r="I1628" s="3" t="s">
        <v>4376</v>
      </c>
      <c r="J1628" s="3" t="s">
        <v>4375</v>
      </c>
      <c r="K1628" s="3" t="s">
        <v>4375</v>
      </c>
      <c r="L1628" s="3" t="s">
        <v>4375</v>
      </c>
      <c r="M1628" s="3" t="s">
        <v>4377</v>
      </c>
      <c r="N1628" s="3" t="s">
        <v>4378</v>
      </c>
      <c r="O1628" s="3" t="s">
        <v>4375</v>
      </c>
      <c r="P1628" s="3" t="s">
        <v>4379</v>
      </c>
      <c r="Q1628" s="3" t="s">
        <v>4380</v>
      </c>
      <c r="R1628" s="3" t="s">
        <v>4381</v>
      </c>
      <c r="S1628" s="3" t="s">
        <v>4382</v>
      </c>
      <c r="T1628" s="3" t="s">
        <v>4383</v>
      </c>
      <c r="U1628" s="3" t="s">
        <v>4384</v>
      </c>
      <c r="V1628" s="3" t="s">
        <v>4375</v>
      </c>
      <c r="W1628" s="3" t="s">
        <v>4385</v>
      </c>
      <c r="X1628" s="3" t="s">
        <v>4375</v>
      </c>
    </row>
    <row r="1629">
      <c r="A1629" s="3">
        <v>1607.0</v>
      </c>
      <c r="B1629" s="3" t="s">
        <v>189</v>
      </c>
      <c r="C1629" s="3" t="s">
        <v>190</v>
      </c>
      <c r="D1629" s="3" t="s">
        <v>4386</v>
      </c>
      <c r="E1629" s="3" t="s">
        <v>4373</v>
      </c>
      <c r="F1629" s="3" t="s">
        <v>4374</v>
      </c>
      <c r="G1629" s="3" t="str">
        <f>IFERROR(__xludf.DUMMYFUNCTION("GOOGLETRANSLATE(D1629,""fr"",""es"")"),"Paja")</f>
        <v>Paja</v>
      </c>
    </row>
    <row r="1630">
      <c r="A1630" s="3">
        <v>1608.0</v>
      </c>
      <c r="B1630" s="3" t="s">
        <v>189</v>
      </c>
      <c r="C1630" s="3" t="s">
        <v>190</v>
      </c>
      <c r="D1630" s="3" t="s">
        <v>4387</v>
      </c>
      <c r="E1630" s="3" t="s">
        <v>4373</v>
      </c>
      <c r="F1630" s="3" t="s">
        <v>4374</v>
      </c>
      <c r="G1630" s="3" t="str">
        <f>IFERROR(__xludf.DUMMYFUNCTION("GOOGLETRANSLATE(D1630,""fr"",""es"")"),"pajita")</f>
        <v>pajita</v>
      </c>
    </row>
    <row r="1631">
      <c r="A1631" s="3">
        <v>1609.0</v>
      </c>
      <c r="B1631" s="3" t="s">
        <v>189</v>
      </c>
      <c r="C1631" s="3" t="s">
        <v>190</v>
      </c>
      <c r="D1631" s="3" t="s">
        <v>4388</v>
      </c>
      <c r="E1631" s="3" t="s">
        <v>4350</v>
      </c>
      <c r="F1631" s="3" t="s">
        <v>4351</v>
      </c>
      <c r="G1631" s="3" t="str">
        <f>IFERROR(__xludf.DUMMYFUNCTION("GOOGLETRANSLATE(D1631,""fr"",""es"")"),"paz")</f>
        <v>paz</v>
      </c>
      <c r="H1631" s="3" t="s">
        <v>4389</v>
      </c>
      <c r="I1631" s="3" t="s">
        <v>4390</v>
      </c>
      <c r="J1631" s="3" t="s">
        <v>4391</v>
      </c>
      <c r="K1631" s="3" t="s">
        <v>4389</v>
      </c>
      <c r="L1631" s="3" t="s">
        <v>4392</v>
      </c>
      <c r="M1631" s="3" t="s">
        <v>4393</v>
      </c>
      <c r="N1631" s="3" t="s">
        <v>4394</v>
      </c>
      <c r="O1631" s="3" t="s">
        <v>4395</v>
      </c>
      <c r="P1631" s="3" t="s">
        <v>4396</v>
      </c>
      <c r="Q1631" s="3" t="s">
        <v>4397</v>
      </c>
      <c r="R1631" s="3" t="s">
        <v>4389</v>
      </c>
      <c r="S1631" s="3" t="s">
        <v>4389</v>
      </c>
      <c r="T1631" s="3" t="s">
        <v>4389</v>
      </c>
      <c r="U1631" s="3" t="s">
        <v>4398</v>
      </c>
    </row>
    <row r="1632">
      <c r="A1632" s="3">
        <v>1610.0</v>
      </c>
      <c r="B1632" s="3" t="s">
        <v>189</v>
      </c>
      <c r="C1632" s="3" t="s">
        <v>190</v>
      </c>
      <c r="D1632" s="3" t="s">
        <v>4399</v>
      </c>
      <c r="E1632" s="3" t="s">
        <v>4400</v>
      </c>
      <c r="F1632" s="3" t="s">
        <v>4399</v>
      </c>
      <c r="G1632" s="3" t="str">
        <f>IFERROR(__xludf.DUMMYFUNCTION("GOOGLETRANSLATE(D1632,""fr"",""es"")"),"camarada")</f>
        <v>camarada</v>
      </c>
    </row>
    <row r="1633">
      <c r="A1633" s="3">
        <v>1611.0</v>
      </c>
      <c r="B1633" s="3" t="s">
        <v>189</v>
      </c>
      <c r="C1633" s="3" t="s">
        <v>190</v>
      </c>
      <c r="D1633" s="3" t="s">
        <v>4401</v>
      </c>
      <c r="E1633" s="3" t="s">
        <v>4400</v>
      </c>
      <c r="F1633" s="3" t="s">
        <v>4399</v>
      </c>
      <c r="G1633" s="3" t="str">
        <f>IFERROR(__xludf.DUMMYFUNCTION("GOOGLETRANSLATE(D1633,""fr"",""es"")"),"Camarada")</f>
        <v>Camarada</v>
      </c>
    </row>
    <row r="1634">
      <c r="A1634" s="3">
        <v>1612.0</v>
      </c>
      <c r="B1634" s="3" t="s">
        <v>189</v>
      </c>
      <c r="C1634" s="3" t="s">
        <v>190</v>
      </c>
      <c r="D1634" s="3" t="s">
        <v>4402</v>
      </c>
      <c r="E1634" s="3" t="s">
        <v>4400</v>
      </c>
      <c r="F1634" s="3" t="s">
        <v>4399</v>
      </c>
      <c r="G1634" s="3" t="str">
        <f>IFERROR(__xludf.DUMMYFUNCTION("GOOGLETRANSLATE(D1634,""fr"",""es"")"),"Camarada")</f>
        <v>Camarada</v>
      </c>
    </row>
    <row r="1635">
      <c r="A1635" s="3">
        <v>1613.0</v>
      </c>
      <c r="B1635" s="3" t="s">
        <v>189</v>
      </c>
      <c r="C1635" s="3" t="s">
        <v>190</v>
      </c>
      <c r="D1635" s="3" t="s">
        <v>4403</v>
      </c>
      <c r="E1635" s="3" t="s">
        <v>4404</v>
      </c>
      <c r="F1635" s="3" t="s">
        <v>4405</v>
      </c>
      <c r="G1635" s="3" t="str">
        <f>IFERROR(__xludf.DUMMYFUNCTION("GOOGLETRANSLATE(D1635,""fr"",""es"")"),"palacio")</f>
        <v>palacio</v>
      </c>
    </row>
    <row r="1636">
      <c r="A1636" s="3">
        <v>1614.0</v>
      </c>
      <c r="B1636" s="3" t="s">
        <v>189</v>
      </c>
      <c r="C1636" s="3" t="s">
        <v>190</v>
      </c>
      <c r="D1636" s="3" t="s">
        <v>4406</v>
      </c>
      <c r="E1636" s="3" t="s">
        <v>4404</v>
      </c>
      <c r="F1636" s="3" t="s">
        <v>4405</v>
      </c>
      <c r="G1636" s="3" t="str">
        <f>IFERROR(__xludf.DUMMYFUNCTION("GOOGLETRANSLATE(D1636,""fr"",""es"")"),"palacios")</f>
        <v>palacios</v>
      </c>
    </row>
    <row r="1637">
      <c r="A1637" s="3">
        <v>1615.0</v>
      </c>
      <c r="B1637" s="3" t="s">
        <v>189</v>
      </c>
      <c r="C1637" s="3" t="s">
        <v>190</v>
      </c>
      <c r="D1637" s="3" t="s">
        <v>4407</v>
      </c>
      <c r="E1637" s="3" t="s">
        <v>4408</v>
      </c>
      <c r="F1637" s="3" t="s">
        <v>4409</v>
      </c>
      <c r="G1637" s="3" t="str">
        <f>IFERROR(__xludf.DUMMYFUNCTION("GOOGLETRANSLATE(D1637,""fr"",""es"")"),"palacio")</f>
        <v>palacio</v>
      </c>
      <c r="H1637" s="3" t="s">
        <v>4403</v>
      </c>
      <c r="I1637" s="3" t="s">
        <v>4403</v>
      </c>
      <c r="J1637" s="3" t="s">
        <v>4410</v>
      </c>
      <c r="K1637" s="3" t="s">
        <v>4403</v>
      </c>
      <c r="L1637" s="3" t="s">
        <v>4411</v>
      </c>
      <c r="M1637" s="3" t="s">
        <v>4412</v>
      </c>
      <c r="N1637" s="3" t="s">
        <v>4403</v>
      </c>
    </row>
    <row r="1638">
      <c r="A1638" s="3">
        <v>1616.0</v>
      </c>
      <c r="B1638" s="3" t="s">
        <v>189</v>
      </c>
      <c r="C1638" s="3" t="s">
        <v>190</v>
      </c>
      <c r="D1638" s="3" t="s">
        <v>4413</v>
      </c>
      <c r="E1638" s="3" t="s">
        <v>4414</v>
      </c>
      <c r="F1638" s="3" t="s">
        <v>4413</v>
      </c>
      <c r="G1638" s="3" t="str">
        <f>IFERROR(__xludf.DUMMYFUNCTION("GOOGLETRANSLATE(D1638,""fr"",""es"")"),"palatal")</f>
        <v>palatal</v>
      </c>
      <c r="H1638" s="3" t="s">
        <v>4413</v>
      </c>
      <c r="I1638" s="3" t="s">
        <v>4415</v>
      </c>
      <c r="J1638" s="3" t="s">
        <v>4416</v>
      </c>
      <c r="K1638" s="3" t="s">
        <v>4413</v>
      </c>
      <c r="L1638" s="3" t="s">
        <v>4417</v>
      </c>
      <c r="M1638" s="3" t="s">
        <v>4413</v>
      </c>
    </row>
    <row r="1639">
      <c r="A1639" s="3">
        <v>1617.0</v>
      </c>
      <c r="B1639" s="3" t="s">
        <v>189</v>
      </c>
      <c r="C1639" s="3" t="s">
        <v>190</v>
      </c>
      <c r="D1639" s="3" t="s">
        <v>4418</v>
      </c>
      <c r="E1639" s="3" t="s">
        <v>4414</v>
      </c>
      <c r="F1639" s="3" t="s">
        <v>4413</v>
      </c>
      <c r="G1639" s="3" t="str">
        <f>IFERROR(__xludf.DUMMYFUNCTION("GOOGLETRANSLATE(D1639,""fr"",""es"")"),"palatal")</f>
        <v>palatal</v>
      </c>
    </row>
    <row r="1640">
      <c r="A1640" s="3">
        <v>1618.0</v>
      </c>
      <c r="B1640" s="3" t="s">
        <v>189</v>
      </c>
      <c r="C1640" s="3" t="s">
        <v>190</v>
      </c>
      <c r="D1640" s="3" t="s">
        <v>4419</v>
      </c>
      <c r="E1640" s="3" t="s">
        <v>4414</v>
      </c>
      <c r="F1640" s="3" t="s">
        <v>4413</v>
      </c>
      <c r="G1640" s="3" t="str">
        <f>IFERROR(__xludf.DUMMYFUNCTION("GOOGLETRANSLATE(D1640,""fr"",""es"")"),"palatal")</f>
        <v>palatal</v>
      </c>
    </row>
    <row r="1641">
      <c r="A1641" s="3">
        <v>1619.0</v>
      </c>
      <c r="B1641" s="3" t="s">
        <v>189</v>
      </c>
      <c r="C1641" s="3" t="s">
        <v>190</v>
      </c>
      <c r="D1641" s="3" t="s">
        <v>4420</v>
      </c>
      <c r="E1641" s="3" t="s">
        <v>4400</v>
      </c>
      <c r="F1641" s="3" t="s">
        <v>4399</v>
      </c>
      <c r="G1641" s="3" t="str">
        <f>IFERROR(__xludf.DUMMYFUNCTION("GOOGLETRANSLATE(D1641,""fr"",""es"")"),"pálido")</f>
        <v>pálido</v>
      </c>
      <c r="H1641" s="3" t="s">
        <v>2692</v>
      </c>
      <c r="I1641" s="3" t="s">
        <v>4421</v>
      </c>
      <c r="J1641" s="3" t="s">
        <v>4422</v>
      </c>
    </row>
    <row r="1642">
      <c r="A1642" s="3">
        <v>1620.0</v>
      </c>
      <c r="B1642" s="3" t="s">
        <v>189</v>
      </c>
      <c r="C1642" s="3" t="s">
        <v>190</v>
      </c>
      <c r="D1642" s="3" t="s">
        <v>4423</v>
      </c>
      <c r="E1642" s="3" t="s">
        <v>4400</v>
      </c>
      <c r="F1642" s="3" t="s">
        <v>4399</v>
      </c>
      <c r="G1642" s="3" t="str">
        <f>IFERROR(__xludf.DUMMYFUNCTION("GOOGLETRANSLATE(D1642,""fr"",""es"")"),"pálido")</f>
        <v>pálido</v>
      </c>
      <c r="H1642" s="3" t="s">
        <v>4424</v>
      </c>
      <c r="I1642" s="3" t="s">
        <v>4420</v>
      </c>
      <c r="J1642" s="3" t="s">
        <v>4425</v>
      </c>
      <c r="K1642" s="3" t="s">
        <v>4426</v>
      </c>
      <c r="L1642" s="3" t="s">
        <v>4420</v>
      </c>
      <c r="M1642" s="3" t="s">
        <v>4425</v>
      </c>
      <c r="N1642" s="3" t="s">
        <v>4426</v>
      </c>
      <c r="O1642" s="3" t="s">
        <v>4427</v>
      </c>
    </row>
    <row r="1643">
      <c r="A1643" s="3">
        <v>1621.0</v>
      </c>
      <c r="B1643" s="3" t="s">
        <v>189</v>
      </c>
      <c r="C1643" s="3" t="s">
        <v>190</v>
      </c>
      <c r="D1643" s="3" t="s">
        <v>4428</v>
      </c>
      <c r="E1643" s="3" t="s">
        <v>4400</v>
      </c>
      <c r="F1643" s="3" t="s">
        <v>4399</v>
      </c>
      <c r="G1643" s="3" t="str">
        <f>IFERROR(__xludf.DUMMYFUNCTION("GOOGLETRANSLATE(D1643,""fr"",""es"")"),"cuchillas")</f>
        <v>cuchillas</v>
      </c>
    </row>
    <row r="1644">
      <c r="A1644" s="3">
        <v>1622.0</v>
      </c>
      <c r="B1644" s="3" t="s">
        <v>189</v>
      </c>
      <c r="C1644" s="3" t="s">
        <v>190</v>
      </c>
      <c r="D1644" s="3" t="s">
        <v>4429</v>
      </c>
      <c r="E1644" s="3" t="s">
        <v>4400</v>
      </c>
      <c r="F1644" s="3" t="s">
        <v>4399</v>
      </c>
      <c r="G1644" s="3" t="str">
        <f>IFERROR(__xludf.DUMMYFUNCTION("GOOGLETRANSLATE(D1644,""fr"",""es"")"),"pálido")</f>
        <v>pálido</v>
      </c>
    </row>
    <row r="1645">
      <c r="A1645" s="3">
        <v>1623.0</v>
      </c>
      <c r="B1645" s="3" t="s">
        <v>189</v>
      </c>
      <c r="C1645" s="3" t="s">
        <v>190</v>
      </c>
      <c r="D1645" s="3" t="s">
        <v>4430</v>
      </c>
      <c r="E1645" s="3" t="s">
        <v>4408</v>
      </c>
      <c r="F1645" s="3" t="s">
        <v>4409</v>
      </c>
      <c r="G1645" s="3" t="str">
        <f>IFERROR(__xludf.DUMMYFUNCTION("GOOGLETRANSLATE(D1645,""fr"",""es"")"),"disco")</f>
        <v>disco</v>
      </c>
      <c r="H1645" s="3" t="s">
        <v>4431</v>
      </c>
      <c r="I1645" s="3" t="s">
        <v>4432</v>
      </c>
      <c r="J1645" s="3" t="s">
        <v>4433</v>
      </c>
      <c r="K1645" s="3" t="s">
        <v>4434</v>
      </c>
    </row>
    <row r="1646">
      <c r="A1646" s="3">
        <v>1624.0</v>
      </c>
      <c r="B1646" s="3" t="s">
        <v>189</v>
      </c>
      <c r="C1646" s="3" t="s">
        <v>190</v>
      </c>
      <c r="D1646" s="3" t="s">
        <v>4435</v>
      </c>
      <c r="E1646" s="3" t="s">
        <v>4408</v>
      </c>
      <c r="F1646" s="3" t="s">
        <v>4409</v>
      </c>
      <c r="G1646" s="3" t="str">
        <f>IFERROR(__xludf.DUMMYFUNCTION("GOOGLETRANSLATE(D1646,""fr"",""es"")"),"discos")</f>
        <v>discos</v>
      </c>
    </row>
    <row r="1647">
      <c r="A1647" s="3">
        <v>1625.0</v>
      </c>
      <c r="B1647" s="3" t="s">
        <v>189</v>
      </c>
      <c r="C1647" s="3" t="s">
        <v>190</v>
      </c>
      <c r="D1647" s="3" t="s">
        <v>4436</v>
      </c>
      <c r="E1647" s="3" t="s">
        <v>4437</v>
      </c>
      <c r="F1647" s="3" t="s">
        <v>4438</v>
      </c>
      <c r="G1647" s="3" t="str">
        <f>IFERROR(__xludf.DUMMYFUNCTION("GOOGLETRANSLATE(D1647,""fr"",""es"")"),"pálido")</f>
        <v>pálido</v>
      </c>
      <c r="H1647" s="3" t="s">
        <v>4439</v>
      </c>
    </row>
    <row r="1648">
      <c r="A1648" s="3">
        <v>1626.0</v>
      </c>
      <c r="B1648" s="3" t="s">
        <v>189</v>
      </c>
      <c r="C1648" s="3" t="s">
        <v>190</v>
      </c>
      <c r="D1648" s="3" t="s">
        <v>4440</v>
      </c>
      <c r="E1648" s="3" t="s">
        <v>4437</v>
      </c>
      <c r="F1648" s="3" t="s">
        <v>4438</v>
      </c>
      <c r="G1648" s="3" t="str">
        <f>IFERROR(__xludf.DUMMYFUNCTION("GOOGLETRANSLATE(D1648,""fr"",""es"")"),"tirado")</f>
        <v>tirado</v>
      </c>
    </row>
    <row r="1649">
      <c r="A1649" s="3">
        <v>1627.0</v>
      </c>
      <c r="B1649" s="3" t="s">
        <v>189</v>
      </c>
      <c r="C1649" s="3" t="s">
        <v>190</v>
      </c>
      <c r="D1649" s="3" t="s">
        <v>4441</v>
      </c>
      <c r="E1649" s="3" t="s">
        <v>4437</v>
      </c>
      <c r="F1649" s="3" t="s">
        <v>4438</v>
      </c>
      <c r="G1649" s="3" t="str">
        <f>IFERROR(__xludf.DUMMYFUNCTION("GOOGLETRANSLATE(D1649,""fr"",""es"")"),"pálido")</f>
        <v>pálido</v>
      </c>
    </row>
    <row r="1650">
      <c r="A1650" s="3">
        <v>1628.0</v>
      </c>
      <c r="B1650" s="3" t="s">
        <v>189</v>
      </c>
      <c r="C1650" s="3" t="s">
        <v>190</v>
      </c>
      <c r="D1650" s="3" t="s">
        <v>4442</v>
      </c>
      <c r="E1650" s="3" t="s">
        <v>4443</v>
      </c>
      <c r="F1650" s="3" t="s">
        <v>4444</v>
      </c>
      <c r="G1650" s="3" t="str">
        <f>IFERROR(__xludf.DUMMYFUNCTION("GOOGLETRANSLATE(D1650,""fr"",""es"")"),"pálido")</f>
        <v>pálido</v>
      </c>
    </row>
    <row r="1651">
      <c r="A1651" s="3">
        <v>1629.0</v>
      </c>
      <c r="B1651" s="3" t="s">
        <v>189</v>
      </c>
      <c r="C1651" s="3" t="s">
        <v>190</v>
      </c>
      <c r="D1651" s="3" t="s">
        <v>4445</v>
      </c>
      <c r="E1651" s="3" t="s">
        <v>4437</v>
      </c>
      <c r="F1651" s="3" t="s">
        <v>4438</v>
      </c>
      <c r="G1651" s="3" t="str">
        <f>IFERROR(__xludf.DUMMYFUNCTION("GOOGLETRANSLATE(D1651,""fr"",""es"")"),"pálido")</f>
        <v>pálido</v>
      </c>
    </row>
    <row r="1652">
      <c r="A1652" s="3">
        <v>1630.0</v>
      </c>
      <c r="B1652" s="3" t="s">
        <v>189</v>
      </c>
      <c r="C1652" s="3" t="s">
        <v>190</v>
      </c>
      <c r="D1652" s="3" t="s">
        <v>4446</v>
      </c>
      <c r="E1652" s="3" t="s">
        <v>4447</v>
      </c>
      <c r="F1652" s="3" t="s">
        <v>4448</v>
      </c>
      <c r="G1652" s="3" t="str">
        <f>IFERROR(__xludf.DUMMYFUNCTION("GOOGLETRANSLATE(D1652,""fr"",""es"")"),"pálido")</f>
        <v>pálido</v>
      </c>
    </row>
    <row r="1653">
      <c r="A1653" s="3">
        <v>1631.0</v>
      </c>
      <c r="B1653" s="3" t="s">
        <v>189</v>
      </c>
      <c r="C1653" s="3" t="s">
        <v>190</v>
      </c>
      <c r="D1653" s="3" t="s">
        <v>4449</v>
      </c>
      <c r="E1653" s="3" t="s">
        <v>4447</v>
      </c>
      <c r="F1653" s="3" t="s">
        <v>4448</v>
      </c>
      <c r="G1653" s="3" t="str">
        <f>IFERROR(__xludf.DUMMYFUNCTION("GOOGLETRANSLATE(D1653,""fr"",""es"")"),"pálido")</f>
        <v>pálido</v>
      </c>
    </row>
    <row r="1654">
      <c r="A1654" s="3">
        <v>1632.0</v>
      </c>
      <c r="B1654" s="3" t="s">
        <v>189</v>
      </c>
      <c r="C1654" s="3" t="s">
        <v>190</v>
      </c>
      <c r="D1654" s="3" t="s">
        <v>4450</v>
      </c>
      <c r="E1654" s="3" t="s">
        <v>4447</v>
      </c>
      <c r="F1654" s="3" t="s">
        <v>4448</v>
      </c>
      <c r="G1654" s="3" t="str">
        <f>IFERROR(__xludf.DUMMYFUNCTION("GOOGLETRANSLATE(D1654,""fr"",""es"")"),"pálido")</f>
        <v>pálido</v>
      </c>
    </row>
    <row r="1655">
      <c r="A1655" s="3">
        <v>1633.0</v>
      </c>
      <c r="B1655" s="3" t="s">
        <v>189</v>
      </c>
      <c r="C1655" s="3" t="s">
        <v>190</v>
      </c>
      <c r="D1655" s="3" t="s">
        <v>4451</v>
      </c>
      <c r="E1655" s="3" t="s">
        <v>4452</v>
      </c>
      <c r="F1655" s="3" t="s">
        <v>4453</v>
      </c>
      <c r="G1655" s="3" t="str">
        <f>IFERROR(__xludf.DUMMYFUNCTION("GOOGLETRANSLATE(D1655,""fr"",""es"")"),"pálido")</f>
        <v>pálido</v>
      </c>
    </row>
    <row r="1656">
      <c r="A1656" s="3">
        <v>1634.0</v>
      </c>
      <c r="B1656" s="3" t="s">
        <v>189</v>
      </c>
      <c r="C1656" s="3" t="s">
        <v>190</v>
      </c>
      <c r="D1656" s="3" t="s">
        <v>4454</v>
      </c>
      <c r="E1656" s="3" t="s">
        <v>4452</v>
      </c>
      <c r="F1656" s="3" t="s">
        <v>4453</v>
      </c>
      <c r="G1656" s="3" t="str">
        <f>IFERROR(__xludf.DUMMYFUNCTION("GOOGLETRANSLATE(D1656,""fr"",""es"")"),"pálido")</f>
        <v>pálido</v>
      </c>
    </row>
    <row r="1657">
      <c r="A1657" s="3">
        <v>1635.0</v>
      </c>
      <c r="B1657" s="3" t="s">
        <v>189</v>
      </c>
      <c r="C1657" s="3" t="s">
        <v>190</v>
      </c>
      <c r="D1657" s="3" t="s">
        <v>4455</v>
      </c>
      <c r="E1657" s="3" t="s">
        <v>4452</v>
      </c>
      <c r="F1657" s="3" t="s">
        <v>4453</v>
      </c>
      <c r="G1657" s="3" t="str">
        <f>IFERROR(__xludf.DUMMYFUNCTION("GOOGLETRANSLATE(D1657,""fr"",""es"")"),"pálido")</f>
        <v>pálido</v>
      </c>
    </row>
    <row r="1658">
      <c r="A1658" s="3">
        <v>1636.0</v>
      </c>
      <c r="B1658" s="3" t="s">
        <v>189</v>
      </c>
      <c r="C1658" s="3" t="s">
        <v>190</v>
      </c>
      <c r="D1658" s="3" t="s">
        <v>4456</v>
      </c>
      <c r="E1658" s="3" t="s">
        <v>4437</v>
      </c>
      <c r="F1658" s="3" t="s">
        <v>4438</v>
      </c>
      <c r="G1658" s="3" t="str">
        <f>IFERROR(__xludf.DUMMYFUNCTION("GOOGLETRANSLATE(D1658,""fr"",""es"")"),"pálido")</f>
        <v>pálido</v>
      </c>
    </row>
    <row r="1659">
      <c r="A1659" s="3">
        <v>1637.0</v>
      </c>
      <c r="B1659" s="3" t="s">
        <v>189</v>
      </c>
      <c r="C1659" s="3" t="s">
        <v>190</v>
      </c>
      <c r="D1659" s="3" t="s">
        <v>4457</v>
      </c>
      <c r="E1659" s="3" t="s">
        <v>4437</v>
      </c>
      <c r="F1659" s="3" t="s">
        <v>4438</v>
      </c>
      <c r="G1659" s="3" t="str">
        <f>IFERROR(__xludf.DUMMYFUNCTION("GOOGLETRANSLATE(D1659,""fr"",""es"")"),"pálido")</f>
        <v>pálido</v>
      </c>
    </row>
    <row r="1660">
      <c r="A1660" s="3">
        <v>1638.0</v>
      </c>
      <c r="B1660" s="3" t="s">
        <v>189</v>
      </c>
      <c r="C1660" s="3" t="s">
        <v>190</v>
      </c>
      <c r="D1660" s="3" t="s">
        <v>4458</v>
      </c>
      <c r="E1660" s="3" t="s">
        <v>4437</v>
      </c>
      <c r="F1660" s="3" t="s">
        <v>4438</v>
      </c>
      <c r="G1660" s="3" t="str">
        <f>IFERROR(__xludf.DUMMYFUNCTION("GOOGLETRANSLATE(D1660,""fr"",""es"")"),"unidad")</f>
        <v>unidad</v>
      </c>
    </row>
    <row r="1661">
      <c r="A1661" s="3">
        <v>1639.0</v>
      </c>
      <c r="B1661" s="3" t="s">
        <v>189</v>
      </c>
      <c r="C1661" s="3" t="s">
        <v>190</v>
      </c>
      <c r="D1661" s="3" t="s">
        <v>4459</v>
      </c>
      <c r="E1661" s="3" t="s">
        <v>4437</v>
      </c>
      <c r="F1661" s="3" t="s">
        <v>4438</v>
      </c>
      <c r="G1661" s="3" t="str">
        <f>IFERROR(__xludf.DUMMYFUNCTION("GOOGLETRANSLATE(D1661,""fr"",""es"")"),"unidad")</f>
        <v>unidad</v>
      </c>
    </row>
    <row r="1662">
      <c r="A1662" s="3">
        <v>1640.0</v>
      </c>
      <c r="B1662" s="3" t="s">
        <v>189</v>
      </c>
      <c r="C1662" s="3" t="s">
        <v>190</v>
      </c>
      <c r="D1662" s="3" t="s">
        <v>4460</v>
      </c>
      <c r="E1662" s="3" t="s">
        <v>4437</v>
      </c>
      <c r="F1662" s="3" t="s">
        <v>4438</v>
      </c>
      <c r="G1662" s="3" t="str">
        <f>IFERROR(__xludf.DUMMYFUNCTION("GOOGLETRANSLATE(D1662,""fr"",""es"")"),"unidad")</f>
        <v>unidad</v>
      </c>
    </row>
    <row r="1663">
      <c r="A1663" s="3">
        <v>1641.0</v>
      </c>
      <c r="B1663" s="3" t="s">
        <v>189</v>
      </c>
      <c r="C1663" s="3" t="s">
        <v>190</v>
      </c>
      <c r="D1663" s="3" t="s">
        <v>4461</v>
      </c>
      <c r="E1663" s="3" t="s">
        <v>4400</v>
      </c>
      <c r="F1663" s="3" t="s">
        <v>4399</v>
      </c>
      <c r="G1663" s="3" t="str">
        <f>IFERROR(__xludf.DUMMYFUNCTION("GOOGLETRANSLATE(D1663,""fr"",""es"")"),"amigos")</f>
        <v>amigos</v>
      </c>
    </row>
    <row r="1664">
      <c r="A1664" s="3">
        <v>1642.0</v>
      </c>
      <c r="B1664" s="3" t="s">
        <v>189</v>
      </c>
      <c r="C1664" s="3" t="s">
        <v>190</v>
      </c>
      <c r="D1664" s="3" t="s">
        <v>4462</v>
      </c>
      <c r="E1664" s="3" t="s">
        <v>4463</v>
      </c>
      <c r="F1664" s="3" t="s">
        <v>4464</v>
      </c>
      <c r="G1664" s="3" t="str">
        <f>IFERROR(__xludf.DUMMYFUNCTION("GOOGLETRANSLATE(D1664,""fr"",""es"")"),"Pâmai")</f>
        <v>Pâmai</v>
      </c>
    </row>
    <row r="1665">
      <c r="A1665" s="3">
        <v>1643.0</v>
      </c>
      <c r="B1665" s="3" t="s">
        <v>189</v>
      </c>
      <c r="C1665" s="3" t="s">
        <v>190</v>
      </c>
      <c r="D1665" s="3" t="s">
        <v>4465</v>
      </c>
      <c r="E1665" s="3" t="s">
        <v>4463</v>
      </c>
      <c r="F1665" s="3" t="s">
        <v>4464</v>
      </c>
      <c r="G1665" s="3" t="str">
        <f>IFERROR(__xludf.DUMMYFUNCTION("GOOGLETRANSLATE(D1665,""fr"",""es"")"),"pálido")</f>
        <v>pálido</v>
      </c>
    </row>
    <row r="1666">
      <c r="A1666" s="3">
        <v>1644.0</v>
      </c>
      <c r="B1666" s="3" t="s">
        <v>189</v>
      </c>
      <c r="C1666" s="3" t="s">
        <v>190</v>
      </c>
      <c r="D1666" s="3" t="s">
        <v>4466</v>
      </c>
      <c r="E1666" s="3" t="s">
        <v>4463</v>
      </c>
      <c r="F1666" s="3" t="s">
        <v>4464</v>
      </c>
      <c r="G1666" s="3" t="str">
        <f>IFERROR(__xludf.DUMMYFUNCTION("GOOGLETRANSLATE(D1666,""fr"",""es"")"),"Pâpais")</f>
        <v>Pâpais</v>
      </c>
    </row>
    <row r="1667">
      <c r="A1667" s="3">
        <v>1645.0</v>
      </c>
      <c r="B1667" s="3" t="s">
        <v>189</v>
      </c>
      <c r="C1667" s="3" t="s">
        <v>190</v>
      </c>
      <c r="D1667" s="3" t="s">
        <v>4467</v>
      </c>
      <c r="E1667" s="3" t="s">
        <v>4463</v>
      </c>
      <c r="F1667" s="3" t="s">
        <v>4464</v>
      </c>
      <c r="G1667" s="3" t="str">
        <f>IFERROR(__xludf.DUMMYFUNCTION("GOOGLETRANSLATE(D1667,""fr"",""es"")"),"Masan")</f>
        <v>Masan</v>
      </c>
    </row>
    <row r="1668">
      <c r="A1668" s="3">
        <v>1646.0</v>
      </c>
      <c r="B1668" s="3" t="s">
        <v>189</v>
      </c>
      <c r="C1668" s="3" t="s">
        <v>190</v>
      </c>
      <c r="D1668" s="3" t="s">
        <v>4468</v>
      </c>
      <c r="E1668" s="3" t="s">
        <v>4469</v>
      </c>
      <c r="F1668" s="3" t="s">
        <v>4470</v>
      </c>
      <c r="G1668" s="3" t="str">
        <f>IFERROR(__xludf.DUMMYFUNCTION("GOOGLETRANSLATE(D1668,""fr"",""es"")"),"pálido")</f>
        <v>pálido</v>
      </c>
    </row>
    <row r="1669">
      <c r="A1669" s="3">
        <v>1647.0</v>
      </c>
      <c r="B1669" s="3" t="s">
        <v>189</v>
      </c>
      <c r="C1669" s="3" t="s">
        <v>190</v>
      </c>
      <c r="D1669" s="3" t="s">
        <v>4471</v>
      </c>
      <c r="E1669" s="3" t="s">
        <v>4472</v>
      </c>
      <c r="F1669" s="3" t="s">
        <v>4473</v>
      </c>
      <c r="G1669" s="3" t="str">
        <f>IFERROR(__xludf.DUMMYFUNCTION("GOOGLETRANSLATE(D1669,""fr"",""es"")"),"piscasse")</f>
        <v>piscasse</v>
      </c>
    </row>
    <row r="1670">
      <c r="A1670" s="3">
        <v>1648.0</v>
      </c>
      <c r="B1670" s="3" t="s">
        <v>189</v>
      </c>
      <c r="C1670" s="3" t="s">
        <v>190</v>
      </c>
      <c r="D1670" s="3" t="s">
        <v>4474</v>
      </c>
      <c r="E1670" s="3" t="s">
        <v>4472</v>
      </c>
      <c r="F1670" s="3" t="s">
        <v>4473</v>
      </c>
      <c r="G1670" s="3" t="str">
        <f>IFERROR(__xludf.DUMMYFUNCTION("GOOGLETRANSLATE(D1670,""fr"",""es"")"),"pasado")</f>
        <v>pasado</v>
      </c>
    </row>
    <row r="1671">
      <c r="A1671" s="3">
        <v>1649.0</v>
      </c>
      <c r="B1671" s="3" t="s">
        <v>189</v>
      </c>
      <c r="C1671" s="3" t="s">
        <v>190</v>
      </c>
      <c r="D1671" s="3" t="s">
        <v>4475</v>
      </c>
      <c r="E1671" s="3" t="s">
        <v>4472</v>
      </c>
      <c r="F1671" s="3" t="s">
        <v>4473</v>
      </c>
      <c r="G1671" s="3" t="str">
        <f>IFERROR(__xludf.DUMMYFUNCTION("GOOGLETRANSLATE(D1671,""fr"",""es"")"),"masas")</f>
        <v>masas</v>
      </c>
    </row>
    <row r="1672">
      <c r="A1672" s="3">
        <v>1650.0</v>
      </c>
      <c r="B1672" s="3" t="s">
        <v>189</v>
      </c>
      <c r="C1672" s="3" t="s">
        <v>190</v>
      </c>
      <c r="D1672" s="3" t="s">
        <v>4476</v>
      </c>
      <c r="E1672" s="3" t="s">
        <v>4477</v>
      </c>
      <c r="F1672" s="3" t="s">
        <v>4478</v>
      </c>
      <c r="G1672" s="3" t="str">
        <f>IFERROR(__xludf.DUMMYFUNCTION("GOOGLETRANSLATE(D1672,""fr"",""es"")"),"palmadita")</f>
        <v>palmadita</v>
      </c>
    </row>
    <row r="1673">
      <c r="A1673" s="3">
        <v>1651.0</v>
      </c>
      <c r="B1673" s="3" t="s">
        <v>189</v>
      </c>
      <c r="C1673" s="3" t="s">
        <v>190</v>
      </c>
      <c r="D1673" s="3" t="s">
        <v>4479</v>
      </c>
      <c r="E1673" s="3" t="s">
        <v>4477</v>
      </c>
      <c r="F1673" s="3" t="s">
        <v>4478</v>
      </c>
      <c r="G1673" s="3" t="str">
        <f>IFERROR(__xludf.DUMMYFUNCTION("GOOGLETRANSLATE(D1673,""fr"",""es"")"),"De manera emprendedora")</f>
        <v>De manera emprendedora</v>
      </c>
    </row>
    <row r="1674">
      <c r="A1674" s="3">
        <v>1652.0</v>
      </c>
      <c r="B1674" s="3" t="s">
        <v>189</v>
      </c>
      <c r="C1674" s="3" t="s">
        <v>190</v>
      </c>
      <c r="D1674" s="3" t="s">
        <v>4480</v>
      </c>
      <c r="E1674" s="3" t="s">
        <v>4477</v>
      </c>
      <c r="F1674" s="3" t="s">
        <v>4478</v>
      </c>
      <c r="G1674" s="3" t="str">
        <f>IFERROR(__xludf.DUMMYFUNCTION("GOOGLETRANSLATE(D1674,""fr"",""es"")"),"Pensilvania.")</f>
        <v>Pensilvania.</v>
      </c>
    </row>
    <row r="1675">
      <c r="A1675" s="3">
        <v>1653.0</v>
      </c>
      <c r="B1675" s="3" t="s">
        <v>189</v>
      </c>
      <c r="C1675" s="3" t="s">
        <v>190</v>
      </c>
      <c r="D1675" s="3" t="s">
        <v>4481</v>
      </c>
      <c r="E1675" s="3" t="s">
        <v>4482</v>
      </c>
      <c r="F1675" s="3" t="s">
        <v>4483</v>
      </c>
      <c r="G1675" s="3" t="str">
        <f>IFERROR(__xludf.DUMMYFUNCTION("GOOGLETRANSLATE(D1675,""fr"",""es"")"),"panachai")</f>
        <v>panachai</v>
      </c>
    </row>
    <row r="1676">
      <c r="A1676" s="3">
        <v>1654.0</v>
      </c>
      <c r="B1676" s="3" t="s">
        <v>189</v>
      </c>
      <c r="C1676" s="3" t="s">
        <v>190</v>
      </c>
      <c r="D1676" s="3" t="s">
        <v>4484</v>
      </c>
      <c r="E1676" s="3" t="s">
        <v>4482</v>
      </c>
      <c r="F1676" s="3" t="s">
        <v>4483</v>
      </c>
      <c r="G1676" s="3" t="str">
        <f>IFERROR(__xludf.DUMMYFUNCTION("GOOGLETRANSLATE(D1676,""fr"",""es"")"),"paanchant")</f>
        <v>paanchant</v>
      </c>
    </row>
    <row r="1677">
      <c r="A1677" s="3">
        <v>1655.0</v>
      </c>
      <c r="B1677" s="3" t="s">
        <v>189</v>
      </c>
      <c r="C1677" s="3" t="s">
        <v>190</v>
      </c>
      <c r="D1677" s="3" t="s">
        <v>4485</v>
      </c>
      <c r="E1677" s="3" t="s">
        <v>4482</v>
      </c>
      <c r="F1677" s="3" t="s">
        <v>4483</v>
      </c>
      <c r="G1677" s="3" t="str">
        <f>IFERROR(__xludf.DUMMYFUNCTION("GOOGLETRANSLATE(D1677,""fr"",""es"")"),"panachais")</f>
        <v>panachais</v>
      </c>
    </row>
    <row r="1678">
      <c r="A1678" s="3">
        <v>1656.0</v>
      </c>
      <c r="B1678" s="3" t="s">
        <v>189</v>
      </c>
      <c r="C1678" s="3" t="s">
        <v>190</v>
      </c>
      <c r="D1678" s="3" t="s">
        <v>4486</v>
      </c>
      <c r="E1678" s="3" t="s">
        <v>4482</v>
      </c>
      <c r="F1678" s="3" t="s">
        <v>4483</v>
      </c>
      <c r="G1678" s="3" t="str">
        <f>IFERROR(__xludf.DUMMYFUNCTION("GOOGLETRANSLATE(D1678,""fr"",""es"")"),"inmersión")</f>
        <v>inmersión</v>
      </c>
    </row>
    <row r="1679">
      <c r="A1679" s="3">
        <v>1657.0</v>
      </c>
      <c r="B1679" s="3" t="s">
        <v>189</v>
      </c>
      <c r="C1679" s="3" t="s">
        <v>190</v>
      </c>
      <c r="D1679" s="3" t="s">
        <v>4487</v>
      </c>
      <c r="E1679" s="3" t="s">
        <v>4488</v>
      </c>
      <c r="F1679" s="3" t="s">
        <v>4489</v>
      </c>
      <c r="G1679" s="3" t="str">
        <f>IFERROR(__xludf.DUMMYFUNCTION("GOOGLETRANSLATE(D1679,""fr"",""es"")"),"inmersión")</f>
        <v>inmersión</v>
      </c>
    </row>
    <row r="1680">
      <c r="A1680" s="3">
        <v>1658.0</v>
      </c>
      <c r="B1680" s="3" t="s">
        <v>189</v>
      </c>
      <c r="C1680" s="3" t="s">
        <v>190</v>
      </c>
      <c r="D1680" s="3" t="s">
        <v>4490</v>
      </c>
      <c r="E1680" s="3" t="s">
        <v>4491</v>
      </c>
      <c r="F1680" s="3" t="s">
        <v>4492</v>
      </c>
      <c r="G1680" s="3" t="str">
        <f>IFERROR(__xludf.DUMMYFUNCTION("GOOGLETRANSLATE(D1680,""fr"",""es"")"),"emplomado")</f>
        <v>emplomado</v>
      </c>
    </row>
    <row r="1681">
      <c r="A1681" s="3">
        <v>1659.0</v>
      </c>
      <c r="B1681" s="3" t="s">
        <v>189</v>
      </c>
      <c r="C1681" s="3" t="s">
        <v>190</v>
      </c>
      <c r="D1681" s="3" t="s">
        <v>4493</v>
      </c>
      <c r="E1681" s="3" t="s">
        <v>4491</v>
      </c>
      <c r="F1681" s="3" t="s">
        <v>4492</v>
      </c>
      <c r="G1681" s="3" t="str">
        <f>IFERROR(__xludf.DUMMYFUNCTION("GOOGLETRANSLATE(D1681,""fr"",""es"")"),"enchufar")</f>
        <v>enchufar</v>
      </c>
    </row>
    <row r="1682">
      <c r="A1682" s="3">
        <v>1660.0</v>
      </c>
      <c r="B1682" s="3" t="s">
        <v>189</v>
      </c>
      <c r="C1682" s="3" t="s">
        <v>190</v>
      </c>
      <c r="D1682" s="3" t="s">
        <v>4494</v>
      </c>
      <c r="E1682" s="3" t="s">
        <v>4491</v>
      </c>
      <c r="F1682" s="3" t="s">
        <v>4492</v>
      </c>
      <c r="G1682" s="3" t="str">
        <f>IFERROR(__xludf.DUMMYFUNCTION("GOOGLETRANSLATE(D1682,""fr"",""es"")"),"inmersión")</f>
        <v>inmersión</v>
      </c>
    </row>
    <row r="1683">
      <c r="A1683" s="3">
        <v>1661.0</v>
      </c>
      <c r="B1683" s="3" t="s">
        <v>189</v>
      </c>
      <c r="C1683" s="3" t="s">
        <v>190</v>
      </c>
      <c r="D1683" s="3" t="s">
        <v>4495</v>
      </c>
      <c r="E1683" s="3" t="s">
        <v>4496</v>
      </c>
      <c r="F1683" s="3" t="s">
        <v>4497</v>
      </c>
      <c r="G1683" s="3" t="str">
        <f>IFERROR(__xludf.DUMMYFUNCTION("GOOGLETRANSLATE(D1683,""fr"",""es"")"),"penacho")</f>
        <v>penacho</v>
      </c>
      <c r="H1683" s="3" t="s">
        <v>4498</v>
      </c>
      <c r="I1683" s="3" t="s">
        <v>4499</v>
      </c>
      <c r="J1683" s="3" t="s">
        <v>4500</v>
      </c>
      <c r="K1683" s="3" t="s">
        <v>4495</v>
      </c>
      <c r="L1683" s="3" t="s">
        <v>4501</v>
      </c>
    </row>
    <row r="1684">
      <c r="A1684" s="3">
        <v>1662.0</v>
      </c>
      <c r="B1684" s="3" t="s">
        <v>189</v>
      </c>
      <c r="C1684" s="3" t="s">
        <v>190</v>
      </c>
      <c r="D1684" s="3" t="s">
        <v>4502</v>
      </c>
      <c r="E1684" s="3" t="s">
        <v>4496</v>
      </c>
      <c r="F1684" s="3" t="s">
        <v>4497</v>
      </c>
      <c r="G1684" s="3" t="str">
        <f>IFERROR(__xludf.DUMMYFUNCTION("GOOGLETRANSLATE(D1684,""fr"",""es"")"),"plumento")</f>
        <v>plumento</v>
      </c>
    </row>
    <row r="1685">
      <c r="A1685" s="3">
        <v>1663.0</v>
      </c>
      <c r="B1685" s="3" t="s">
        <v>189</v>
      </c>
      <c r="C1685" s="3" t="s">
        <v>190</v>
      </c>
      <c r="D1685" s="3" t="s">
        <v>4503</v>
      </c>
      <c r="E1685" s="3" t="s">
        <v>4496</v>
      </c>
      <c r="F1685" s="3" t="s">
        <v>4497</v>
      </c>
      <c r="G1685" s="3" t="str">
        <f>IFERROR(__xludf.DUMMYFUNCTION("GOOGLETRANSLATE(D1685,""fr"",""es"")"),"inmersión")</f>
        <v>inmersión</v>
      </c>
    </row>
    <row r="1686">
      <c r="A1686" s="3">
        <v>1664.0</v>
      </c>
      <c r="B1686" s="3" t="s">
        <v>189</v>
      </c>
      <c r="C1686" s="3" t="s">
        <v>190</v>
      </c>
      <c r="D1686" s="3" t="s">
        <v>4504</v>
      </c>
      <c r="E1686" s="3" t="s">
        <v>4505</v>
      </c>
      <c r="F1686" s="3" t="s">
        <v>4506</v>
      </c>
      <c r="G1686" s="3" t="str">
        <f>IFERROR(__xludf.DUMMYFUNCTION("GOOGLETRANSLATE(D1686,""fr"",""es"")"),"Panai")</f>
        <v>Panai</v>
      </c>
    </row>
    <row r="1687">
      <c r="A1687" s="3">
        <v>1665.0</v>
      </c>
      <c r="B1687" s="3" t="s">
        <v>189</v>
      </c>
      <c r="C1687" s="3" t="s">
        <v>190</v>
      </c>
      <c r="D1687" s="3" t="s">
        <v>4507</v>
      </c>
      <c r="E1687" s="3" t="s">
        <v>4505</v>
      </c>
      <c r="F1687" s="3" t="s">
        <v>4506</v>
      </c>
      <c r="G1687" s="3" t="str">
        <f>IFERROR(__xludf.DUMMYFUNCTION("GOOGLETRANSLATE(D1687,""fr"",""es"")"),"doblado")</f>
        <v>doblado</v>
      </c>
    </row>
    <row r="1688">
      <c r="A1688" s="3">
        <v>1666.0</v>
      </c>
      <c r="B1688" s="3" t="s">
        <v>189</v>
      </c>
      <c r="C1688" s="3" t="s">
        <v>190</v>
      </c>
      <c r="D1688" s="3" t="s">
        <v>4508</v>
      </c>
      <c r="E1688" s="3" t="s">
        <v>4505</v>
      </c>
      <c r="F1688" s="3" t="s">
        <v>4506</v>
      </c>
      <c r="G1688" s="3" t="str">
        <f>IFERROR(__xludf.DUMMYFUNCTION("GOOGLETRANSLATE(D1688,""fr"",""es"")"),"chirivía")</f>
        <v>chirivía</v>
      </c>
      <c r="H1688" s="3" t="s">
        <v>4509</v>
      </c>
      <c r="I1688" s="3" t="s">
        <v>4509</v>
      </c>
      <c r="J1688" s="3" t="s">
        <v>4510</v>
      </c>
      <c r="K1688" s="3" t="s">
        <v>4509</v>
      </c>
    </row>
    <row r="1689">
      <c r="A1689" s="3">
        <v>1667.0</v>
      </c>
      <c r="B1689" s="3" t="s">
        <v>189</v>
      </c>
      <c r="C1689" s="3" t="s">
        <v>190</v>
      </c>
      <c r="D1689" s="3" t="s">
        <v>4511</v>
      </c>
      <c r="E1689" s="3" t="s">
        <v>4505</v>
      </c>
      <c r="F1689" s="3" t="s">
        <v>4506</v>
      </c>
      <c r="G1689" s="3" t="str">
        <f>IFERROR(__xludf.DUMMYFUNCTION("GOOGLETRANSLATE(D1689,""fr"",""es"")"),"pavimentado")</f>
        <v>pavimentado</v>
      </c>
    </row>
    <row r="1690">
      <c r="A1690" s="3">
        <v>1668.0</v>
      </c>
      <c r="B1690" s="3" t="s">
        <v>189</v>
      </c>
      <c r="C1690" s="3" t="s">
        <v>190</v>
      </c>
      <c r="D1690" s="3" t="s">
        <v>4512</v>
      </c>
      <c r="E1690" s="3" t="s">
        <v>4513</v>
      </c>
      <c r="F1690" s="3" t="s">
        <v>4514</v>
      </c>
      <c r="G1690" s="3" t="str">
        <f>IFERROR(__xludf.DUMMYFUNCTION("GOOGLETRANSLATE(D1690,""fr"",""es"")"),"Paname")</f>
        <v>Paname</v>
      </c>
    </row>
    <row r="1691">
      <c r="A1691" s="3">
        <v>1669.0</v>
      </c>
      <c r="B1691" s="3" t="s">
        <v>189</v>
      </c>
      <c r="C1691" s="3" t="s">
        <v>190</v>
      </c>
      <c r="D1691" s="3" t="s">
        <v>4515</v>
      </c>
      <c r="E1691" s="3" t="s">
        <v>4513</v>
      </c>
      <c r="F1691" s="3" t="s">
        <v>4514</v>
      </c>
      <c r="G1691" s="3" t="str">
        <f>IFERROR(__xludf.DUMMYFUNCTION("GOOGLETRANSLATE(D1691,""fr"",""es"")"),"sartén")</f>
        <v>sartén</v>
      </c>
    </row>
    <row r="1692">
      <c r="A1692" s="3">
        <v>1670.0</v>
      </c>
      <c r="B1692" s="3" t="s">
        <v>189</v>
      </c>
      <c r="C1692" s="3" t="s">
        <v>190</v>
      </c>
      <c r="D1692" s="3" t="s">
        <v>4516</v>
      </c>
      <c r="E1692" s="3" t="s">
        <v>4517</v>
      </c>
      <c r="F1692" s="3" t="s">
        <v>4518</v>
      </c>
      <c r="G1692" s="3" t="str">
        <f>IFERROR(__xludf.DUMMYFUNCTION("GOOGLETRANSLATE(D1692,""fr"",""es"")"),"panisse")</f>
        <v>panisse</v>
      </c>
    </row>
    <row r="1693">
      <c r="A1693" s="3">
        <v>1671.0</v>
      </c>
      <c r="B1693" s="3" t="s">
        <v>189</v>
      </c>
      <c r="C1693" s="3" t="s">
        <v>190</v>
      </c>
      <c r="D1693" s="3" t="s">
        <v>4519</v>
      </c>
      <c r="E1693" s="3" t="s">
        <v>4517</v>
      </c>
      <c r="F1693" s="3" t="s">
        <v>4518</v>
      </c>
      <c r="G1693" s="3" t="str">
        <f>IFERROR(__xludf.DUMMYFUNCTION("GOOGLETRANSLATE(D1693,""fr"",""es"")"),"panisse")</f>
        <v>panisse</v>
      </c>
    </row>
    <row r="1694">
      <c r="A1694" s="3">
        <v>1672.0</v>
      </c>
      <c r="B1694" s="3" t="s">
        <v>189</v>
      </c>
      <c r="C1694" s="3" t="s">
        <v>190</v>
      </c>
      <c r="D1694" s="3" t="s">
        <v>4520</v>
      </c>
      <c r="E1694" s="3" t="s">
        <v>4517</v>
      </c>
      <c r="F1694" s="3" t="s">
        <v>4518</v>
      </c>
      <c r="G1694" s="3" t="str">
        <f>IFERROR(__xludf.DUMMYFUNCTION("GOOGLETRANSLATE(D1694,""fr"",""es"")"),"panlasses")</f>
        <v>panlasses</v>
      </c>
    </row>
    <row r="1695">
      <c r="A1695" s="3">
        <v>1673.0</v>
      </c>
      <c r="B1695" s="3" t="s">
        <v>189</v>
      </c>
      <c r="C1695" s="3" t="s">
        <v>190</v>
      </c>
      <c r="D1695" s="3" t="s">
        <v>4521</v>
      </c>
      <c r="E1695" s="3" t="s">
        <v>4522</v>
      </c>
      <c r="F1695" s="3" t="s">
        <v>4523</v>
      </c>
      <c r="G1695" s="3" t="str">
        <f>IFERROR(__xludf.DUMMYFUNCTION("GOOGLETRANSLATE(D1695,""fr"",""es"")"),"empanizado")</f>
        <v>empanizado</v>
      </c>
    </row>
    <row r="1696">
      <c r="A1696" s="3">
        <v>1674.0</v>
      </c>
      <c r="B1696" s="3" t="s">
        <v>189</v>
      </c>
      <c r="C1696" s="3" t="s">
        <v>190</v>
      </c>
      <c r="D1696" s="3" t="s">
        <v>4524</v>
      </c>
      <c r="E1696" s="3" t="s">
        <v>4525</v>
      </c>
      <c r="F1696" s="3" t="s">
        <v>4526</v>
      </c>
      <c r="G1696" s="3" t="str">
        <f>IFERROR(__xludf.DUMMYFUNCTION("GOOGLETRANSLATE(D1696,""fr"",""es"")"),"panel")</f>
        <v>panel</v>
      </c>
      <c r="H1696" s="3" t="s">
        <v>4527</v>
      </c>
    </row>
    <row r="1697">
      <c r="A1697" s="3">
        <v>1675.0</v>
      </c>
      <c r="B1697" s="3" t="s">
        <v>189</v>
      </c>
      <c r="C1697" s="3" t="s">
        <v>190</v>
      </c>
      <c r="D1697" s="3" t="s">
        <v>4528</v>
      </c>
      <c r="E1697" s="3" t="s">
        <v>4525</v>
      </c>
      <c r="F1697" s="3" t="s">
        <v>4526</v>
      </c>
      <c r="G1697" s="3" t="str">
        <f>IFERROR(__xludf.DUMMYFUNCTION("GOOGLETRANSLATE(D1697,""fr"",""es"")"),"paneles")</f>
        <v>paneles</v>
      </c>
    </row>
    <row r="1698">
      <c r="A1698" s="3">
        <v>1676.0</v>
      </c>
      <c r="B1698" s="3" t="s">
        <v>189</v>
      </c>
      <c r="C1698" s="3" t="s">
        <v>190</v>
      </c>
      <c r="D1698" s="3" t="s">
        <v>4529</v>
      </c>
      <c r="E1698" s="3" t="s">
        <v>4522</v>
      </c>
      <c r="F1698" s="3" t="s">
        <v>4523</v>
      </c>
      <c r="G1698" s="3" t="str">
        <f>IFERROR(__xludf.DUMMYFUNCTION("GOOGLETRANSLATE(D1698,""fr"",""es"")"),"pandel")</f>
        <v>pandel</v>
      </c>
    </row>
    <row r="1699">
      <c r="A1699" s="3">
        <v>1677.0</v>
      </c>
      <c r="B1699" s="3" t="s">
        <v>189</v>
      </c>
      <c r="C1699" s="3" t="s">
        <v>190</v>
      </c>
      <c r="D1699" s="3" t="s">
        <v>4530</v>
      </c>
      <c r="E1699" s="3" t="s">
        <v>4522</v>
      </c>
      <c r="F1699" s="3" t="s">
        <v>4523</v>
      </c>
      <c r="G1699" s="3" t="str">
        <f>IFERROR(__xludf.DUMMYFUNCTION("GOOGLETRANSLATE(D1699,""fr"",""es"")"),"paneles")</f>
        <v>paneles</v>
      </c>
    </row>
    <row r="1700">
      <c r="A1700" s="3">
        <v>1678.0</v>
      </c>
      <c r="B1700" s="3" t="s">
        <v>189</v>
      </c>
      <c r="C1700" s="3" t="s">
        <v>190</v>
      </c>
      <c r="D1700" s="3" t="s">
        <v>4531</v>
      </c>
      <c r="E1700" s="3" t="s">
        <v>4532</v>
      </c>
      <c r="F1700" s="3" t="s">
        <v>4531</v>
      </c>
      <c r="G1700" s="3" t="str">
        <f>IFERROR(__xludf.DUMMYFUNCTION("GOOGLETRANSLATE(D1700,""fr"",""es"")"),"panín")</f>
        <v>panín</v>
      </c>
      <c r="H1700" s="3" t="s">
        <v>4533</v>
      </c>
    </row>
    <row r="1701">
      <c r="A1701" s="3">
        <v>1679.0</v>
      </c>
      <c r="B1701" s="3" t="s">
        <v>189</v>
      </c>
      <c r="C1701" s="3" t="s">
        <v>190</v>
      </c>
      <c r="D1701" s="3" t="s">
        <v>4534</v>
      </c>
      <c r="E1701" s="3" t="s">
        <v>4535</v>
      </c>
      <c r="F1701" s="3" t="s">
        <v>4536</v>
      </c>
      <c r="G1701" s="3" t="str">
        <f>IFERROR(__xludf.DUMMYFUNCTION("GOOGLETRANSLATE(D1701,""fr"",""es"")"),"paniqui")</f>
        <v>paniqui</v>
      </c>
    </row>
    <row r="1702">
      <c r="A1702" s="3">
        <v>1680.0</v>
      </c>
      <c r="B1702" s="3" t="s">
        <v>189</v>
      </c>
      <c r="C1702" s="3" t="s">
        <v>190</v>
      </c>
      <c r="D1702" s="3" t="s">
        <v>4537</v>
      </c>
      <c r="E1702" s="3" t="s">
        <v>4535</v>
      </c>
      <c r="F1702" s="3" t="s">
        <v>4536</v>
      </c>
      <c r="G1702" s="3" t="str">
        <f>IFERROR(__xludf.DUMMYFUNCTION("GOOGLETRANSLATE(D1702,""fr"",""es"")"),"pánico")</f>
        <v>pánico</v>
      </c>
    </row>
    <row r="1703">
      <c r="A1703" s="3">
        <v>1681.0</v>
      </c>
      <c r="B1703" s="3" t="s">
        <v>189</v>
      </c>
      <c r="C1703" s="3" t="s">
        <v>190</v>
      </c>
      <c r="D1703" s="3" t="s">
        <v>4538</v>
      </c>
      <c r="E1703" s="3" t="s">
        <v>4535</v>
      </c>
      <c r="F1703" s="3" t="s">
        <v>4536</v>
      </c>
      <c r="G1703" s="3" t="str">
        <f>IFERROR(__xludf.DUMMYFUNCTION("GOOGLETRANSLATE(D1703,""fr"",""es"")"),"Panicano")</f>
        <v>Panicano</v>
      </c>
    </row>
    <row r="1704">
      <c r="A1704" s="3">
        <v>1682.0</v>
      </c>
      <c r="B1704" s="3" t="s">
        <v>189</v>
      </c>
      <c r="C1704" s="3" t="s">
        <v>190</v>
      </c>
      <c r="D1704" s="3" t="s">
        <v>4539</v>
      </c>
      <c r="E1704" s="3" t="s">
        <v>4535</v>
      </c>
      <c r="F1704" s="3" t="s">
        <v>4536</v>
      </c>
      <c r="G1704" s="3" t="str">
        <f>IFERROR(__xludf.DUMMYFUNCTION("GOOGLETRANSLATE(D1704,""fr"",""es"")"),"pánico")</f>
        <v>pánico</v>
      </c>
    </row>
    <row r="1705">
      <c r="A1705" s="3">
        <v>1683.0</v>
      </c>
      <c r="B1705" s="3" t="s">
        <v>189</v>
      </c>
      <c r="C1705" s="3" t="s">
        <v>190</v>
      </c>
      <c r="D1705" s="3" t="s">
        <v>4540</v>
      </c>
      <c r="E1705" s="3" t="s">
        <v>4541</v>
      </c>
      <c r="F1705" s="3" t="s">
        <v>4542</v>
      </c>
      <c r="G1705" s="3" t="str">
        <f>IFERROR(__xludf.DUMMYFUNCTION("GOOGLETRANSLATE(D1705,""fr"",""es"")"),"paniqua")</f>
        <v>paniqua</v>
      </c>
    </row>
    <row r="1706">
      <c r="A1706" s="3">
        <v>1684.0</v>
      </c>
      <c r="B1706" s="3" t="s">
        <v>189</v>
      </c>
      <c r="C1706" s="3" t="s">
        <v>190</v>
      </c>
      <c r="D1706" s="3" t="s">
        <v>4543</v>
      </c>
      <c r="E1706" s="3" t="s">
        <v>4544</v>
      </c>
      <c r="F1706" s="3" t="s">
        <v>4545</v>
      </c>
      <c r="G1706" s="3" t="str">
        <f>IFERROR(__xludf.DUMMYFUNCTION("GOOGLETRANSLATE(D1706,""fr"",""es"")"),"panicasé")</f>
        <v>panicasé</v>
      </c>
    </row>
    <row r="1707">
      <c r="A1707" s="3">
        <v>1685.0</v>
      </c>
      <c r="B1707" s="3" t="s">
        <v>189</v>
      </c>
      <c r="C1707" s="3" t="s">
        <v>190</v>
      </c>
      <c r="D1707" s="3" t="s">
        <v>4546</v>
      </c>
      <c r="E1707" s="3" t="s">
        <v>4544</v>
      </c>
      <c r="F1707" s="3" t="s">
        <v>4545</v>
      </c>
      <c r="G1707" s="3" t="str">
        <f>IFERROR(__xludf.DUMMYFUNCTION("GOOGLETRANSLATE(D1707,""fr"",""es"")"),"panicasé")</f>
        <v>panicasé</v>
      </c>
    </row>
    <row r="1708">
      <c r="A1708" s="3">
        <v>1686.0</v>
      </c>
      <c r="B1708" s="3" t="s">
        <v>189</v>
      </c>
      <c r="C1708" s="3" t="s">
        <v>190</v>
      </c>
      <c r="D1708" s="3" t="s">
        <v>4547</v>
      </c>
      <c r="E1708" s="3" t="s">
        <v>4544</v>
      </c>
      <c r="F1708" s="3" t="s">
        <v>4545</v>
      </c>
      <c r="G1708" s="3" t="str">
        <f>IFERROR(__xludf.DUMMYFUNCTION("GOOGLETRANSLATE(D1708,""fr"",""es"")"),"panicassas")</f>
        <v>panicassas</v>
      </c>
    </row>
    <row r="1709">
      <c r="A1709" s="3">
        <v>1687.0</v>
      </c>
      <c r="B1709" s="3" t="s">
        <v>189</v>
      </c>
      <c r="C1709" s="3" t="s">
        <v>190</v>
      </c>
      <c r="D1709" s="3" t="s">
        <v>4548</v>
      </c>
      <c r="E1709" s="3" t="s">
        <v>4549</v>
      </c>
      <c r="F1709" s="3" t="s">
        <v>4550</v>
      </c>
      <c r="G1709" s="3" t="str">
        <f>IFERROR(__xludf.DUMMYFUNCTION("GOOGLETRANSLATE(D1709,""fr"",""es"")"),"pánico")</f>
        <v>pánico</v>
      </c>
      <c r="H1709" s="3" t="s">
        <v>4551</v>
      </c>
      <c r="I1709" s="3" t="s">
        <v>4552</v>
      </c>
      <c r="J1709" s="3" t="s">
        <v>4553</v>
      </c>
      <c r="K1709" s="3" t="s">
        <v>4554</v>
      </c>
      <c r="L1709" s="3" t="s">
        <v>4555</v>
      </c>
      <c r="M1709" s="3" t="s">
        <v>4556</v>
      </c>
      <c r="N1709" s="3" t="s">
        <v>4557</v>
      </c>
      <c r="O1709" s="3" t="s">
        <v>4557</v>
      </c>
      <c r="P1709" s="3" t="s">
        <v>4557</v>
      </c>
      <c r="Q1709" s="3" t="s">
        <v>4558</v>
      </c>
      <c r="R1709" s="3" t="s">
        <v>4559</v>
      </c>
      <c r="S1709" s="3" t="s">
        <v>4557</v>
      </c>
      <c r="T1709" s="3" t="s">
        <v>4560</v>
      </c>
    </row>
    <row r="1710">
      <c r="A1710" s="3">
        <v>1688.0</v>
      </c>
      <c r="B1710" s="3" t="s">
        <v>189</v>
      </c>
      <c r="C1710" s="3" t="s">
        <v>190</v>
      </c>
      <c r="D1710" s="3" t="s">
        <v>4561</v>
      </c>
      <c r="E1710" s="3" t="s">
        <v>4549</v>
      </c>
      <c r="F1710" s="3" t="s">
        <v>4550</v>
      </c>
      <c r="G1710" s="3" t="str">
        <f>IFERROR(__xludf.DUMMYFUNCTION("GOOGLETRANSLATE(D1710,""fr"",""es"")"),"pánico")</f>
        <v>pánico</v>
      </c>
    </row>
    <row r="1711">
      <c r="A1711" s="3">
        <v>1689.0</v>
      </c>
      <c r="B1711" s="3" t="s">
        <v>189</v>
      </c>
      <c r="C1711" s="3" t="s">
        <v>190</v>
      </c>
      <c r="D1711" s="3" t="s">
        <v>4562</v>
      </c>
      <c r="E1711" s="3" t="s">
        <v>4549</v>
      </c>
      <c r="F1711" s="3" t="s">
        <v>4550</v>
      </c>
      <c r="G1711" s="3" t="str">
        <f>IFERROR(__xludf.DUMMYFUNCTION("GOOGLETRANSLATE(D1711,""fr"",""es"")"),"pánico")</f>
        <v>pánico</v>
      </c>
    </row>
    <row r="1712">
      <c r="A1712" s="3">
        <v>1690.0</v>
      </c>
      <c r="B1712" s="3" t="s">
        <v>189</v>
      </c>
      <c r="C1712" s="3" t="s">
        <v>190</v>
      </c>
      <c r="D1712" s="3" t="s">
        <v>4563</v>
      </c>
      <c r="E1712" s="3" t="s">
        <v>4522</v>
      </c>
      <c r="F1712" s="3" t="s">
        <v>4523</v>
      </c>
      <c r="G1712" s="3" t="str">
        <f>IFERROR(__xludf.DUMMYFUNCTION("GOOGLETRANSLATE(D1712,""fr"",""es"")"),"desglose")</f>
        <v>desglose</v>
      </c>
      <c r="H1712" s="3" t="s">
        <v>4564</v>
      </c>
      <c r="I1712" s="3" t="s">
        <v>4565</v>
      </c>
      <c r="J1712" s="3" t="s">
        <v>4566</v>
      </c>
      <c r="K1712" s="3" t="s">
        <v>4567</v>
      </c>
    </row>
    <row r="1713">
      <c r="A1713" s="3">
        <v>1691.0</v>
      </c>
      <c r="B1713" s="3" t="s">
        <v>189</v>
      </c>
      <c r="C1713" s="3" t="s">
        <v>190</v>
      </c>
      <c r="D1713" s="3" t="s">
        <v>4568</v>
      </c>
      <c r="E1713" s="3" t="s">
        <v>4522</v>
      </c>
      <c r="F1713" s="3" t="s">
        <v>4523</v>
      </c>
      <c r="G1713" s="3" t="str">
        <f>IFERROR(__xludf.DUMMYFUNCTION("GOOGLETRANSLATE(D1713,""fr"",""es"")"),"desgloses")</f>
        <v>desgloses</v>
      </c>
    </row>
    <row r="1714">
      <c r="A1714" s="3">
        <v>1692.0</v>
      </c>
      <c r="B1714" s="3" t="s">
        <v>189</v>
      </c>
      <c r="C1714" s="3" t="s">
        <v>190</v>
      </c>
      <c r="D1714" s="3" t="s">
        <v>4569</v>
      </c>
      <c r="E1714" s="3" t="s">
        <v>4522</v>
      </c>
      <c r="F1714" s="3" t="s">
        <v>4523</v>
      </c>
      <c r="G1714" s="3" t="str">
        <f>IFERROR(__xludf.DUMMYFUNCTION("GOOGLETRANSLATE(D1714,""fr"",""es"")"),"pava real")</f>
        <v>pava real</v>
      </c>
      <c r="H1714" s="3" t="s">
        <v>4570</v>
      </c>
    </row>
    <row r="1715">
      <c r="A1715" s="3">
        <v>1693.0</v>
      </c>
      <c r="B1715" s="3" t="s">
        <v>189</v>
      </c>
      <c r="C1715" s="3" t="s">
        <v>190</v>
      </c>
      <c r="D1715" s="3" t="s">
        <v>4571</v>
      </c>
      <c r="E1715" s="3" t="s">
        <v>4522</v>
      </c>
      <c r="F1715" s="3" t="s">
        <v>4523</v>
      </c>
      <c r="G1715" s="3" t="str">
        <f>IFERROR(__xludf.DUMMYFUNCTION("GOOGLETRANSLATE(D1715,""fr"",""es"")"),"vaina")</f>
        <v>vaina</v>
      </c>
    </row>
    <row r="1716">
      <c r="A1716" s="3">
        <v>1694.0</v>
      </c>
      <c r="B1716" s="3" t="s">
        <v>189</v>
      </c>
      <c r="C1716" s="3" t="s">
        <v>190</v>
      </c>
      <c r="D1716" s="3" t="s">
        <v>4572</v>
      </c>
      <c r="E1716" s="3" t="s">
        <v>4573</v>
      </c>
      <c r="F1716" s="3" t="s">
        <v>4572</v>
      </c>
      <c r="G1716" s="3" t="str">
        <f>IFERROR(__xludf.DUMMYFUNCTION("GOOGLETRANSLATE(D1716,""fr"",""es"")"),"padre")</f>
        <v>padre</v>
      </c>
      <c r="H1716" s="3" t="s">
        <v>4574</v>
      </c>
      <c r="I1716" s="3" t="s">
        <v>4575</v>
      </c>
      <c r="J1716" s="3" t="s">
        <v>4576</v>
      </c>
      <c r="K1716" s="3" t="s">
        <v>4351</v>
      </c>
      <c r="L1716" s="3" t="s">
        <v>4572</v>
      </c>
      <c r="M1716" s="3" t="s">
        <v>4577</v>
      </c>
      <c r="N1716" s="3" t="s">
        <v>4578</v>
      </c>
    </row>
    <row r="1717">
      <c r="A1717" s="3">
        <v>1695.0</v>
      </c>
      <c r="B1717" s="3" t="s">
        <v>189</v>
      </c>
      <c r="C1717" s="3" t="s">
        <v>190</v>
      </c>
      <c r="D1717" s="3" t="s">
        <v>4579</v>
      </c>
      <c r="E1717" s="3" t="s">
        <v>4580</v>
      </c>
      <c r="F1717" s="3" t="s">
        <v>4579</v>
      </c>
      <c r="G1717" s="3" t="str">
        <f>IFERROR(__xludf.DUMMYFUNCTION("GOOGLETRANSLATE(D1717,""fr"",""es"")"),"papal")</f>
        <v>papal</v>
      </c>
      <c r="H1717" s="3" t="s">
        <v>4579</v>
      </c>
      <c r="I1717" s="3" t="s">
        <v>4581</v>
      </c>
      <c r="J1717" s="3" t="s">
        <v>4582</v>
      </c>
      <c r="K1717" s="3" t="s">
        <v>4583</v>
      </c>
    </row>
    <row r="1718">
      <c r="A1718" s="3">
        <v>1696.0</v>
      </c>
      <c r="B1718" s="3" t="s">
        <v>189</v>
      </c>
      <c r="C1718" s="3" t="s">
        <v>190</v>
      </c>
      <c r="D1718" s="3" t="s">
        <v>4584</v>
      </c>
      <c r="E1718" s="3" t="s">
        <v>4580</v>
      </c>
      <c r="F1718" s="3" t="s">
        <v>4579</v>
      </c>
      <c r="G1718" s="3" t="str">
        <f>IFERROR(__xludf.DUMMYFUNCTION("GOOGLETRANSLATE(D1718,""fr"",""es"")"),"papal")</f>
        <v>papal</v>
      </c>
    </row>
    <row r="1719">
      <c r="A1719" s="3">
        <v>1697.0</v>
      </c>
      <c r="B1719" s="3" t="s">
        <v>189</v>
      </c>
      <c r="C1719" s="3" t="s">
        <v>190</v>
      </c>
      <c r="D1719" s="3" t="s">
        <v>4585</v>
      </c>
      <c r="E1719" s="3" t="s">
        <v>4580</v>
      </c>
      <c r="F1719" s="3" t="s">
        <v>4579</v>
      </c>
      <c r="G1719" s="3" t="str">
        <f>IFERROR(__xludf.DUMMYFUNCTION("GOOGLETRANSLATE(D1719,""fr"",""es"")"),"papal")</f>
        <v>papal</v>
      </c>
    </row>
    <row r="1720">
      <c r="A1720" s="3">
        <v>1698.0</v>
      </c>
      <c r="B1720" s="3" t="s">
        <v>189</v>
      </c>
      <c r="C1720" s="3" t="s">
        <v>190</v>
      </c>
      <c r="D1720" s="3" t="s">
        <v>4586</v>
      </c>
      <c r="E1720" s="3" t="s">
        <v>4587</v>
      </c>
      <c r="F1720" s="3" t="s">
        <v>4588</v>
      </c>
      <c r="G1720" s="3" t="str">
        <f>IFERROR(__xludf.DUMMYFUNCTION("GOOGLETRANSLATE(D1720,""fr"",""es"")"),"papaya")</f>
        <v>papaya</v>
      </c>
      <c r="H1720" s="3" t="s">
        <v>4589</v>
      </c>
      <c r="I1720" s="3" t="s">
        <v>4589</v>
      </c>
      <c r="J1720" s="3" t="s">
        <v>4590</v>
      </c>
      <c r="K1720" s="3" t="s">
        <v>4591</v>
      </c>
      <c r="L1720" s="3" t="s">
        <v>4592</v>
      </c>
      <c r="M1720" s="3" t="s">
        <v>4593</v>
      </c>
      <c r="N1720" s="3" t="s">
        <v>4594</v>
      </c>
    </row>
    <row r="1721">
      <c r="A1721" s="3">
        <v>1699.0</v>
      </c>
      <c r="B1721" s="3" t="s">
        <v>189</v>
      </c>
      <c r="C1721" s="3" t="s">
        <v>190</v>
      </c>
      <c r="D1721" s="3" t="s">
        <v>4595</v>
      </c>
      <c r="E1721" s="3" t="s">
        <v>4587</v>
      </c>
      <c r="F1721" s="3" t="s">
        <v>4588</v>
      </c>
      <c r="G1721" s="3" t="str">
        <f>IFERROR(__xludf.DUMMYFUNCTION("GOOGLETRANSLATE(D1721,""fr"",""es"")"),"papaya")</f>
        <v>papaya</v>
      </c>
    </row>
    <row r="1722">
      <c r="A1722" s="3">
        <v>1700.0</v>
      </c>
      <c r="B1722" s="3" t="s">
        <v>189</v>
      </c>
      <c r="C1722" s="3" t="s">
        <v>190</v>
      </c>
      <c r="D1722" s="3" t="s">
        <v>4596</v>
      </c>
      <c r="E1722" s="3" t="s">
        <v>4597</v>
      </c>
      <c r="F1722" s="3" t="s">
        <v>4598</v>
      </c>
      <c r="G1722" s="3" t="str">
        <f>IFERROR(__xludf.DUMMYFUNCTION("GOOGLETRANSLATE(D1722,""fr"",""es"")"),"Papa")</f>
        <v>Papa</v>
      </c>
      <c r="H1722" s="3" t="s">
        <v>4599</v>
      </c>
      <c r="I1722" s="3" t="s">
        <v>4600</v>
      </c>
      <c r="J1722" s="3" t="s">
        <v>4601</v>
      </c>
      <c r="K1722" s="3" t="s">
        <v>4602</v>
      </c>
      <c r="L1722" s="3" t="s">
        <v>4603</v>
      </c>
      <c r="M1722" s="3" t="s">
        <v>4604</v>
      </c>
      <c r="N1722" s="3" t="s">
        <v>4605</v>
      </c>
      <c r="O1722" s="3" t="s">
        <v>4599</v>
      </c>
      <c r="P1722" s="3" t="s">
        <v>4600</v>
      </c>
      <c r="Q1722" s="3" t="s">
        <v>4601</v>
      </c>
      <c r="R1722" s="3" t="s">
        <v>4602</v>
      </c>
      <c r="S1722" s="3" t="s">
        <v>4603</v>
      </c>
      <c r="T1722" s="3" t="s">
        <v>4604</v>
      </c>
      <c r="U1722" s="3" t="s">
        <v>4605</v>
      </c>
      <c r="V1722" s="3" t="s">
        <v>4606</v>
      </c>
      <c r="W1722" s="3" t="s">
        <v>4607</v>
      </c>
    </row>
    <row r="1723">
      <c r="A1723" s="3">
        <v>1701.0</v>
      </c>
      <c r="B1723" s="3" t="s">
        <v>189</v>
      </c>
      <c r="C1723" s="3" t="s">
        <v>190</v>
      </c>
      <c r="D1723" s="3" t="s">
        <v>4608</v>
      </c>
      <c r="E1723" s="3" t="s">
        <v>4597</v>
      </c>
      <c r="F1723" s="3" t="s">
        <v>4598</v>
      </c>
      <c r="G1723" s="3" t="str">
        <f>IFERROR(__xludf.DUMMYFUNCTION("GOOGLETRANSLATE(D1723,""fr"",""es"")"),"papas")</f>
        <v>papas</v>
      </c>
    </row>
    <row r="1724">
      <c r="A1724" s="3">
        <v>1702.0</v>
      </c>
      <c r="B1724" s="3" t="s">
        <v>189</v>
      </c>
      <c r="C1724" s="3" t="s">
        <v>190</v>
      </c>
      <c r="D1724" s="3" t="s">
        <v>4609</v>
      </c>
      <c r="E1724" s="3" t="s">
        <v>4610</v>
      </c>
      <c r="F1724" s="3" t="s">
        <v>4611</v>
      </c>
      <c r="G1724" s="3" t="str">
        <f>IFERROR(__xludf.DUMMYFUNCTION("GOOGLETRANSLATE(D1724,""fr"",""es"")"),"plusvalía")</f>
        <v>plusvalía</v>
      </c>
    </row>
    <row r="1725">
      <c r="A1725" s="3">
        <v>1703.0</v>
      </c>
      <c r="B1725" s="3" t="s">
        <v>189</v>
      </c>
      <c r="C1725" s="3" t="s">
        <v>190</v>
      </c>
      <c r="D1725" s="3" t="s">
        <v>4612</v>
      </c>
      <c r="E1725" s="3" t="s">
        <v>4610</v>
      </c>
      <c r="F1725" s="3" t="s">
        <v>4611</v>
      </c>
      <c r="G1725" s="3" t="str">
        <f>IFERROR(__xludf.DUMMYFUNCTION("GOOGLETRANSLATE(D1725,""fr"",""es"")"),"papesse")</f>
        <v>papesse</v>
      </c>
    </row>
    <row r="1726">
      <c r="A1726" s="3">
        <v>1704.0</v>
      </c>
      <c r="B1726" s="3" t="s">
        <v>189</v>
      </c>
      <c r="C1726" s="3" t="s">
        <v>190</v>
      </c>
      <c r="D1726" s="3" t="s">
        <v>4613</v>
      </c>
      <c r="E1726" s="3" t="s">
        <v>4573</v>
      </c>
      <c r="F1726" s="3" t="s">
        <v>4572</v>
      </c>
      <c r="G1726" s="3" t="str">
        <f>IFERROR(__xludf.DUMMYFUNCTION("GOOGLETRANSLATE(D1726,""fr"",""es"")"),"papel")</f>
        <v>papel</v>
      </c>
    </row>
    <row r="1727">
      <c r="A1727" s="3">
        <v>1705.0</v>
      </c>
      <c r="B1727" s="3" t="s">
        <v>189</v>
      </c>
      <c r="C1727" s="3" t="s">
        <v>190</v>
      </c>
      <c r="D1727" s="3" t="s">
        <v>4614</v>
      </c>
      <c r="E1727" s="3" t="s">
        <v>4615</v>
      </c>
      <c r="F1727" s="3" t="s">
        <v>4614</v>
      </c>
      <c r="G1727" s="3" t="str">
        <f>IFERROR(__xludf.DUMMYFUNCTION("GOOGLETRANSLATE(D1727,""fr"",""es"")"),"Abuelo")</f>
        <v>Abuelo</v>
      </c>
      <c r="H1727" s="3" t="s">
        <v>4616</v>
      </c>
      <c r="I1727" s="3" t="s">
        <v>4617</v>
      </c>
      <c r="J1727" s="3" t="s">
        <v>4618</v>
      </c>
      <c r="K1727" s="3" t="s">
        <v>4619</v>
      </c>
      <c r="L1727" s="3" t="s">
        <v>4620</v>
      </c>
      <c r="M1727" s="3" t="s">
        <v>4621</v>
      </c>
    </row>
    <row r="1728">
      <c r="A1728" s="3">
        <v>1706.0</v>
      </c>
      <c r="B1728" s="3" t="s">
        <v>189</v>
      </c>
      <c r="C1728" s="3" t="s">
        <v>190</v>
      </c>
      <c r="D1728" s="3" t="s">
        <v>4622</v>
      </c>
      <c r="E1728" s="3" t="s">
        <v>4623</v>
      </c>
      <c r="F1728" s="3" t="s">
        <v>4624</v>
      </c>
      <c r="G1728" s="3" t="str">
        <f>IFERROR(__xludf.DUMMYFUNCTION("GOOGLETRANSLATE(D1728,""fr"",""es"")"),"papila")</f>
        <v>papila</v>
      </c>
      <c r="H1728" s="3" t="s">
        <v>4625</v>
      </c>
      <c r="I1728" s="3" t="s">
        <v>4626</v>
      </c>
      <c r="J1728" s="3" t="s">
        <v>4627</v>
      </c>
    </row>
    <row r="1729">
      <c r="A1729" s="3">
        <v>1707.0</v>
      </c>
      <c r="B1729" s="3" t="s">
        <v>189</v>
      </c>
      <c r="C1729" s="3" t="s">
        <v>190</v>
      </c>
      <c r="D1729" s="3" t="s">
        <v>4628</v>
      </c>
      <c r="E1729" s="3" t="s">
        <v>4623</v>
      </c>
      <c r="F1729" s="3" t="s">
        <v>4624</v>
      </c>
      <c r="G1729" s="3" t="str">
        <f>IFERROR(__xludf.DUMMYFUNCTION("GOOGLETRANSLATE(D1729,""fr"",""es"")"),"papilas gustativas")</f>
        <v>papilas gustativas</v>
      </c>
    </row>
    <row r="1730">
      <c r="A1730" s="3">
        <v>1708.0</v>
      </c>
      <c r="B1730" s="3" t="s">
        <v>189</v>
      </c>
      <c r="C1730" s="3" t="s">
        <v>190</v>
      </c>
      <c r="D1730" s="3" t="s">
        <v>4629</v>
      </c>
      <c r="E1730" s="3" t="s">
        <v>4615</v>
      </c>
      <c r="F1730" s="3" t="s">
        <v>4614</v>
      </c>
      <c r="G1730" s="3" t="str">
        <f>IFERROR(__xludf.DUMMYFUNCTION("GOOGLETRANSLATE(D1730,""fr"",""es"")"),"papis")</f>
        <v>papis</v>
      </c>
    </row>
    <row r="1731">
      <c r="A1731" s="3">
        <v>1709.0</v>
      </c>
      <c r="B1731" s="3" t="s">
        <v>189</v>
      </c>
      <c r="C1731" s="3" t="s">
        <v>190</v>
      </c>
      <c r="D1731" s="3" t="s">
        <v>4630</v>
      </c>
      <c r="E1731" s="3" t="s">
        <v>4631</v>
      </c>
      <c r="F1731" s="3" t="s">
        <v>4629</v>
      </c>
      <c r="G1731" s="3" t="str">
        <f>IFERROR(__xludf.DUMMYFUNCTION("GOOGLETRANSLATE(D1731,""fr"",""es"")"),"papismo")</f>
        <v>papismo</v>
      </c>
      <c r="H1731" s="3" t="s">
        <v>4632</v>
      </c>
      <c r="I1731" s="3" t="s">
        <v>4633</v>
      </c>
    </row>
    <row r="1732">
      <c r="A1732" s="3">
        <v>1710.0</v>
      </c>
      <c r="B1732" s="3" t="s">
        <v>189</v>
      </c>
      <c r="C1732" s="3" t="s">
        <v>190</v>
      </c>
      <c r="D1732" s="3" t="s">
        <v>4634</v>
      </c>
      <c r="E1732" s="3" t="s">
        <v>4631</v>
      </c>
      <c r="F1732" s="3" t="s">
        <v>4629</v>
      </c>
      <c r="G1732" s="3" t="str">
        <f>IFERROR(__xludf.DUMMYFUNCTION("GOOGLETRANSLATE(D1732,""fr"",""es"")"),"papisma")</f>
        <v>papisma</v>
      </c>
    </row>
    <row r="1733">
      <c r="A1733" s="3">
        <v>1711.0</v>
      </c>
      <c r="B1733" s="3" t="s">
        <v>189</v>
      </c>
      <c r="C1733" s="3" t="s">
        <v>190</v>
      </c>
      <c r="D1733" s="3" t="s">
        <v>4635</v>
      </c>
      <c r="E1733" s="3" t="s">
        <v>4631</v>
      </c>
      <c r="F1733" s="3" t="s">
        <v>4629</v>
      </c>
      <c r="G1733" s="3" t="str">
        <f>IFERROR(__xludf.DUMMYFUNCTION("GOOGLETRANSLATE(D1733,""fr"",""es"")"),"papista")</f>
        <v>papista</v>
      </c>
      <c r="H1733" s="3" t="s">
        <v>4636</v>
      </c>
      <c r="I1733" s="3" t="s">
        <v>4637</v>
      </c>
      <c r="J1733" s="3" t="s">
        <v>4638</v>
      </c>
      <c r="K1733" s="3" t="s">
        <v>4639</v>
      </c>
      <c r="L1733" s="3" t="s">
        <v>4640</v>
      </c>
      <c r="M1733" s="3" t="s">
        <v>4641</v>
      </c>
      <c r="N1733" s="3" t="s">
        <v>4642</v>
      </c>
      <c r="O1733" s="3" t="s">
        <v>4643</v>
      </c>
      <c r="P1733" s="3" t="s">
        <v>4644</v>
      </c>
      <c r="Q1733" s="3" t="s">
        <v>4642</v>
      </c>
    </row>
    <row r="1734">
      <c r="A1734" s="3">
        <v>1712.0</v>
      </c>
      <c r="B1734" s="3" t="s">
        <v>189</v>
      </c>
      <c r="C1734" s="3" t="s">
        <v>190</v>
      </c>
      <c r="D1734" s="3" t="s">
        <v>4645</v>
      </c>
      <c r="E1734" s="3" t="s">
        <v>4631</v>
      </c>
      <c r="F1734" s="3" t="s">
        <v>4629</v>
      </c>
      <c r="G1734" s="3" t="str">
        <f>IFERROR(__xludf.DUMMYFUNCTION("GOOGLETRANSLATE(D1734,""fr"",""es"")"),"papistas")</f>
        <v>papistas</v>
      </c>
    </row>
    <row r="1735">
      <c r="A1735" s="3">
        <v>1713.0</v>
      </c>
      <c r="B1735" s="3" t="s">
        <v>189</v>
      </c>
      <c r="C1735" s="3" t="s">
        <v>190</v>
      </c>
      <c r="D1735" s="3" t="s">
        <v>4646</v>
      </c>
      <c r="E1735" s="3" t="s">
        <v>4647</v>
      </c>
      <c r="F1735" s="3" t="s">
        <v>4648</v>
      </c>
      <c r="G1735" s="3" t="str">
        <f>IFERROR(__xludf.DUMMYFUNCTION("GOOGLETRANSLATE(D1735,""fr"",""es"")"),"papú")</f>
        <v>papú</v>
      </c>
      <c r="H1735" s="3" t="s">
        <v>4649</v>
      </c>
      <c r="I1735" s="3" t="s">
        <v>4649</v>
      </c>
      <c r="J1735" s="3" t="s">
        <v>4650</v>
      </c>
    </row>
    <row r="1736">
      <c r="A1736" s="3">
        <v>1714.0</v>
      </c>
      <c r="B1736" s="3" t="s">
        <v>189</v>
      </c>
      <c r="C1736" s="3" t="s">
        <v>190</v>
      </c>
      <c r="D1736" s="3" t="s">
        <v>4651</v>
      </c>
      <c r="E1736" s="3" t="s">
        <v>4652</v>
      </c>
      <c r="F1736" s="3" t="s">
        <v>4653</v>
      </c>
      <c r="G1736" s="3" t="str">
        <f>IFERROR(__xludf.DUMMYFUNCTION("GOOGLETRANSLATE(D1736,""fr"",""es"")"),"Papúa")</f>
        <v>Papúa</v>
      </c>
    </row>
    <row r="1737">
      <c r="A1737" s="3">
        <v>1715.0</v>
      </c>
      <c r="B1737" s="3" t="s">
        <v>189</v>
      </c>
      <c r="C1737" s="3" t="s">
        <v>190</v>
      </c>
      <c r="D1737" s="3" t="s">
        <v>4654</v>
      </c>
      <c r="E1737" s="3" t="s">
        <v>4652</v>
      </c>
      <c r="F1737" s="3" t="s">
        <v>4653</v>
      </c>
      <c r="G1737" s="3" t="str">
        <f>IFERROR(__xludf.DUMMYFUNCTION("GOOGLETRANSLATE(D1737,""fr"",""es"")"),"papouilles")</f>
        <v>papouilles</v>
      </c>
    </row>
    <row r="1738">
      <c r="A1738" s="3">
        <v>1716.0</v>
      </c>
      <c r="B1738" s="3" t="s">
        <v>189</v>
      </c>
      <c r="C1738" s="3" t="s">
        <v>190</v>
      </c>
      <c r="D1738" s="3" t="s">
        <v>4655</v>
      </c>
      <c r="E1738" s="3" t="s">
        <v>4615</v>
      </c>
      <c r="F1738" s="3" t="s">
        <v>4614</v>
      </c>
      <c r="G1738" s="3" t="str">
        <f>IFERROR(__xludf.DUMMYFUNCTION("GOOGLETRANSLATE(D1738,""fr"",""es"")"),"Abuelo")</f>
        <v>Abuelo</v>
      </c>
      <c r="H1738" s="3" t="s">
        <v>4616</v>
      </c>
      <c r="I1738" s="3" t="s">
        <v>4617</v>
      </c>
      <c r="J1738" s="3" t="s">
        <v>4618</v>
      </c>
      <c r="K1738" s="3" t="s">
        <v>4619</v>
      </c>
      <c r="L1738" s="3" t="s">
        <v>4620</v>
      </c>
      <c r="M1738" s="3" t="s">
        <v>4621</v>
      </c>
    </row>
    <row r="1739">
      <c r="A1739" s="3">
        <v>1717.0</v>
      </c>
      <c r="B1739" s="3" t="s">
        <v>189</v>
      </c>
      <c r="C1739" s="3" t="s">
        <v>190</v>
      </c>
      <c r="D1739" s="3" t="s">
        <v>4656</v>
      </c>
      <c r="E1739" s="3" t="s">
        <v>4615</v>
      </c>
      <c r="F1739" s="3" t="s">
        <v>4614</v>
      </c>
      <c r="G1739" s="3" t="str">
        <f>IFERROR(__xludf.DUMMYFUNCTION("GOOGLETRANSLATE(D1739,""fr"",""es"")"),"papillas")</f>
        <v>papillas</v>
      </c>
    </row>
    <row r="1740">
      <c r="A1740" s="3">
        <v>1718.0</v>
      </c>
      <c r="B1740" s="3" t="s">
        <v>189</v>
      </c>
      <c r="C1740" s="3" t="s">
        <v>190</v>
      </c>
      <c r="D1740" s="3" t="s">
        <v>4657</v>
      </c>
      <c r="E1740" s="3" t="s">
        <v>4325</v>
      </c>
      <c r="F1740" s="3" t="s">
        <v>4326</v>
      </c>
      <c r="G1740" s="3" t="str">
        <f>IFERROR(__xludf.DUMMYFUNCTION("GOOGLETRANSLATE(D1740,""fr"",""es"")"),"Pascua de Resurrección")</f>
        <v>Pascua de Resurrección</v>
      </c>
      <c r="H1740" s="3" t="s">
        <v>4658</v>
      </c>
      <c r="I1740" s="3" t="s">
        <v>4659</v>
      </c>
      <c r="J1740" s="3" t="s">
        <v>4660</v>
      </c>
      <c r="K1740" s="3" t="s">
        <v>4661</v>
      </c>
    </row>
    <row r="1741">
      <c r="A1741" s="3">
        <v>1719.0</v>
      </c>
      <c r="B1741" s="3" t="s">
        <v>189</v>
      </c>
      <c r="C1741" s="3" t="s">
        <v>190</v>
      </c>
      <c r="D1741" s="3" t="s">
        <v>4662</v>
      </c>
      <c r="E1741" s="3" t="s">
        <v>4325</v>
      </c>
      <c r="F1741" s="3" t="s">
        <v>4326</v>
      </c>
      <c r="G1741" s="3" t="str">
        <f>IFERROR(__xludf.DUMMYFUNCTION("GOOGLETRANSLATE(D1741,""fr"",""es"")"),"Pascua de Resurrección")</f>
        <v>Pascua de Resurrección</v>
      </c>
      <c r="H1741" s="3" t="s">
        <v>4663</v>
      </c>
      <c r="I1741" s="3" t="s">
        <v>4664</v>
      </c>
      <c r="J1741" s="3" t="s">
        <v>4665</v>
      </c>
      <c r="K1741" s="3" t="s">
        <v>4666</v>
      </c>
      <c r="L1741" s="3" t="s">
        <v>4658</v>
      </c>
      <c r="M1741" s="3" t="s">
        <v>4659</v>
      </c>
      <c r="N1741" s="3" t="s">
        <v>4660</v>
      </c>
      <c r="O1741" s="3" t="s">
        <v>4661</v>
      </c>
    </row>
    <row r="1742">
      <c r="A1742" s="3">
        <v>1720.0</v>
      </c>
      <c r="B1742" s="3" t="s">
        <v>189</v>
      </c>
      <c r="C1742" s="3" t="s">
        <v>190</v>
      </c>
      <c r="D1742" s="3" t="s">
        <v>4667</v>
      </c>
      <c r="E1742" s="3" t="s">
        <v>4668</v>
      </c>
      <c r="F1742" s="3" t="s">
        <v>4669</v>
      </c>
      <c r="G1742" s="3" t="str">
        <f>IFERROR(__xludf.DUMMYFUNCTION("GOOGLETRANSLATE(D1742,""fr"",""es"")"),"paquete")</f>
        <v>paquete</v>
      </c>
      <c r="H1742" s="3" t="s">
        <v>4670</v>
      </c>
      <c r="I1742" s="3" t="s">
        <v>4670</v>
      </c>
      <c r="J1742" s="3" t="s">
        <v>1049</v>
      </c>
      <c r="K1742" s="3" t="s">
        <v>4671</v>
      </c>
      <c r="L1742" s="3" t="s">
        <v>4670</v>
      </c>
      <c r="M1742" s="3" t="s">
        <v>4672</v>
      </c>
      <c r="N1742" s="3" t="s">
        <v>4673</v>
      </c>
      <c r="O1742" s="3" t="s">
        <v>4674</v>
      </c>
      <c r="P1742" s="3" t="s">
        <v>4675</v>
      </c>
      <c r="Q1742" s="3" t="s">
        <v>4671</v>
      </c>
      <c r="R1742" s="3" t="s">
        <v>4670</v>
      </c>
      <c r="S1742" s="3" t="s">
        <v>4674</v>
      </c>
      <c r="T1742" s="3" t="s">
        <v>4674</v>
      </c>
      <c r="U1742" s="3" t="s">
        <v>4331</v>
      </c>
      <c r="V1742" s="3" t="s">
        <v>4676</v>
      </c>
      <c r="W1742" s="3" t="s">
        <v>4677</v>
      </c>
      <c r="X1742" s="3" t="s">
        <v>4678</v>
      </c>
      <c r="Y1742" s="3" t="s">
        <v>4671</v>
      </c>
      <c r="Z1742" s="3" t="s">
        <v>4679</v>
      </c>
      <c r="AA1742" s="3" t="s">
        <v>4674</v>
      </c>
      <c r="AB1742" s="3" t="s">
        <v>4670</v>
      </c>
      <c r="AC1742" s="3" t="s">
        <v>4680</v>
      </c>
      <c r="AD1742" s="3" t="s">
        <v>4681</v>
      </c>
      <c r="AE1742" s="3" t="s">
        <v>4682</v>
      </c>
      <c r="AF1742" s="3" t="s">
        <v>4683</v>
      </c>
      <c r="AG1742" s="3" t="s">
        <v>4684</v>
      </c>
      <c r="AH1742" s="3" t="s">
        <v>4685</v>
      </c>
      <c r="AI1742" s="3" t="s">
        <v>4686</v>
      </c>
    </row>
    <row r="1743">
      <c r="A1743" s="3">
        <v>1721.0</v>
      </c>
      <c r="B1743" s="3" t="s">
        <v>189</v>
      </c>
      <c r="C1743" s="3" t="s">
        <v>190</v>
      </c>
      <c r="D1743" s="3" t="s">
        <v>4687</v>
      </c>
      <c r="E1743" s="3" t="s">
        <v>4668</v>
      </c>
      <c r="F1743" s="3" t="s">
        <v>4669</v>
      </c>
      <c r="G1743" s="3" t="str">
        <f>IFERROR(__xludf.DUMMYFUNCTION("GOOGLETRANSLATE(D1743,""fr"",""es"")"),"paquetes")</f>
        <v>paquetes</v>
      </c>
    </row>
    <row r="1744">
      <c r="A1744" s="3">
        <v>1722.0</v>
      </c>
      <c r="B1744" s="3" t="s">
        <v>189</v>
      </c>
      <c r="C1744" s="3" t="s">
        <v>190</v>
      </c>
      <c r="D1744" s="3" t="s">
        <v>4688</v>
      </c>
      <c r="E1744" s="3" t="s">
        <v>4689</v>
      </c>
      <c r="F1744" s="3" t="s">
        <v>4690</v>
      </c>
      <c r="G1744" s="3" t="str">
        <f>IFERROR(__xludf.DUMMYFUNCTION("GOOGLETRANSLATE(D1744,""fr"",""es"")"),"pasar")</f>
        <v>pasar</v>
      </c>
    </row>
    <row r="1745">
      <c r="A1745" s="3">
        <v>1723.0</v>
      </c>
      <c r="B1745" s="3" t="s">
        <v>189</v>
      </c>
      <c r="C1745" s="3" t="s">
        <v>190</v>
      </c>
      <c r="D1745" s="3" t="s">
        <v>4691</v>
      </c>
      <c r="E1745" s="3" t="s">
        <v>4689</v>
      </c>
      <c r="F1745" s="3" t="s">
        <v>4690</v>
      </c>
      <c r="G1745" s="3" t="str">
        <f>IFERROR(__xludf.DUMMYFUNCTION("GOOGLETRANSLATE(D1745,""fr"",""es"")"),"pasó")</f>
        <v>pasó</v>
      </c>
    </row>
    <row r="1746">
      <c r="A1746" s="3">
        <v>1724.0</v>
      </c>
      <c r="B1746" s="3" t="s">
        <v>189</v>
      </c>
      <c r="C1746" s="3" t="s">
        <v>190</v>
      </c>
      <c r="D1746" s="3" t="s">
        <v>4692</v>
      </c>
      <c r="E1746" s="3" t="s">
        <v>4689</v>
      </c>
      <c r="F1746" s="3" t="s">
        <v>4690</v>
      </c>
      <c r="G1746" s="3" t="str">
        <f>IFERROR(__xludf.DUMMYFUNCTION("GOOGLETRANSLATE(D1746,""fr"",""es"")"),"pasó")</f>
        <v>pasó</v>
      </c>
    </row>
    <row r="1747">
      <c r="A1747" s="3">
        <v>1725.0</v>
      </c>
      <c r="B1747" s="3" t="s">
        <v>189</v>
      </c>
      <c r="C1747" s="3" t="s">
        <v>190</v>
      </c>
      <c r="D1747" s="3" t="s">
        <v>4693</v>
      </c>
      <c r="E1747" s="3" t="s">
        <v>4689</v>
      </c>
      <c r="F1747" s="3" t="s">
        <v>4690</v>
      </c>
      <c r="G1747" s="3" t="str">
        <f>IFERROR(__xludf.DUMMYFUNCTION("GOOGLETRANSLATE(D1747,""fr"",""es"")"),"pasó")</f>
        <v>pasó</v>
      </c>
    </row>
    <row r="1748">
      <c r="A1748" s="3">
        <v>1726.0</v>
      </c>
      <c r="B1748" s="3" t="s">
        <v>189</v>
      </c>
      <c r="C1748" s="3" t="s">
        <v>190</v>
      </c>
      <c r="D1748" s="3" t="s">
        <v>4694</v>
      </c>
      <c r="E1748" s="3" t="s">
        <v>4695</v>
      </c>
      <c r="F1748" s="3" t="s">
        <v>4696</v>
      </c>
      <c r="G1748" s="3" t="str">
        <f>IFERROR(__xludf.DUMMYFUNCTION("GOOGLETRANSLATE(D1748,""fr"",""es"")"),"pasar")</f>
        <v>pasar</v>
      </c>
    </row>
    <row r="1749">
      <c r="A1749" s="3">
        <v>1727.0</v>
      </c>
      <c r="B1749" s="3" t="s">
        <v>189</v>
      </c>
      <c r="C1749" s="3" t="s">
        <v>190</v>
      </c>
      <c r="D1749" s="3" t="s">
        <v>4697</v>
      </c>
      <c r="E1749" s="3" t="s">
        <v>4698</v>
      </c>
      <c r="F1749" s="3" t="s">
        <v>4699</v>
      </c>
      <c r="G1749" s="3" t="str">
        <f>IFERROR(__xludf.DUMMYFUNCTION("GOOGLETRANSLATE(D1749,""fr"",""es"")"),"paso")</f>
        <v>paso</v>
      </c>
    </row>
    <row r="1750">
      <c r="A1750" s="3">
        <v>1728.0</v>
      </c>
      <c r="B1750" s="3" t="s">
        <v>189</v>
      </c>
      <c r="C1750" s="3" t="s">
        <v>190</v>
      </c>
      <c r="D1750" s="3" t="s">
        <v>4700</v>
      </c>
      <c r="E1750" s="3" t="s">
        <v>4698</v>
      </c>
      <c r="F1750" s="3" t="s">
        <v>4699</v>
      </c>
      <c r="G1750" s="3" t="str">
        <f>IFERROR(__xludf.DUMMYFUNCTION("GOOGLETRANSLATE(D1750,""fr"",""es"")"),"pasar")</f>
        <v>pasar</v>
      </c>
    </row>
    <row r="1751">
      <c r="A1751" s="3">
        <v>1729.0</v>
      </c>
      <c r="B1751" s="3" t="s">
        <v>189</v>
      </c>
      <c r="C1751" s="3" t="s">
        <v>190</v>
      </c>
      <c r="D1751" s="3" t="s">
        <v>4701</v>
      </c>
      <c r="E1751" s="3" t="s">
        <v>4698</v>
      </c>
      <c r="F1751" s="3" t="s">
        <v>4699</v>
      </c>
      <c r="G1751" s="3" t="str">
        <f>IFERROR(__xludf.DUMMYFUNCTION("GOOGLETRANSLATE(D1751,""fr"",""es"")"),"pasas")</f>
        <v>pasas</v>
      </c>
    </row>
    <row r="1752">
      <c r="A1752" s="3">
        <v>1730.0</v>
      </c>
      <c r="B1752" s="3" t="s">
        <v>189</v>
      </c>
      <c r="C1752" s="3" t="s">
        <v>190</v>
      </c>
      <c r="D1752" s="3" t="s">
        <v>4702</v>
      </c>
      <c r="E1752" s="3" t="s">
        <v>4703</v>
      </c>
      <c r="F1752" s="3" t="s">
        <v>172</v>
      </c>
      <c r="G1752" s="3" t="str">
        <f>IFERROR(__xludf.DUMMYFUNCTION("GOOGLETRANSLATE(D1752,""fr"",""es"")"),"pasar")</f>
        <v>pasar</v>
      </c>
      <c r="H1752" s="3" t="s">
        <v>4704</v>
      </c>
      <c r="I1752" s="3" t="s">
        <v>4705</v>
      </c>
      <c r="J1752" s="3" t="s">
        <v>4706</v>
      </c>
      <c r="K1752" s="3" t="s">
        <v>1297</v>
      </c>
    </row>
    <row r="1753">
      <c r="A1753" s="3">
        <v>1731.0</v>
      </c>
      <c r="B1753" s="3" t="s">
        <v>189</v>
      </c>
      <c r="C1753" s="3" t="s">
        <v>190</v>
      </c>
      <c r="D1753" s="3" t="s">
        <v>4707</v>
      </c>
      <c r="E1753" s="3" t="s">
        <v>4703</v>
      </c>
      <c r="F1753" s="3" t="s">
        <v>172</v>
      </c>
      <c r="G1753" s="3" t="str">
        <f>IFERROR(__xludf.DUMMYFUNCTION("GOOGLETRANSLATE(D1753,""fr"",""es"")"),"pasar")</f>
        <v>pasar</v>
      </c>
    </row>
    <row r="1754">
      <c r="A1754" s="3">
        <v>1732.0</v>
      </c>
      <c r="B1754" s="3" t="s">
        <v>189</v>
      </c>
      <c r="C1754" s="3" t="s">
        <v>190</v>
      </c>
      <c r="D1754" s="3" t="s">
        <v>4708</v>
      </c>
      <c r="E1754" s="3" t="s">
        <v>4703</v>
      </c>
      <c r="F1754" s="3" t="s">
        <v>172</v>
      </c>
      <c r="G1754" s="3" t="str">
        <f>IFERROR(__xludf.DUMMYFUNCTION("GOOGLETRANSLATE(D1754,""fr"",""es"")"),"pases")</f>
        <v>pases</v>
      </c>
    </row>
    <row r="1755">
      <c r="A1755" s="3">
        <v>1733.0</v>
      </c>
      <c r="B1755" s="3" t="s">
        <v>189</v>
      </c>
      <c r="C1755" s="3" t="s">
        <v>190</v>
      </c>
      <c r="D1755" s="3" t="s">
        <v>4709</v>
      </c>
      <c r="E1755" s="3" t="s">
        <v>4710</v>
      </c>
      <c r="F1755" s="3" t="s">
        <v>4711</v>
      </c>
      <c r="G1755" s="3" t="str">
        <f>IFERROR(__xludf.DUMMYFUNCTION("GOOGLETRANSLATE(D1755,""fr"",""es"")"),"pataquès")</f>
        <v>pataquès</v>
      </c>
    </row>
    <row r="1756">
      <c r="A1756" s="3">
        <v>1734.0</v>
      </c>
      <c r="B1756" s="3" t="s">
        <v>189</v>
      </c>
      <c r="C1756" s="3" t="s">
        <v>190</v>
      </c>
      <c r="D1756" s="3" t="s">
        <v>4712</v>
      </c>
      <c r="E1756" s="3" t="s">
        <v>4713</v>
      </c>
      <c r="F1756" s="3" t="s">
        <v>4714</v>
      </c>
      <c r="G1756" s="3" t="str">
        <f>IFERROR(__xludf.DUMMYFUNCTION("GOOGLETRANSLATE(D1756,""fr"",""es"")"),"trinquete")</f>
        <v>trinquete</v>
      </c>
      <c r="H1756" s="3" t="s">
        <v>4715</v>
      </c>
      <c r="I1756" s="3" t="s">
        <v>4715</v>
      </c>
    </row>
    <row r="1757">
      <c r="A1757" s="3">
        <v>1735.0</v>
      </c>
      <c r="B1757" s="3" t="s">
        <v>189</v>
      </c>
      <c r="C1757" s="3" t="s">
        <v>190</v>
      </c>
      <c r="D1757" s="3" t="s">
        <v>4716</v>
      </c>
      <c r="E1757" s="3" t="s">
        <v>4713</v>
      </c>
      <c r="F1757" s="3" t="s">
        <v>4714</v>
      </c>
      <c r="G1757" s="3" t="str">
        <f>IFERROR(__xludf.DUMMYFUNCTION("GOOGLETRANSLATE(D1757,""fr"",""es"")"),"patelas")</f>
        <v>patelas</v>
      </c>
    </row>
    <row r="1758">
      <c r="A1758" s="3">
        <v>1736.0</v>
      </c>
      <c r="B1758" s="3" t="s">
        <v>189</v>
      </c>
      <c r="C1758" s="3" t="s">
        <v>190</v>
      </c>
      <c r="D1758" s="3" t="s">
        <v>4717</v>
      </c>
      <c r="E1758" s="3" t="s">
        <v>4718</v>
      </c>
      <c r="F1758" s="3" t="s">
        <v>4719</v>
      </c>
      <c r="G1758" s="3" t="str">
        <f>IFERROR(__xludf.DUMMYFUNCTION("GOOGLETRANSLATE(D1758,""fr"",""es"")"),"patena")</f>
        <v>patena</v>
      </c>
      <c r="H1758" s="3" t="s">
        <v>4720</v>
      </c>
    </row>
    <row r="1759">
      <c r="A1759" s="3">
        <v>1737.0</v>
      </c>
      <c r="B1759" s="3" t="s">
        <v>189</v>
      </c>
      <c r="C1759" s="3" t="s">
        <v>190</v>
      </c>
      <c r="D1759" s="3" t="s">
        <v>4721</v>
      </c>
      <c r="E1759" s="3" t="s">
        <v>4718</v>
      </c>
      <c r="F1759" s="3" t="s">
        <v>4719</v>
      </c>
      <c r="G1759" s="3" t="str">
        <f>IFERROR(__xludf.DUMMYFUNCTION("GOOGLETRANSLATE(D1759,""fr"",""es"")"),"pájaro")</f>
        <v>pájaro</v>
      </c>
    </row>
    <row r="1760">
      <c r="A1760" s="3">
        <v>1738.0</v>
      </c>
      <c r="B1760" s="3" t="s">
        <v>189</v>
      </c>
      <c r="C1760" s="3" t="s">
        <v>190</v>
      </c>
      <c r="D1760" s="3" t="s">
        <v>4722</v>
      </c>
      <c r="E1760" s="3" t="s">
        <v>4723</v>
      </c>
      <c r="F1760" s="3" t="s">
        <v>4724</v>
      </c>
      <c r="G1760" s="3" t="str">
        <f>IFERROR(__xludf.DUMMYFUNCTION("GOOGLETRANSLATE(D1760,""fr"",""es"")"),"patouillai")</f>
        <v>patouillai</v>
      </c>
    </row>
    <row r="1761">
      <c r="A1761" s="3">
        <v>1739.0</v>
      </c>
      <c r="B1761" s="3" t="s">
        <v>189</v>
      </c>
      <c r="C1761" s="3" t="s">
        <v>190</v>
      </c>
      <c r="D1761" s="3" t="s">
        <v>4725</v>
      </c>
      <c r="E1761" s="3" t="s">
        <v>4723</v>
      </c>
      <c r="F1761" s="3" t="s">
        <v>4724</v>
      </c>
      <c r="G1761" s="3" t="str">
        <f>IFERROR(__xludf.DUMMYFUNCTION("GOOGLETRANSLATE(D1761,""fr"",""es"")"),"vertido")</f>
        <v>vertido</v>
      </c>
    </row>
    <row r="1762">
      <c r="A1762" s="3">
        <v>1740.0</v>
      </c>
      <c r="B1762" s="3" t="s">
        <v>189</v>
      </c>
      <c r="C1762" s="3" t="s">
        <v>190</v>
      </c>
      <c r="D1762" s="3" t="s">
        <v>4726</v>
      </c>
      <c r="E1762" s="3" t="s">
        <v>4723</v>
      </c>
      <c r="F1762" s="3" t="s">
        <v>4724</v>
      </c>
      <c r="G1762" s="3" t="str">
        <f>IFERROR(__xludf.DUMMYFUNCTION("GOOGLETRANSLATE(D1762,""fr"",""es"")"),"patouillais")</f>
        <v>patouillais</v>
      </c>
    </row>
    <row r="1763">
      <c r="A1763" s="3">
        <v>1741.0</v>
      </c>
      <c r="B1763" s="3" t="s">
        <v>189</v>
      </c>
      <c r="C1763" s="3" t="s">
        <v>190</v>
      </c>
      <c r="D1763" s="3" t="s">
        <v>4727</v>
      </c>
      <c r="E1763" s="3" t="s">
        <v>4723</v>
      </c>
      <c r="F1763" s="3" t="s">
        <v>4724</v>
      </c>
      <c r="G1763" s="3" t="str">
        <f>IFERROR(__xludf.DUMMYFUNCTION("GOOGLETRANSLATE(D1763,""fr"",""es"")"),"vertido")</f>
        <v>vertido</v>
      </c>
    </row>
    <row r="1764">
      <c r="A1764" s="3">
        <v>1742.0</v>
      </c>
      <c r="B1764" s="3" t="s">
        <v>189</v>
      </c>
      <c r="C1764" s="3" t="s">
        <v>190</v>
      </c>
      <c r="D1764" s="3" t="s">
        <v>4728</v>
      </c>
      <c r="E1764" s="3" t="s">
        <v>4729</v>
      </c>
      <c r="F1764" s="3" t="s">
        <v>4730</v>
      </c>
      <c r="G1764" s="3" t="str">
        <f>IFERROR(__xludf.DUMMYFUNCTION("GOOGLETRANSLATE(D1764,""fr"",""es"")"),"patouillâme")</f>
        <v>patouillâme</v>
      </c>
    </row>
    <row r="1765">
      <c r="A1765" s="3">
        <v>1743.0</v>
      </c>
      <c r="B1765" s="3" t="s">
        <v>189</v>
      </c>
      <c r="C1765" s="3" t="s">
        <v>190</v>
      </c>
      <c r="D1765" s="3" t="s">
        <v>4731</v>
      </c>
      <c r="E1765" s="3" t="s">
        <v>4732</v>
      </c>
      <c r="F1765" s="3" t="s">
        <v>4733</v>
      </c>
      <c r="G1765" s="3" t="str">
        <f>IFERROR(__xludf.DUMMYFUNCTION("GOOGLETRANSLATE(D1765,""fr"",""es"")"),"patouilla")</f>
        <v>patouilla</v>
      </c>
    </row>
    <row r="1766">
      <c r="A1766" s="3">
        <v>1744.0</v>
      </c>
      <c r="B1766" s="3" t="s">
        <v>189</v>
      </c>
      <c r="C1766" s="3" t="s">
        <v>190</v>
      </c>
      <c r="D1766" s="3" t="s">
        <v>4734</v>
      </c>
      <c r="E1766" s="3" t="s">
        <v>4732</v>
      </c>
      <c r="F1766" s="3" t="s">
        <v>4733</v>
      </c>
      <c r="G1766" s="3" t="str">
        <f>IFERROR(__xludf.DUMMYFUNCTION("GOOGLETRANSLATE(D1766,""fr"",""es"")"),"potuillo")</f>
        <v>potuillo</v>
      </c>
    </row>
    <row r="1767">
      <c r="A1767" s="3">
        <v>1745.0</v>
      </c>
      <c r="B1767" s="3" t="s">
        <v>189</v>
      </c>
      <c r="C1767" s="3" t="s">
        <v>190</v>
      </c>
      <c r="D1767" s="3" t="s">
        <v>4735</v>
      </c>
      <c r="E1767" s="3" t="s">
        <v>4732</v>
      </c>
      <c r="F1767" s="3" t="s">
        <v>4733</v>
      </c>
      <c r="G1767" s="3" t="str">
        <f>IFERROR(__xludf.DUMMYFUNCTION("GOOGLETRANSLATE(D1767,""fr"",""es"")"),"patouillas")</f>
        <v>patouillas</v>
      </c>
    </row>
    <row r="1768">
      <c r="A1768" s="3">
        <v>1746.0</v>
      </c>
      <c r="B1768" s="3" t="s">
        <v>189</v>
      </c>
      <c r="C1768" s="3" t="s">
        <v>190</v>
      </c>
      <c r="D1768" s="3" t="s">
        <v>4736</v>
      </c>
      <c r="E1768" s="3" t="s">
        <v>4737</v>
      </c>
      <c r="F1768" s="3" t="s">
        <v>4738</v>
      </c>
      <c r="G1768" s="3" t="str">
        <f>IFERROR(__xludf.DUMMYFUNCTION("GOOGLETRANSLATE(D1768,""fr"",""es"")"),"patouille")</f>
        <v>patouille</v>
      </c>
    </row>
    <row r="1769">
      <c r="A1769" s="3">
        <v>1747.0</v>
      </c>
      <c r="B1769" s="3" t="s">
        <v>189</v>
      </c>
      <c r="C1769" s="3" t="s">
        <v>190</v>
      </c>
      <c r="D1769" s="3" t="s">
        <v>4739</v>
      </c>
      <c r="E1769" s="3" t="s">
        <v>4737</v>
      </c>
      <c r="F1769" s="3" t="s">
        <v>4738</v>
      </c>
      <c r="G1769" s="3" t="str">
        <f>IFERROR(__xludf.DUMMYFUNCTION("GOOGLETRANSLATE(D1769,""fr"",""es"")"),"disperso")</f>
        <v>disperso</v>
      </c>
    </row>
    <row r="1770">
      <c r="A1770" s="3">
        <v>1748.0</v>
      </c>
      <c r="B1770" s="3" t="s">
        <v>189</v>
      </c>
      <c r="C1770" s="3" t="s">
        <v>190</v>
      </c>
      <c r="D1770" s="3" t="s">
        <v>4740</v>
      </c>
      <c r="E1770" s="3" t="s">
        <v>4737</v>
      </c>
      <c r="F1770" s="3" t="s">
        <v>4738</v>
      </c>
      <c r="G1770" s="3" t="str">
        <f>IFERROR(__xludf.DUMMYFUNCTION("GOOGLETRANSLATE(D1770,""fr"",""es"")"),"patouilles")</f>
        <v>patouilles</v>
      </c>
    </row>
    <row r="1771">
      <c r="A1771" s="3">
        <v>1749.0</v>
      </c>
      <c r="B1771" s="3" t="s">
        <v>189</v>
      </c>
      <c r="C1771" s="3" t="s">
        <v>190</v>
      </c>
      <c r="D1771" s="3" t="s">
        <v>4741</v>
      </c>
      <c r="E1771" s="3" t="s">
        <v>4359</v>
      </c>
      <c r="F1771" s="3" t="s">
        <v>4360</v>
      </c>
      <c r="G1771" s="3" t="str">
        <f>IFERROR(__xludf.DUMMYFUNCTION("GOOGLETRANSLATE(D1771,""fr"",""es"")"),"pagado")</f>
        <v>pagado</v>
      </c>
    </row>
    <row r="1772">
      <c r="A1772" s="3">
        <v>1750.0</v>
      </c>
      <c r="B1772" s="3" t="s">
        <v>189</v>
      </c>
      <c r="C1772" s="3" t="s">
        <v>190</v>
      </c>
      <c r="D1772" s="3" t="s">
        <v>4742</v>
      </c>
      <c r="E1772" s="3" t="s">
        <v>4359</v>
      </c>
      <c r="F1772" s="3" t="s">
        <v>4360</v>
      </c>
      <c r="G1772" s="3" t="str">
        <f>IFERROR(__xludf.DUMMYFUNCTION("GOOGLETRANSLATE(D1772,""fr"",""es"")"),"pagado")</f>
        <v>pagado</v>
      </c>
    </row>
    <row r="1773">
      <c r="A1773" s="3">
        <v>1751.0</v>
      </c>
      <c r="B1773" s="3" t="s">
        <v>189</v>
      </c>
      <c r="C1773" s="3" t="s">
        <v>190</v>
      </c>
      <c r="D1773" s="3" t="s">
        <v>4743</v>
      </c>
      <c r="E1773" s="3" t="s">
        <v>4359</v>
      </c>
      <c r="F1773" s="3" t="s">
        <v>4360</v>
      </c>
      <c r="G1773" s="3" t="str">
        <f>IFERROR(__xludf.DUMMYFUNCTION("GOOGLETRANSLATE(D1773,""fr"",""es"")"),"pagado")</f>
        <v>pagado</v>
      </c>
    </row>
    <row r="1774">
      <c r="A1774" s="3">
        <v>1752.0</v>
      </c>
      <c r="B1774" s="3" t="s">
        <v>189</v>
      </c>
      <c r="C1774" s="3" t="s">
        <v>190</v>
      </c>
      <c r="D1774" s="3" t="s">
        <v>4744</v>
      </c>
      <c r="E1774" s="3" t="s">
        <v>4359</v>
      </c>
      <c r="F1774" s="3" t="s">
        <v>4360</v>
      </c>
      <c r="G1774" s="3" t="str">
        <f>IFERROR(__xludf.DUMMYFUNCTION("GOOGLETRANSLATE(D1774,""fr"",""es"")"),"pagado")</f>
        <v>pagado</v>
      </c>
    </row>
    <row r="1775">
      <c r="A1775" s="3">
        <v>1753.0</v>
      </c>
      <c r="B1775" s="3" t="s">
        <v>189</v>
      </c>
      <c r="C1775" s="3" t="s">
        <v>190</v>
      </c>
      <c r="D1775" s="3" t="s">
        <v>4745</v>
      </c>
      <c r="E1775" s="3" t="s">
        <v>4746</v>
      </c>
      <c r="F1775" s="3" t="s">
        <v>4366</v>
      </c>
      <c r="G1775" s="3" t="str">
        <f>IFERROR(__xludf.DUMMYFUNCTION("GOOGLETRANSLATE(D1775,""fr"",""es"")"),"pagado")</f>
        <v>pagado</v>
      </c>
    </row>
    <row r="1776">
      <c r="A1776" s="3">
        <v>1754.0</v>
      </c>
      <c r="B1776" s="3" t="s">
        <v>189</v>
      </c>
      <c r="C1776" s="3" t="s">
        <v>190</v>
      </c>
      <c r="D1776" s="3" t="s">
        <v>4747</v>
      </c>
      <c r="E1776" s="3" t="s">
        <v>4368</v>
      </c>
      <c r="F1776" s="3" t="s">
        <v>4369</v>
      </c>
      <c r="G1776" s="3" t="str">
        <f>IFERROR(__xludf.DUMMYFUNCTION("GOOGLETRANSLATE(D1776,""fr"",""es"")"),"payasse")</f>
        <v>payasse</v>
      </c>
    </row>
    <row r="1777">
      <c r="A1777" s="3">
        <v>1755.0</v>
      </c>
      <c r="B1777" s="3" t="s">
        <v>189</v>
      </c>
      <c r="C1777" s="3" t="s">
        <v>190</v>
      </c>
      <c r="D1777" s="3" t="s">
        <v>4748</v>
      </c>
      <c r="E1777" s="3" t="s">
        <v>4368</v>
      </c>
      <c r="F1777" s="3" t="s">
        <v>4369</v>
      </c>
      <c r="G1777" s="3" t="str">
        <f>IFERROR(__xludf.DUMMYFUNCTION("GOOGLETRANSLATE(D1777,""fr"",""es"")"),"pagar")</f>
        <v>pagar</v>
      </c>
    </row>
    <row r="1778">
      <c r="A1778" s="3">
        <v>1756.0</v>
      </c>
      <c r="B1778" s="3" t="s">
        <v>189</v>
      </c>
      <c r="C1778" s="3" t="s">
        <v>190</v>
      </c>
      <c r="D1778" s="3" t="s">
        <v>4749</v>
      </c>
      <c r="E1778" s="3" t="s">
        <v>4368</v>
      </c>
      <c r="F1778" s="3" t="s">
        <v>4369</v>
      </c>
      <c r="G1778" s="3" t="str">
        <f>IFERROR(__xludf.DUMMYFUNCTION("GOOGLETRANSLATE(D1778,""fr"",""es"")"),"payasse")</f>
        <v>payasse</v>
      </c>
    </row>
    <row r="1779">
      <c r="A1779" s="3">
        <v>1757.0</v>
      </c>
      <c r="B1779" s="3" t="s">
        <v>189</v>
      </c>
      <c r="C1779" s="3" t="s">
        <v>190</v>
      </c>
      <c r="D1779" s="3" t="s">
        <v>4750</v>
      </c>
      <c r="E1779" s="3" t="s">
        <v>4751</v>
      </c>
      <c r="F1779" s="3" t="s">
        <v>4360</v>
      </c>
      <c r="G1779" s="3" t="str">
        <f>IFERROR(__xludf.DUMMYFUNCTION("GOOGLETRANSLATE(D1779,""fr"",""es"")"),"pagado")</f>
        <v>pagado</v>
      </c>
    </row>
    <row r="1780">
      <c r="A1780" s="3">
        <v>1758.0</v>
      </c>
      <c r="B1780" s="3" t="s">
        <v>189</v>
      </c>
      <c r="C1780" s="3" t="s">
        <v>190</v>
      </c>
      <c r="D1780" s="3" t="s">
        <v>4752</v>
      </c>
      <c r="E1780" s="3" t="s">
        <v>4373</v>
      </c>
      <c r="F1780" s="3" t="s">
        <v>4374</v>
      </c>
      <c r="G1780" s="3" t="str">
        <f>IFERROR(__xludf.DUMMYFUNCTION("GOOGLETRANSLATE(D1780,""fr"",""es"")"),"pagado")</f>
        <v>pagado</v>
      </c>
    </row>
    <row r="1781">
      <c r="A1781" s="3">
        <v>1759.0</v>
      </c>
      <c r="B1781" s="3" t="s">
        <v>189</v>
      </c>
      <c r="C1781" s="3" t="s">
        <v>190</v>
      </c>
      <c r="D1781" s="3" t="s">
        <v>4753</v>
      </c>
      <c r="E1781" s="3" t="s">
        <v>4373</v>
      </c>
      <c r="F1781" s="3" t="s">
        <v>4374</v>
      </c>
      <c r="G1781" s="3" t="str">
        <f>IFERROR(__xludf.DUMMYFUNCTION("GOOGLETRANSLATE(D1781,""fr"",""es"")"),"pagar")</f>
        <v>pagar</v>
      </c>
    </row>
    <row r="1782">
      <c r="A1782" s="3">
        <v>1760.0</v>
      </c>
      <c r="B1782" s="3" t="s">
        <v>189</v>
      </c>
      <c r="C1782" s="3" t="s">
        <v>190</v>
      </c>
      <c r="D1782" s="3" t="s">
        <v>4754</v>
      </c>
      <c r="E1782" s="3" t="s">
        <v>4359</v>
      </c>
      <c r="F1782" s="3" t="s">
        <v>4360</v>
      </c>
      <c r="G1782" s="3" t="str">
        <f>IFERROR(__xludf.DUMMYFUNCTION("GOOGLETRANSLATE(D1782,""fr"",""es"")"),"pagado")</f>
        <v>pagado</v>
      </c>
    </row>
    <row r="1783">
      <c r="A1783" s="3">
        <v>1761.0</v>
      </c>
      <c r="B1783" s="3" t="s">
        <v>189</v>
      </c>
      <c r="C1783" s="3" t="s">
        <v>190</v>
      </c>
      <c r="D1783" s="3" t="s">
        <v>4755</v>
      </c>
      <c r="E1783" s="3" t="s">
        <v>4373</v>
      </c>
      <c r="F1783" s="3" t="s">
        <v>4374</v>
      </c>
      <c r="G1783" s="3" t="str">
        <f>IFERROR(__xludf.DUMMYFUNCTION("GOOGLETRANSLATE(D1783,""fr"",""es"")"),"pagar")</f>
        <v>pagar</v>
      </c>
    </row>
    <row r="1784">
      <c r="A1784" s="3">
        <v>1762.0</v>
      </c>
      <c r="B1784" s="3" t="s">
        <v>189</v>
      </c>
      <c r="C1784" s="3" t="s">
        <v>190</v>
      </c>
      <c r="D1784" s="3" t="s">
        <v>4756</v>
      </c>
      <c r="E1784" s="3" t="s">
        <v>4757</v>
      </c>
      <c r="F1784" s="3" t="s">
        <v>4758</v>
      </c>
      <c r="G1784" s="3" t="str">
        <f>IFERROR(__xludf.DUMMYFUNCTION("GOOGLETRANSLATE(D1784,""fr"",""es"")"),"pêchai")</f>
        <v>pêchai</v>
      </c>
    </row>
    <row r="1785">
      <c r="A1785" s="3">
        <v>1763.0</v>
      </c>
      <c r="B1785" s="3" t="s">
        <v>189</v>
      </c>
      <c r="C1785" s="3" t="s">
        <v>190</v>
      </c>
      <c r="D1785" s="3" t="s">
        <v>4759</v>
      </c>
      <c r="E1785" s="3" t="s">
        <v>4757</v>
      </c>
      <c r="F1785" s="3" t="s">
        <v>4758</v>
      </c>
      <c r="G1785" s="3" t="str">
        <f>IFERROR(__xludf.DUMMYFUNCTION("GOOGLETRANSLATE(D1785,""fr"",""es"")"),"pescado")</f>
        <v>pescado</v>
      </c>
    </row>
    <row r="1786">
      <c r="A1786" s="3">
        <v>1764.0</v>
      </c>
      <c r="B1786" s="3" t="s">
        <v>189</v>
      </c>
      <c r="C1786" s="3" t="s">
        <v>190</v>
      </c>
      <c r="D1786" s="3" t="s">
        <v>4760</v>
      </c>
      <c r="E1786" s="3" t="s">
        <v>4757</v>
      </c>
      <c r="F1786" s="3" t="s">
        <v>4758</v>
      </c>
      <c r="G1786" s="3" t="str">
        <f>IFERROR(__xludf.DUMMYFUNCTION("GOOGLETRANSLATE(D1786,""fr"",""es"")"),"falta")</f>
        <v>falta</v>
      </c>
    </row>
    <row r="1787">
      <c r="A1787" s="3">
        <v>1765.0</v>
      </c>
      <c r="B1787" s="3" t="s">
        <v>189</v>
      </c>
      <c r="C1787" s="3" t="s">
        <v>190</v>
      </c>
      <c r="D1787" s="3" t="s">
        <v>4761</v>
      </c>
      <c r="E1787" s="3" t="s">
        <v>4757</v>
      </c>
      <c r="F1787" s="3" t="s">
        <v>4758</v>
      </c>
      <c r="G1787" s="3" t="str">
        <f>IFERROR(__xludf.DUMMYFUNCTION("GOOGLETRANSLATE(D1787,""fr"",""es"")"),"banco de iglesia")</f>
        <v>banco de iglesia</v>
      </c>
    </row>
    <row r="1788">
      <c r="A1788" s="3">
        <v>1766.0</v>
      </c>
      <c r="B1788" s="3" t="s">
        <v>189</v>
      </c>
      <c r="C1788" s="3" t="s">
        <v>190</v>
      </c>
      <c r="D1788" s="3" t="s">
        <v>4762</v>
      </c>
      <c r="E1788" s="3" t="s">
        <v>4763</v>
      </c>
      <c r="F1788" s="3" t="s">
        <v>4764</v>
      </c>
      <c r="G1788" s="3" t="str">
        <f>IFERROR(__xludf.DUMMYFUNCTION("GOOGLETRANSLATE(D1788,""fr"",""es"")"),"perlas")</f>
        <v>perlas</v>
      </c>
    </row>
    <row r="1789">
      <c r="A1789" s="3">
        <v>1767.0</v>
      </c>
      <c r="B1789" s="3" t="s">
        <v>189</v>
      </c>
      <c r="C1789" s="3" t="s">
        <v>190</v>
      </c>
      <c r="D1789" s="3" t="s">
        <v>4765</v>
      </c>
      <c r="E1789" s="3" t="s">
        <v>4766</v>
      </c>
      <c r="F1789" s="3" t="s">
        <v>4767</v>
      </c>
      <c r="G1789" s="3" t="str">
        <f>IFERROR(__xludf.DUMMYFUNCTION("GOOGLETRANSLATE(D1789,""fr"",""es"")"),"péndulo")</f>
        <v>péndulo</v>
      </c>
    </row>
    <row r="1790">
      <c r="A1790" s="3">
        <v>1768.0</v>
      </c>
      <c r="B1790" s="3" t="s">
        <v>189</v>
      </c>
      <c r="C1790" s="3" t="s">
        <v>190</v>
      </c>
      <c r="D1790" s="3" t="s">
        <v>4768</v>
      </c>
      <c r="E1790" s="3" t="s">
        <v>4766</v>
      </c>
      <c r="F1790" s="3" t="s">
        <v>4767</v>
      </c>
      <c r="G1790" s="3" t="str">
        <f>IFERROR(__xludf.DUMMYFUNCTION("GOOGLETRANSLATE(D1790,""fr"",""es"")"),"péndulo")</f>
        <v>péndulo</v>
      </c>
    </row>
    <row r="1791">
      <c r="A1791" s="3">
        <v>1769.0</v>
      </c>
      <c r="B1791" s="3" t="s">
        <v>189</v>
      </c>
      <c r="C1791" s="3" t="s">
        <v>190</v>
      </c>
      <c r="D1791" s="3" t="s">
        <v>4769</v>
      </c>
      <c r="E1791" s="3" t="s">
        <v>4766</v>
      </c>
      <c r="F1791" s="3" t="s">
        <v>4767</v>
      </c>
      <c r="G1791" s="3" t="str">
        <f>IFERROR(__xludf.DUMMYFUNCTION("GOOGLETRANSLATE(D1791,""fr"",""es"")"),"pelado")</f>
        <v>pelado</v>
      </c>
    </row>
    <row r="1792">
      <c r="A1792" s="3">
        <v>1770.0</v>
      </c>
      <c r="B1792" s="3" t="s">
        <v>189</v>
      </c>
      <c r="C1792" s="3" t="s">
        <v>190</v>
      </c>
      <c r="D1792" s="3" t="s">
        <v>4770</v>
      </c>
      <c r="E1792" s="3" t="s">
        <v>4771</v>
      </c>
      <c r="F1792" s="3" t="s">
        <v>4772</v>
      </c>
      <c r="G1792" s="3" t="str">
        <f>IFERROR(__xludf.DUMMYFUNCTION("GOOGLETRANSLATE(D1792,""fr"",""es"")"),"melocotón")</f>
        <v>melocotón</v>
      </c>
    </row>
    <row r="1793">
      <c r="A1793" s="3">
        <v>1771.0</v>
      </c>
      <c r="B1793" s="3" t="s">
        <v>189</v>
      </c>
      <c r="C1793" s="3" t="s">
        <v>190</v>
      </c>
      <c r="D1793" s="3" t="s">
        <v>4773</v>
      </c>
      <c r="E1793" s="3" t="s">
        <v>4771</v>
      </c>
      <c r="F1793" s="3" t="s">
        <v>4772</v>
      </c>
      <c r="G1793" s="3" t="str">
        <f>IFERROR(__xludf.DUMMYFUNCTION("GOOGLETRANSLATE(D1793,""fr"",""es"")"),"melocotón")</f>
        <v>melocotón</v>
      </c>
      <c r="H1793" s="3" t="s">
        <v>4774</v>
      </c>
      <c r="I1793" s="3" t="s">
        <v>4775</v>
      </c>
      <c r="J1793" s="3" t="s">
        <v>4774</v>
      </c>
      <c r="K1793" s="3" t="s">
        <v>4776</v>
      </c>
      <c r="L1793" s="3" t="s">
        <v>4777</v>
      </c>
      <c r="M1793" s="3" t="s">
        <v>4778</v>
      </c>
      <c r="N1793" s="3" t="s">
        <v>4779</v>
      </c>
      <c r="O1793" s="3" t="s">
        <v>4780</v>
      </c>
      <c r="P1793" s="3" t="s">
        <v>4781</v>
      </c>
      <c r="Q1793" s="3" t="s">
        <v>4782</v>
      </c>
      <c r="R1793" s="3" t="s">
        <v>4783</v>
      </c>
      <c r="S1793" s="3" t="s">
        <v>4784</v>
      </c>
      <c r="T1793" s="3" t="s">
        <v>4785</v>
      </c>
      <c r="U1793" s="3" t="s">
        <v>4786</v>
      </c>
      <c r="V1793" s="3" t="s">
        <v>4787</v>
      </c>
      <c r="W1793" s="3" t="s">
        <v>4788</v>
      </c>
      <c r="X1793" s="3" t="s">
        <v>4789</v>
      </c>
      <c r="Y1793" s="3" t="s">
        <v>4790</v>
      </c>
      <c r="Z1793" s="3" t="s">
        <v>4782</v>
      </c>
      <c r="AA1793" s="3" t="s">
        <v>4791</v>
      </c>
      <c r="AB1793" s="3" t="s">
        <v>4792</v>
      </c>
      <c r="AC1793" s="3" t="s">
        <v>4793</v>
      </c>
      <c r="AD1793" s="3" t="s">
        <v>4782</v>
      </c>
      <c r="AE1793" s="3" t="s">
        <v>4794</v>
      </c>
      <c r="AF1793" s="3" t="s">
        <v>4795</v>
      </c>
      <c r="AG1793" s="3" t="s">
        <v>4796</v>
      </c>
      <c r="AH1793" s="3" t="s">
        <v>4797</v>
      </c>
      <c r="AI1793" s="3" t="s">
        <v>4798</v>
      </c>
      <c r="AJ1793" s="3" t="s">
        <v>4799</v>
      </c>
      <c r="AK1793" s="3" t="s">
        <v>4800</v>
      </c>
      <c r="AL1793" s="3" t="s">
        <v>4801</v>
      </c>
      <c r="AM1793" s="3" t="s">
        <v>4802</v>
      </c>
      <c r="AN1793" s="3" t="s">
        <v>3895</v>
      </c>
      <c r="AO1793" s="3" t="s">
        <v>4782</v>
      </c>
      <c r="AP1793" s="3" t="s">
        <v>3083</v>
      </c>
      <c r="AQ1793" s="3" t="s">
        <v>4803</v>
      </c>
      <c r="AR1793" s="3" t="s">
        <v>4804</v>
      </c>
      <c r="AS1793" s="3" t="s">
        <v>4805</v>
      </c>
      <c r="AT1793" s="3" t="s">
        <v>4782</v>
      </c>
      <c r="AU1793" s="3" t="s">
        <v>4806</v>
      </c>
      <c r="AV1793" s="3" t="s">
        <v>4807</v>
      </c>
    </row>
    <row r="1794">
      <c r="A1794" s="3">
        <v>1772.0</v>
      </c>
      <c r="B1794" s="3" t="s">
        <v>189</v>
      </c>
      <c r="C1794" s="3" t="s">
        <v>190</v>
      </c>
      <c r="D1794" s="3" t="s">
        <v>4808</v>
      </c>
      <c r="E1794" s="3" t="s">
        <v>4771</v>
      </c>
      <c r="F1794" s="3" t="s">
        <v>4772</v>
      </c>
      <c r="G1794" s="3" t="str">
        <f>IFERROR(__xludf.DUMMYFUNCTION("GOOGLETRANSLATE(D1794,""fr"",""es"")"),"pileta")</f>
        <v>pileta</v>
      </c>
    </row>
    <row r="1795">
      <c r="A1795" s="3">
        <v>1773.0</v>
      </c>
      <c r="B1795" s="3" t="s">
        <v>189</v>
      </c>
      <c r="C1795" s="3" t="s">
        <v>190</v>
      </c>
      <c r="D1795" s="3" t="s">
        <v>4809</v>
      </c>
      <c r="E1795" s="3" t="s">
        <v>4771</v>
      </c>
      <c r="F1795" s="3" t="s">
        <v>4772</v>
      </c>
      <c r="G1795" s="3" t="str">
        <f>IFERROR(__xludf.DUMMYFUNCTION("GOOGLETRANSLATE(D1795,""fr"",""es"")"),"pez")</f>
        <v>pez</v>
      </c>
    </row>
    <row r="1796">
      <c r="A1796" s="3">
        <v>1774.0</v>
      </c>
      <c r="B1796" s="3" t="s">
        <v>189</v>
      </c>
      <c r="C1796" s="3" t="s">
        <v>190</v>
      </c>
      <c r="D1796" s="3" t="s">
        <v>4810</v>
      </c>
      <c r="E1796" s="3" t="s">
        <v>4771</v>
      </c>
      <c r="F1796" s="3" t="s">
        <v>4772</v>
      </c>
      <c r="G1796" s="3" t="str">
        <f>IFERROR(__xludf.DUMMYFUNCTION("GOOGLETRANSLATE(D1796,""fr"",""es"")"),"duraznos")</f>
        <v>duraznos</v>
      </c>
    </row>
    <row r="1797">
      <c r="A1797" s="3">
        <v>1775.0</v>
      </c>
      <c r="B1797" s="3" t="s">
        <v>189</v>
      </c>
      <c r="C1797" s="3" t="s">
        <v>190</v>
      </c>
      <c r="D1797" s="3" t="s">
        <v>4811</v>
      </c>
      <c r="E1797" s="3" t="s">
        <v>4771</v>
      </c>
      <c r="F1797" s="3" t="s">
        <v>4772</v>
      </c>
      <c r="G1797" s="3" t="str">
        <f>IFERROR(__xludf.DUMMYFUNCTION("GOOGLETRANSLATE(D1797,""fr"",""es"")"),"pesca")</f>
        <v>pesca</v>
      </c>
    </row>
    <row r="1798">
      <c r="A1798" s="3">
        <v>1776.0</v>
      </c>
      <c r="B1798" s="3" t="s">
        <v>189</v>
      </c>
      <c r="C1798" s="3" t="s">
        <v>190</v>
      </c>
      <c r="D1798" s="3" t="s">
        <v>4812</v>
      </c>
      <c r="E1798" s="3" t="s">
        <v>4813</v>
      </c>
      <c r="F1798" s="3" t="s">
        <v>4814</v>
      </c>
      <c r="G1798" s="3" t="str">
        <f>IFERROR(__xludf.DUMMYFUNCTION("GOOGLETRANSLATE(D1798,""fr"",""es"")"),"peignai")</f>
        <v>peignai</v>
      </c>
    </row>
    <row r="1799">
      <c r="A1799" s="3">
        <v>1777.0</v>
      </c>
      <c r="B1799" s="3" t="s">
        <v>189</v>
      </c>
      <c r="C1799" s="3" t="s">
        <v>190</v>
      </c>
      <c r="D1799" s="3" t="s">
        <v>4815</v>
      </c>
      <c r="E1799" s="3" t="s">
        <v>4813</v>
      </c>
      <c r="F1799" s="3" t="s">
        <v>4814</v>
      </c>
      <c r="G1799" s="3" t="str">
        <f>IFERROR(__xludf.DUMMYFUNCTION("GOOGLETRANSLATE(D1799,""fr"",""es"")"),"pintado")</f>
        <v>pintado</v>
      </c>
    </row>
    <row r="1800">
      <c r="A1800" s="3">
        <v>1778.0</v>
      </c>
      <c r="B1800" s="3" t="s">
        <v>189</v>
      </c>
      <c r="C1800" s="3" t="s">
        <v>190</v>
      </c>
      <c r="D1800" s="3" t="s">
        <v>4816</v>
      </c>
      <c r="E1800" s="3" t="s">
        <v>4813</v>
      </c>
      <c r="F1800" s="3" t="s">
        <v>4814</v>
      </c>
      <c r="G1800" s="3" t="str">
        <f>IFERROR(__xludf.DUMMYFUNCTION("GOOGLETRANSLATE(D1800,""fr"",""es"")"),"pintado")</f>
        <v>pintado</v>
      </c>
    </row>
    <row r="1801">
      <c r="A1801" s="3">
        <v>1779.0</v>
      </c>
      <c r="B1801" s="3" t="s">
        <v>189</v>
      </c>
      <c r="C1801" s="3" t="s">
        <v>190</v>
      </c>
      <c r="D1801" s="3" t="s">
        <v>4817</v>
      </c>
      <c r="E1801" s="3" t="s">
        <v>4813</v>
      </c>
      <c r="F1801" s="3" t="s">
        <v>4814</v>
      </c>
      <c r="G1801" s="3" t="str">
        <f>IFERROR(__xludf.DUMMYFUNCTION("GOOGLETRANSLATE(D1801,""fr"",""es"")"),"pintado")</f>
        <v>pintado</v>
      </c>
    </row>
    <row r="1802">
      <c r="A1802" s="3">
        <v>1780.0</v>
      </c>
      <c r="B1802" s="3" t="s">
        <v>189</v>
      </c>
      <c r="C1802" s="3" t="s">
        <v>190</v>
      </c>
      <c r="D1802" s="3" t="s">
        <v>4818</v>
      </c>
      <c r="E1802" s="3" t="s">
        <v>4819</v>
      </c>
      <c r="F1802" s="3" t="s">
        <v>4820</v>
      </c>
      <c r="G1802" s="3" t="str">
        <f>IFERROR(__xludf.DUMMYFUNCTION("GOOGLETRANSLATE(D1802,""fr"",""es"")"),"nobleza")</f>
        <v>nobleza</v>
      </c>
    </row>
    <row r="1803">
      <c r="A1803" s="3">
        <v>1781.0</v>
      </c>
      <c r="B1803" s="3" t="s">
        <v>189</v>
      </c>
      <c r="C1803" s="3" t="s">
        <v>190</v>
      </c>
      <c r="D1803" s="3" t="s">
        <v>4821</v>
      </c>
      <c r="E1803" s="3" t="s">
        <v>4822</v>
      </c>
      <c r="F1803" s="3" t="s">
        <v>4823</v>
      </c>
      <c r="G1803" s="3" t="str">
        <f>IFERROR(__xludf.DUMMYFUNCTION("GOOGLETRANSLATE(D1803,""fr"",""es"")"),"peinada")</f>
        <v>peinada</v>
      </c>
    </row>
    <row r="1804">
      <c r="A1804" s="3">
        <v>1782.0</v>
      </c>
      <c r="B1804" s="3" t="s">
        <v>189</v>
      </c>
      <c r="C1804" s="3" t="s">
        <v>190</v>
      </c>
      <c r="D1804" s="3" t="s">
        <v>4824</v>
      </c>
      <c r="E1804" s="3" t="s">
        <v>4822</v>
      </c>
      <c r="F1804" s="3" t="s">
        <v>4823</v>
      </c>
      <c r="G1804" s="3" t="str">
        <f>IFERROR(__xludf.DUMMYFUNCTION("GOOGLETRANSLATE(D1804,""fr"",""es"")"),"peine")</f>
        <v>peine</v>
      </c>
    </row>
    <row r="1805">
      <c r="A1805" s="3">
        <v>1783.0</v>
      </c>
      <c r="B1805" s="3" t="s">
        <v>189</v>
      </c>
      <c r="C1805" s="3" t="s">
        <v>190</v>
      </c>
      <c r="D1805" s="3" t="s">
        <v>4825</v>
      </c>
      <c r="E1805" s="3" t="s">
        <v>4822</v>
      </c>
      <c r="F1805" s="3" t="s">
        <v>4823</v>
      </c>
      <c r="G1805" s="3" t="str">
        <f>IFERROR(__xludf.DUMMYFUNCTION("GOOGLETRANSLATE(D1805,""fr"",""es"")"),"cuadro")</f>
        <v>cuadro</v>
      </c>
    </row>
    <row r="1806">
      <c r="A1806" s="3">
        <v>1784.0</v>
      </c>
      <c r="B1806" s="3" t="s">
        <v>189</v>
      </c>
      <c r="C1806" s="3" t="s">
        <v>190</v>
      </c>
      <c r="D1806" s="3" t="s">
        <v>4826</v>
      </c>
      <c r="E1806" s="3" t="s">
        <v>4342</v>
      </c>
      <c r="F1806" s="3" t="s">
        <v>4343</v>
      </c>
      <c r="G1806" s="3" t="str">
        <f>IFERROR(__xludf.DUMMYFUNCTION("GOOGLETRANSLATE(D1806,""fr"",""es"")"),"peine")</f>
        <v>peine</v>
      </c>
      <c r="H1806" s="3" t="s">
        <v>4827</v>
      </c>
      <c r="I1806" s="3" t="s">
        <v>4828</v>
      </c>
      <c r="J1806" s="3" t="s">
        <v>4829</v>
      </c>
      <c r="K1806" s="3" t="s">
        <v>4827</v>
      </c>
      <c r="L1806" s="3" t="s">
        <v>4830</v>
      </c>
      <c r="M1806" s="3" t="s">
        <v>4827</v>
      </c>
      <c r="N1806" s="3" t="s">
        <v>4831</v>
      </c>
      <c r="O1806" s="3" t="s">
        <v>4827</v>
      </c>
      <c r="P1806" s="3" t="s">
        <v>4827</v>
      </c>
      <c r="Q1806" s="3" t="s">
        <v>4827</v>
      </c>
      <c r="R1806" s="3" t="s">
        <v>4827</v>
      </c>
      <c r="S1806" s="3" t="s">
        <v>4832</v>
      </c>
    </row>
    <row r="1807">
      <c r="A1807" s="3">
        <v>1785.0</v>
      </c>
      <c r="B1807" s="3" t="s">
        <v>189</v>
      </c>
      <c r="C1807" s="3" t="s">
        <v>190</v>
      </c>
      <c r="D1807" s="3" t="s">
        <v>4833</v>
      </c>
      <c r="E1807" s="3" t="s">
        <v>4342</v>
      </c>
      <c r="F1807" s="3" t="s">
        <v>4343</v>
      </c>
      <c r="G1807" s="3" t="str">
        <f>IFERROR(__xludf.DUMMYFUNCTION("GOOGLETRANSLATE(D1807,""fr"",""es"")"),"pintar")</f>
        <v>pintar</v>
      </c>
    </row>
    <row r="1808">
      <c r="A1808" s="3">
        <v>1786.0</v>
      </c>
      <c r="B1808" s="3" t="s">
        <v>189</v>
      </c>
      <c r="C1808" s="3" t="s">
        <v>190</v>
      </c>
      <c r="D1808" s="3" t="s">
        <v>4834</v>
      </c>
      <c r="E1808" s="3" t="s">
        <v>4342</v>
      </c>
      <c r="F1808" s="3" t="s">
        <v>4343</v>
      </c>
      <c r="G1808" s="3" t="str">
        <f>IFERROR(__xludf.DUMMYFUNCTION("GOOGLETRANSLATE(D1808,""fr"",""es"")"),"peine")</f>
        <v>peine</v>
      </c>
    </row>
    <row r="1809">
      <c r="A1809" s="3">
        <v>1787.0</v>
      </c>
      <c r="B1809" s="3" t="s">
        <v>189</v>
      </c>
      <c r="C1809" s="3" t="s">
        <v>190</v>
      </c>
      <c r="D1809" s="3" t="s">
        <v>4835</v>
      </c>
      <c r="E1809" s="3" t="s">
        <v>4836</v>
      </c>
      <c r="F1809" s="3" t="s">
        <v>4837</v>
      </c>
      <c r="G1809" s="3" t="str">
        <f>IFERROR(__xludf.DUMMYFUNCTION("GOOGLETRANSLATE(D1809,""fr"",""es"")"),"maní")</f>
        <v>maní</v>
      </c>
    </row>
    <row r="1810">
      <c r="A1810" s="3">
        <v>1788.0</v>
      </c>
      <c r="B1810" s="3" t="s">
        <v>189</v>
      </c>
      <c r="C1810" s="3" t="s">
        <v>190</v>
      </c>
      <c r="D1810" s="3" t="s">
        <v>4838</v>
      </c>
      <c r="E1810" s="3" t="s">
        <v>4839</v>
      </c>
      <c r="F1810" s="3" t="s">
        <v>4840</v>
      </c>
      <c r="G1810" s="3" t="str">
        <f>IFERROR(__xludf.DUMMYFUNCTION("GOOGLETRANSLATE(D1810,""fr"",""es"")"),"peignis")</f>
        <v>peignis</v>
      </c>
    </row>
    <row r="1811">
      <c r="A1811" s="3">
        <v>1789.0</v>
      </c>
      <c r="B1811" s="3" t="s">
        <v>189</v>
      </c>
      <c r="C1811" s="3" t="s">
        <v>190</v>
      </c>
      <c r="D1811" s="3" t="s">
        <v>4841</v>
      </c>
      <c r="E1811" s="3" t="s">
        <v>4842</v>
      </c>
      <c r="F1811" s="3" t="s">
        <v>4843</v>
      </c>
      <c r="G1811" s="3" t="str">
        <f>IFERROR(__xludf.DUMMYFUNCTION("GOOGLETRANSLATE(D1811,""fr"",""es"")"),"Bebiendo")</f>
        <v>Bebiendo</v>
      </c>
    </row>
    <row r="1812">
      <c r="A1812" s="3">
        <v>1790.0</v>
      </c>
      <c r="B1812" s="3" t="s">
        <v>189</v>
      </c>
      <c r="C1812" s="3" t="s">
        <v>190</v>
      </c>
      <c r="D1812" s="3" t="s">
        <v>4844</v>
      </c>
      <c r="E1812" s="3" t="s">
        <v>4842</v>
      </c>
      <c r="F1812" s="3" t="s">
        <v>4843</v>
      </c>
      <c r="G1812" s="3" t="str">
        <f>IFERROR(__xludf.DUMMYFUNCTION("GOOGLETRANSLATE(D1812,""fr"",""es"")"),"pintar")</f>
        <v>pintar</v>
      </c>
    </row>
    <row r="1813">
      <c r="A1813" s="3">
        <v>1791.0</v>
      </c>
      <c r="B1813" s="3" t="s">
        <v>189</v>
      </c>
      <c r="C1813" s="3" t="s">
        <v>190</v>
      </c>
      <c r="D1813" s="3" t="s">
        <v>4845</v>
      </c>
      <c r="E1813" s="3" t="s">
        <v>4842</v>
      </c>
      <c r="F1813" s="3" t="s">
        <v>4843</v>
      </c>
      <c r="G1813" s="3" t="str">
        <f>IFERROR(__xludf.DUMMYFUNCTION("GOOGLETRANSLATE(D1813,""fr"",""es"")"),"punto")</f>
        <v>punto</v>
      </c>
    </row>
    <row r="1814">
      <c r="A1814" s="3">
        <v>1792.0</v>
      </c>
      <c r="B1814" s="3" t="s">
        <v>189</v>
      </c>
      <c r="C1814" s="3" t="s">
        <v>190</v>
      </c>
      <c r="D1814" s="3" t="s">
        <v>4846</v>
      </c>
      <c r="E1814" s="3" t="s">
        <v>4839</v>
      </c>
      <c r="F1814" s="3" t="s">
        <v>4840</v>
      </c>
      <c r="G1814" s="3" t="str">
        <f>IFERROR(__xludf.DUMMYFUNCTION("GOOGLETRANSLATE(D1814,""fr"",""es"")"),"pintado")</f>
        <v>pintado</v>
      </c>
    </row>
    <row r="1815">
      <c r="A1815" s="3">
        <v>1793.0</v>
      </c>
      <c r="B1815" s="3" t="s">
        <v>189</v>
      </c>
      <c r="C1815" s="3" t="s">
        <v>190</v>
      </c>
      <c r="D1815" s="3" t="s">
        <v>4847</v>
      </c>
      <c r="E1815" s="3" t="s">
        <v>4839</v>
      </c>
      <c r="F1815" s="3" t="s">
        <v>4840</v>
      </c>
      <c r="G1815" s="3" t="str">
        <f>IFERROR(__xludf.DUMMYFUNCTION("GOOGLETRANSLATE(D1815,""fr"",""es"")"),"pintado")</f>
        <v>pintado</v>
      </c>
    </row>
    <row r="1816">
      <c r="A1816" s="3">
        <v>1794.0</v>
      </c>
      <c r="B1816" s="3" t="s">
        <v>189</v>
      </c>
      <c r="C1816" s="3" t="s">
        <v>190</v>
      </c>
      <c r="D1816" s="3" t="s">
        <v>4848</v>
      </c>
      <c r="E1816" s="3" t="s">
        <v>4505</v>
      </c>
      <c r="F1816" s="3" t="s">
        <v>4506</v>
      </c>
      <c r="G1816" s="3" t="str">
        <f>IFERROR(__xludf.DUMMYFUNCTION("GOOGLETRANSLATE(D1816,""fr"",""es"")"),"peinai")</f>
        <v>peinai</v>
      </c>
    </row>
    <row r="1817">
      <c r="A1817" s="3">
        <v>1795.0</v>
      </c>
      <c r="B1817" s="3" t="s">
        <v>189</v>
      </c>
      <c r="C1817" s="3" t="s">
        <v>190</v>
      </c>
      <c r="D1817" s="3" t="s">
        <v>4849</v>
      </c>
      <c r="E1817" s="3" t="s">
        <v>4505</v>
      </c>
      <c r="F1817" s="3" t="s">
        <v>4506</v>
      </c>
      <c r="G1817" s="3" t="str">
        <f>IFERROR(__xludf.DUMMYFUNCTION("GOOGLETRANSLATE(D1817,""fr"",""es"")"),"golpeado")</f>
        <v>golpeado</v>
      </c>
    </row>
    <row r="1818">
      <c r="A1818" s="3">
        <v>1796.0</v>
      </c>
      <c r="B1818" s="3" t="s">
        <v>189</v>
      </c>
      <c r="C1818" s="3" t="s">
        <v>190</v>
      </c>
      <c r="D1818" s="3" t="s">
        <v>4850</v>
      </c>
      <c r="E1818" s="3" t="s">
        <v>4505</v>
      </c>
      <c r="F1818" s="3" t="s">
        <v>4506</v>
      </c>
      <c r="G1818" s="3" t="str">
        <f>IFERROR(__xludf.DUMMYFUNCTION("GOOGLETRANSLATE(D1818,""fr"",""es"")"),"pintado")</f>
        <v>pintado</v>
      </c>
    </row>
    <row r="1819">
      <c r="A1819" s="3">
        <v>1797.0</v>
      </c>
      <c r="B1819" s="3" t="s">
        <v>189</v>
      </c>
      <c r="C1819" s="3" t="s">
        <v>190</v>
      </c>
      <c r="D1819" s="3" t="s">
        <v>4851</v>
      </c>
      <c r="E1819" s="3" t="s">
        <v>4505</v>
      </c>
      <c r="F1819" s="3" t="s">
        <v>4506</v>
      </c>
      <c r="G1819" s="3" t="str">
        <f>IFERROR(__xludf.DUMMYFUNCTION("GOOGLETRANSLATE(D1819,""fr"",""es"")"),"estaba luchando")</f>
        <v>estaba luchando</v>
      </c>
    </row>
    <row r="1820">
      <c r="A1820" s="3">
        <v>1798.0</v>
      </c>
      <c r="B1820" s="3" t="s">
        <v>189</v>
      </c>
      <c r="C1820" s="3" t="s">
        <v>190</v>
      </c>
      <c r="D1820" s="3" t="s">
        <v>4852</v>
      </c>
      <c r="E1820" s="3" t="s">
        <v>4513</v>
      </c>
      <c r="F1820" s="3" t="s">
        <v>4514</v>
      </c>
      <c r="G1820" s="3" t="str">
        <f>IFERROR(__xludf.DUMMYFUNCTION("GOOGLETRANSLATE(D1820,""fr"",""es"")"),"dolor")</f>
        <v>dolor</v>
      </c>
    </row>
    <row r="1821">
      <c r="A1821" s="3">
        <v>1799.0</v>
      </c>
      <c r="B1821" s="3" t="s">
        <v>189</v>
      </c>
      <c r="C1821" s="3" t="s">
        <v>190</v>
      </c>
      <c r="D1821" s="3" t="s">
        <v>4853</v>
      </c>
      <c r="E1821" s="3" t="s">
        <v>4517</v>
      </c>
      <c r="F1821" s="3" t="s">
        <v>4518</v>
      </c>
      <c r="G1821" s="3" t="str">
        <f>IFERROR(__xludf.DUMMYFUNCTION("GOOGLETRANSLATE(D1821,""fr"",""es"")"),"hallazgo")</f>
        <v>hallazgo</v>
      </c>
    </row>
    <row r="1822">
      <c r="A1822" s="3">
        <v>1800.0</v>
      </c>
      <c r="B1822" s="3" t="s">
        <v>189</v>
      </c>
      <c r="C1822" s="3" t="s">
        <v>190</v>
      </c>
      <c r="D1822" s="3" t="s">
        <v>4854</v>
      </c>
      <c r="E1822" s="3" t="s">
        <v>4517</v>
      </c>
      <c r="F1822" s="3" t="s">
        <v>4518</v>
      </c>
      <c r="G1822" s="3" t="str">
        <f>IFERROR(__xludf.DUMMYFUNCTION("GOOGLETRANSLATE(D1822,""fr"",""es"")"),"pintar")</f>
        <v>pintar</v>
      </c>
    </row>
    <row r="1823">
      <c r="A1823" s="3">
        <v>1801.0</v>
      </c>
      <c r="B1823" s="3" t="s">
        <v>189</v>
      </c>
      <c r="C1823" s="3" t="s">
        <v>190</v>
      </c>
      <c r="D1823" s="3" t="s">
        <v>4855</v>
      </c>
      <c r="E1823" s="3" t="s">
        <v>4517</v>
      </c>
      <c r="F1823" s="3" t="s">
        <v>4518</v>
      </c>
      <c r="G1823" s="3" t="str">
        <f>IFERROR(__xludf.DUMMYFUNCTION("GOOGLETRANSLATE(D1823,""fr"",""es"")"),"señales")</f>
        <v>señales</v>
      </c>
    </row>
    <row r="1824">
      <c r="A1824" s="3">
        <v>1802.0</v>
      </c>
      <c r="B1824" s="3" t="s">
        <v>189</v>
      </c>
      <c r="C1824" s="3" t="s">
        <v>190</v>
      </c>
      <c r="D1824" s="3" t="s">
        <v>4856</v>
      </c>
      <c r="E1824" s="3" t="s">
        <v>4522</v>
      </c>
      <c r="F1824" s="3" t="s">
        <v>4523</v>
      </c>
      <c r="G1824" s="3" t="str">
        <f>IFERROR(__xludf.DUMMYFUNCTION("GOOGLETRANSLATE(D1824,""fr"",""es"")"),"tristeza")</f>
        <v>tristeza</v>
      </c>
      <c r="H1824" s="3" t="s">
        <v>3336</v>
      </c>
      <c r="I1824" s="3" t="s">
        <v>357</v>
      </c>
      <c r="J1824" s="3" t="s">
        <v>4857</v>
      </c>
      <c r="K1824" s="3" t="s">
        <v>4858</v>
      </c>
      <c r="L1824" s="3" t="s">
        <v>4859</v>
      </c>
      <c r="M1824" s="3" t="s">
        <v>4860</v>
      </c>
      <c r="N1824" s="3" t="s">
        <v>4861</v>
      </c>
      <c r="O1824" s="3" t="s">
        <v>4862</v>
      </c>
      <c r="P1824" s="3" t="s">
        <v>3336</v>
      </c>
      <c r="Q1824" s="3" t="s">
        <v>3331</v>
      </c>
      <c r="R1824" s="3" t="s">
        <v>4863</v>
      </c>
      <c r="S1824" s="3" t="s">
        <v>4864</v>
      </c>
      <c r="T1824" s="3" t="s">
        <v>4865</v>
      </c>
      <c r="U1824" s="3" t="s">
        <v>4866</v>
      </c>
      <c r="V1824" s="3" t="s">
        <v>4864</v>
      </c>
      <c r="W1824" s="3" t="s">
        <v>4857</v>
      </c>
      <c r="X1824" s="3" t="s">
        <v>4867</v>
      </c>
      <c r="Y1824" s="3" t="s">
        <v>4868</v>
      </c>
      <c r="Z1824" s="3" t="s">
        <v>4869</v>
      </c>
      <c r="AA1824" s="3" t="s">
        <v>4870</v>
      </c>
      <c r="AB1824" s="3" t="s">
        <v>3335</v>
      </c>
      <c r="AC1824" s="3" t="s">
        <v>3336</v>
      </c>
      <c r="AD1824" s="3" t="s">
        <v>3337</v>
      </c>
      <c r="AE1824" s="3" t="s">
        <v>3338</v>
      </c>
      <c r="AF1824" s="3" t="s">
        <v>4857</v>
      </c>
      <c r="AG1824" s="3" t="s">
        <v>4871</v>
      </c>
      <c r="AH1824" s="3" t="s">
        <v>4872</v>
      </c>
      <c r="AI1824" s="3" t="s">
        <v>3344</v>
      </c>
      <c r="AJ1824" s="3" t="s">
        <v>4873</v>
      </c>
      <c r="AK1824" s="3" t="s">
        <v>4857</v>
      </c>
      <c r="AL1824" s="3" t="s">
        <v>4874</v>
      </c>
      <c r="AM1824" s="3" t="s">
        <v>4875</v>
      </c>
      <c r="AN1824" s="3" t="s">
        <v>4864</v>
      </c>
      <c r="AO1824" s="3" t="s">
        <v>4876</v>
      </c>
      <c r="AP1824" s="3" t="s">
        <v>4877</v>
      </c>
      <c r="AQ1824" s="3" t="s">
        <v>4878</v>
      </c>
      <c r="AR1824" s="3" t="s">
        <v>4879</v>
      </c>
      <c r="AS1824" s="3" t="s">
        <v>4880</v>
      </c>
      <c r="AT1824" s="3" t="s">
        <v>4873</v>
      </c>
      <c r="AU1824" s="3" t="s">
        <v>4881</v>
      </c>
      <c r="AV1824" s="3" t="s">
        <v>4882</v>
      </c>
      <c r="AW1824" s="3" t="s">
        <v>4883</v>
      </c>
      <c r="AX1824" s="3" t="s">
        <v>4884</v>
      </c>
    </row>
    <row r="1825">
      <c r="A1825" s="3">
        <v>1803.0</v>
      </c>
      <c r="B1825" s="3" t="s">
        <v>189</v>
      </c>
      <c r="C1825" s="3" t="s">
        <v>190</v>
      </c>
      <c r="D1825" s="3" t="s">
        <v>4885</v>
      </c>
      <c r="E1825" s="3" t="s">
        <v>4522</v>
      </c>
      <c r="F1825" s="3" t="s">
        <v>4523</v>
      </c>
      <c r="G1825" s="3" t="str">
        <f>IFERROR(__xludf.DUMMYFUNCTION("GOOGLETRANSLATE(D1825,""fr"",""es"")"),"dolor")</f>
        <v>dolor</v>
      </c>
    </row>
    <row r="1826">
      <c r="A1826" s="3">
        <v>1804.0</v>
      </c>
      <c r="B1826" s="3" t="s">
        <v>189</v>
      </c>
      <c r="C1826" s="3" t="s">
        <v>190</v>
      </c>
      <c r="D1826" s="3" t="s">
        <v>4886</v>
      </c>
      <c r="E1826" s="3" t="s">
        <v>4522</v>
      </c>
      <c r="F1826" s="3" t="s">
        <v>4523</v>
      </c>
      <c r="G1826" s="3" t="str">
        <f>IFERROR(__xludf.DUMMYFUNCTION("GOOGLETRANSLATE(D1826,""fr"",""es"")"),"tristeza")</f>
        <v>tristeza</v>
      </c>
    </row>
    <row r="1827">
      <c r="A1827" s="3">
        <v>1805.0</v>
      </c>
      <c r="B1827" s="3" t="s">
        <v>189</v>
      </c>
      <c r="C1827" s="3" t="s">
        <v>190</v>
      </c>
      <c r="D1827" s="3" t="s">
        <v>4887</v>
      </c>
      <c r="E1827" s="3" t="s">
        <v>4400</v>
      </c>
      <c r="F1827" s="3" t="s">
        <v>4399</v>
      </c>
      <c r="G1827" s="3" t="str">
        <f>IFERROR(__xludf.DUMMYFUNCTION("GOOGLETRANSLATE(D1827,""fr"",""es"")"),"pele")</f>
        <v>pele</v>
      </c>
    </row>
    <row r="1828">
      <c r="A1828" s="3">
        <v>1806.0</v>
      </c>
      <c r="B1828" s="3" t="s">
        <v>189</v>
      </c>
      <c r="C1828" s="3" t="s">
        <v>190</v>
      </c>
      <c r="D1828" s="3" t="s">
        <v>4888</v>
      </c>
      <c r="E1828" s="3" t="s">
        <v>4400</v>
      </c>
      <c r="F1828" s="3" t="s">
        <v>4399</v>
      </c>
      <c r="G1828" s="3" t="str">
        <f>IFERROR(__xludf.DUMMYFUNCTION("GOOGLETRANSLATE(D1828,""fr"",""es"")"),"pelar")</f>
        <v>pelar</v>
      </c>
    </row>
    <row r="1829">
      <c r="A1829" s="3">
        <v>1807.0</v>
      </c>
      <c r="B1829" s="3" t="s">
        <v>189</v>
      </c>
      <c r="C1829" s="3" t="s">
        <v>190</v>
      </c>
      <c r="D1829" s="3" t="s">
        <v>4889</v>
      </c>
      <c r="E1829" s="3" t="s">
        <v>4400</v>
      </c>
      <c r="F1829" s="3" t="s">
        <v>4399</v>
      </c>
      <c r="G1829" s="3" t="str">
        <f>IFERROR(__xludf.DUMMYFUNCTION("GOOGLETRANSLATE(D1829,""fr"",""es"")"),"duro")</f>
        <v>duro</v>
      </c>
    </row>
    <row r="1830">
      <c r="A1830" s="3">
        <v>1808.0</v>
      </c>
      <c r="B1830" s="3" t="s">
        <v>189</v>
      </c>
      <c r="C1830" s="3" t="s">
        <v>190</v>
      </c>
      <c r="D1830" s="3" t="s">
        <v>4890</v>
      </c>
      <c r="E1830" s="3" t="s">
        <v>4400</v>
      </c>
      <c r="F1830" s="3" t="s">
        <v>4399</v>
      </c>
      <c r="G1830" s="3" t="str">
        <f>IFERROR(__xludf.DUMMYFUNCTION("GOOGLETRANSLATE(D1830,""fr"",""es"")"),"pala")</f>
        <v>pala</v>
      </c>
      <c r="H1830" s="3" t="s">
        <v>4891</v>
      </c>
      <c r="I1830" s="3" t="s">
        <v>4892</v>
      </c>
      <c r="J1830" s="3" t="s">
        <v>4893</v>
      </c>
      <c r="K1830" s="3" t="s">
        <v>4894</v>
      </c>
      <c r="L1830" s="3" t="s">
        <v>4895</v>
      </c>
      <c r="M1830" s="3" t="s">
        <v>4896</v>
      </c>
      <c r="N1830" s="3" t="s">
        <v>4897</v>
      </c>
      <c r="O1830" s="3" t="s">
        <v>4898</v>
      </c>
      <c r="P1830" s="3" t="s">
        <v>4895</v>
      </c>
      <c r="Q1830" s="3" t="s">
        <v>4895</v>
      </c>
      <c r="R1830" s="3" t="s">
        <v>4895</v>
      </c>
      <c r="S1830" s="3" t="s">
        <v>4894</v>
      </c>
      <c r="T1830" s="3" t="s">
        <v>4894</v>
      </c>
      <c r="U1830" s="3" t="s">
        <v>4899</v>
      </c>
      <c r="V1830" s="3" t="s">
        <v>4900</v>
      </c>
      <c r="W1830" s="3" t="s">
        <v>4894</v>
      </c>
      <c r="X1830" s="3" t="s">
        <v>4901</v>
      </c>
      <c r="Y1830" s="3" t="s">
        <v>4902</v>
      </c>
      <c r="Z1830" s="3" t="s">
        <v>4903</v>
      </c>
      <c r="AA1830" s="3" t="s">
        <v>4895</v>
      </c>
      <c r="AB1830" s="3" t="s">
        <v>4904</v>
      </c>
      <c r="AC1830" s="3" t="s">
        <v>4905</v>
      </c>
    </row>
    <row r="1831">
      <c r="A1831" s="3">
        <v>1809.0</v>
      </c>
      <c r="B1831" s="3" t="s">
        <v>189</v>
      </c>
      <c r="C1831" s="3" t="s">
        <v>190</v>
      </c>
      <c r="D1831" s="3" t="s">
        <v>4906</v>
      </c>
      <c r="E1831" s="3" t="s">
        <v>4400</v>
      </c>
      <c r="F1831" s="3" t="s">
        <v>4399</v>
      </c>
      <c r="G1831" s="3" t="str">
        <f>IFERROR(__xludf.DUMMYFUNCTION("GOOGLETRANSLATE(D1831,""fr"",""es"")"),"pala")</f>
        <v>pala</v>
      </c>
    </row>
    <row r="1832">
      <c r="A1832" s="3">
        <v>1810.0</v>
      </c>
      <c r="B1832" s="3" t="s">
        <v>189</v>
      </c>
      <c r="C1832" s="3" t="s">
        <v>190</v>
      </c>
      <c r="D1832" s="3" t="s">
        <v>4907</v>
      </c>
      <c r="E1832" s="3" t="s">
        <v>4522</v>
      </c>
      <c r="F1832" s="3" t="s">
        <v>4523</v>
      </c>
      <c r="G1832" s="3" t="str">
        <f>IFERROR(__xludf.DUMMYFUNCTION("GOOGLETRANSLATE(D1832,""fr"",""es"")"),"tornillo")</f>
        <v>tornillo</v>
      </c>
    </row>
    <row r="1833">
      <c r="A1833" s="3">
        <v>1811.0</v>
      </c>
      <c r="B1833" s="3" t="s">
        <v>189</v>
      </c>
      <c r="C1833" s="3" t="s">
        <v>190</v>
      </c>
      <c r="D1833" s="3" t="s">
        <v>4908</v>
      </c>
      <c r="E1833" s="3" t="s">
        <v>4522</v>
      </c>
      <c r="F1833" s="3" t="s">
        <v>4523</v>
      </c>
      <c r="G1833" s="3" t="str">
        <f>IFERROR(__xludf.DUMMYFUNCTION("GOOGLETRANSLATE(D1833,""fr"",""es"")"),"baches")</f>
        <v>baches</v>
      </c>
    </row>
    <row r="1834">
      <c r="A1834" s="3">
        <v>1812.0</v>
      </c>
      <c r="B1834" s="3" t="s">
        <v>189</v>
      </c>
      <c r="C1834" s="3" t="s">
        <v>190</v>
      </c>
      <c r="D1834" s="3" t="s">
        <v>4909</v>
      </c>
      <c r="E1834" s="3" t="s">
        <v>4522</v>
      </c>
      <c r="F1834" s="3" t="s">
        <v>4523</v>
      </c>
      <c r="G1834" s="3" t="str">
        <f>IFERROR(__xludf.DUMMYFUNCTION("GOOGLETRANSLATE(D1834,""fr"",""es"")"),"pasta")</f>
        <v>pasta</v>
      </c>
      <c r="H1834" s="3" t="s">
        <v>4910</v>
      </c>
      <c r="I1834" s="3" t="s">
        <v>3438</v>
      </c>
      <c r="J1834" s="3" t="s">
        <v>4911</v>
      </c>
      <c r="K1834" s="3" t="s">
        <v>4912</v>
      </c>
      <c r="L1834" s="3" t="s">
        <v>4909</v>
      </c>
    </row>
    <row r="1835">
      <c r="A1835" s="3">
        <v>1813.0</v>
      </c>
      <c r="B1835" s="3" t="s">
        <v>189</v>
      </c>
      <c r="C1835" s="3" t="s">
        <v>190</v>
      </c>
      <c r="D1835" s="3" t="s">
        <v>4913</v>
      </c>
      <c r="E1835" s="3" t="s">
        <v>4522</v>
      </c>
      <c r="F1835" s="3" t="s">
        <v>4523</v>
      </c>
      <c r="G1835" s="3" t="str">
        <f>IFERROR(__xludf.DUMMYFUNCTION("GOOGLETRANSLATE(D1835,""fr"",""es"")"),"penis")</f>
        <v>penis</v>
      </c>
    </row>
    <row r="1836">
      <c r="A1836" s="3">
        <v>1814.0</v>
      </c>
      <c r="B1836" s="3" t="s">
        <v>189</v>
      </c>
      <c r="C1836" s="3" t="s">
        <v>190</v>
      </c>
      <c r="D1836" s="3" t="s">
        <v>4914</v>
      </c>
      <c r="E1836" s="3" t="s">
        <v>4597</v>
      </c>
      <c r="F1836" s="3" t="s">
        <v>4598</v>
      </c>
      <c r="G1836" s="3" t="str">
        <f>IFERROR(__xludf.DUMMYFUNCTION("GOOGLETRANSLATE(D1836,""fr"",""es"")"),"Energía")</f>
        <v>Energía</v>
      </c>
      <c r="H1836" s="3" t="s">
        <v>4915</v>
      </c>
      <c r="I1836" s="3" t="s">
        <v>4916</v>
      </c>
      <c r="J1836" s="3" t="s">
        <v>4917</v>
      </c>
    </row>
    <row r="1837">
      <c r="A1837" s="3">
        <v>1815.0</v>
      </c>
      <c r="B1837" s="3" t="s">
        <v>189</v>
      </c>
      <c r="C1837" s="3" t="s">
        <v>190</v>
      </c>
      <c r="D1837" s="3" t="s">
        <v>4918</v>
      </c>
      <c r="E1837" s="3" t="s">
        <v>4703</v>
      </c>
      <c r="F1837" s="3" t="s">
        <v>172</v>
      </c>
      <c r="G1837" s="3" t="str">
        <f>IFERROR(__xludf.DUMMYFUNCTION("GOOGLETRANSLATE(D1837,""fr"",""es"")"),"Plaga")</f>
        <v>Plaga</v>
      </c>
      <c r="H1837" s="3" t="s">
        <v>4919</v>
      </c>
      <c r="I1837" s="3" t="s">
        <v>4920</v>
      </c>
      <c r="J1837" s="3" t="s">
        <v>4921</v>
      </c>
      <c r="K1837" s="3" t="s">
        <v>4922</v>
      </c>
      <c r="L1837" s="3" t="s">
        <v>4923</v>
      </c>
      <c r="M1837" s="3" t="s">
        <v>4921</v>
      </c>
      <c r="N1837" s="3" t="s">
        <v>4920</v>
      </c>
      <c r="O1837" s="3" t="s">
        <v>4920</v>
      </c>
      <c r="P1837" s="3" t="s">
        <v>4924</v>
      </c>
      <c r="Q1837" s="3" t="s">
        <v>4920</v>
      </c>
      <c r="R1837" s="3" t="s">
        <v>4925</v>
      </c>
      <c r="S1837" s="3" t="s">
        <v>3646</v>
      </c>
      <c r="T1837" s="3" t="s">
        <v>3647</v>
      </c>
      <c r="U1837" s="3" t="s">
        <v>4926</v>
      </c>
      <c r="V1837" s="3" t="s">
        <v>4927</v>
      </c>
      <c r="W1837" s="3" t="s">
        <v>4920</v>
      </c>
      <c r="X1837" s="3" t="s">
        <v>4928</v>
      </c>
      <c r="Y1837" s="3" t="s">
        <v>4925</v>
      </c>
      <c r="Z1837" s="3" t="s">
        <v>4929</v>
      </c>
      <c r="AA1837" s="3" t="s">
        <v>4930</v>
      </c>
      <c r="AB1837" s="3" t="s">
        <v>4931</v>
      </c>
    </row>
    <row r="1838">
      <c r="A1838" s="3">
        <v>1816.0</v>
      </c>
      <c r="B1838" s="3" t="s">
        <v>189</v>
      </c>
      <c r="C1838" s="3" t="s">
        <v>190</v>
      </c>
      <c r="D1838" s="3" t="s">
        <v>4932</v>
      </c>
      <c r="E1838" s="3" t="s">
        <v>4703</v>
      </c>
      <c r="F1838" s="3" t="s">
        <v>172</v>
      </c>
      <c r="G1838" s="3" t="str">
        <f>IFERROR(__xludf.DUMMYFUNCTION("GOOGLETRANSLATE(D1838,""fr"",""es"")"),"apretado")</f>
        <v>apretado</v>
      </c>
    </row>
    <row r="1839">
      <c r="A1839" s="3">
        <v>1817.0</v>
      </c>
      <c r="B1839" s="3" t="s">
        <v>189</v>
      </c>
      <c r="C1839" s="3" t="s">
        <v>190</v>
      </c>
      <c r="D1839" s="3" t="s">
        <v>4933</v>
      </c>
      <c r="E1839" s="3" t="s">
        <v>4703</v>
      </c>
      <c r="F1839" s="3" t="s">
        <v>172</v>
      </c>
      <c r="G1839" s="3" t="str">
        <f>IFERROR(__xludf.DUMMYFUNCTION("GOOGLETRANSLATE(D1839,""fr"",""es"")"),"plagas")</f>
        <v>plagas</v>
      </c>
    </row>
    <row r="1840">
      <c r="A1840" s="3">
        <v>1818.0</v>
      </c>
      <c r="B1840" s="3" t="s">
        <v>189</v>
      </c>
      <c r="C1840" s="3" t="s">
        <v>190</v>
      </c>
      <c r="D1840" s="3" t="s">
        <v>4934</v>
      </c>
      <c r="E1840" s="3" t="s">
        <v>4935</v>
      </c>
      <c r="F1840" s="3" t="s">
        <v>4934</v>
      </c>
      <c r="G1840" s="3" t="str">
        <f>IFERROR(__xludf.DUMMYFUNCTION("GOOGLETRANSLATE(D1840,""fr"",""es"")"),"Pi")</f>
        <v>Pi</v>
      </c>
      <c r="H1840" s="3" t="s">
        <v>4934</v>
      </c>
      <c r="I1840" s="3" t="s">
        <v>4934</v>
      </c>
    </row>
    <row r="1841">
      <c r="A1841" s="3">
        <v>1819.0</v>
      </c>
      <c r="B1841" s="3" t="s">
        <v>189</v>
      </c>
      <c r="C1841" s="3" t="s">
        <v>190</v>
      </c>
      <c r="D1841" s="3" t="s">
        <v>4936</v>
      </c>
      <c r="E1841" s="3" t="s">
        <v>4937</v>
      </c>
      <c r="F1841" s="3" t="s">
        <v>4938</v>
      </c>
      <c r="G1841" s="3" t="str">
        <f>IFERROR(__xludf.DUMMYFUNCTION("GOOGLETRANSLATE(D1841,""fr"",""es"")"),"cima")</f>
        <v>cima</v>
      </c>
      <c r="H1841" s="3" t="s">
        <v>4939</v>
      </c>
      <c r="I1841" s="3" t="s">
        <v>4940</v>
      </c>
      <c r="J1841" s="3" t="s">
        <v>4941</v>
      </c>
      <c r="K1841" s="3" t="s">
        <v>4942</v>
      </c>
      <c r="L1841" s="3" t="s">
        <v>4943</v>
      </c>
      <c r="M1841" s="3" t="s">
        <v>1954</v>
      </c>
      <c r="N1841" s="3" t="s">
        <v>4944</v>
      </c>
      <c r="O1841" s="3" t="s">
        <v>4945</v>
      </c>
      <c r="P1841" s="3" t="s">
        <v>4946</v>
      </c>
      <c r="Q1841" s="3" t="s">
        <v>4947</v>
      </c>
      <c r="R1841" s="3" t="s">
        <v>4948</v>
      </c>
    </row>
    <row r="1842">
      <c r="A1842" s="3">
        <v>1820.0</v>
      </c>
      <c r="B1842" s="3" t="s">
        <v>189</v>
      </c>
      <c r="C1842" s="3" t="s">
        <v>190</v>
      </c>
      <c r="D1842" s="3" t="s">
        <v>4949</v>
      </c>
      <c r="E1842" s="3" t="s">
        <v>4950</v>
      </c>
      <c r="F1842" s="3" t="s">
        <v>4951</v>
      </c>
      <c r="G1842" s="3" t="str">
        <f>IFERROR(__xludf.DUMMYFUNCTION("GOOGLETRANSLATE(D1842,""fr"",""es"")"),"lanzador")</f>
        <v>lanzador</v>
      </c>
      <c r="H1842" s="3" t="s">
        <v>4952</v>
      </c>
      <c r="I1842" s="3" t="s">
        <v>4953</v>
      </c>
    </row>
    <row r="1843">
      <c r="A1843" s="3">
        <v>1821.0</v>
      </c>
      <c r="B1843" s="3" t="s">
        <v>189</v>
      </c>
      <c r="C1843" s="3" t="s">
        <v>190</v>
      </c>
      <c r="D1843" s="3" t="s">
        <v>4954</v>
      </c>
      <c r="E1843" s="3" t="s">
        <v>4950</v>
      </c>
      <c r="F1843" s="3" t="s">
        <v>4951</v>
      </c>
      <c r="G1843" s="3" t="str">
        <f>IFERROR(__xludf.DUMMYFUNCTION("GOOGLETRANSLATE(D1843,""fr"",""es"")"),"lanzadores")</f>
        <v>lanzadores</v>
      </c>
    </row>
    <row r="1844">
      <c r="A1844" s="3">
        <v>1822.0</v>
      </c>
      <c r="B1844" s="3" t="s">
        <v>189</v>
      </c>
      <c r="C1844" s="3" t="s">
        <v>190</v>
      </c>
      <c r="D1844" s="3" t="s">
        <v>4955</v>
      </c>
      <c r="E1844" s="3" t="s">
        <v>4937</v>
      </c>
      <c r="F1844" s="3" t="s">
        <v>4938</v>
      </c>
      <c r="G1844" s="3" t="str">
        <f>IFERROR(__xludf.DUMMYFUNCTION("GOOGLETRANSLATE(D1844,""fr"",""es"")"),"picos")</f>
        <v>picos</v>
      </c>
      <c r="H1844" s="3" t="s">
        <v>4939</v>
      </c>
      <c r="I1844" s="3" t="s">
        <v>4940</v>
      </c>
      <c r="J1844" s="3" t="s">
        <v>4941</v>
      </c>
    </row>
    <row r="1845">
      <c r="A1845" s="3">
        <v>1823.0</v>
      </c>
      <c r="B1845" s="3" t="s">
        <v>189</v>
      </c>
      <c r="C1845" s="3" t="s">
        <v>190</v>
      </c>
      <c r="D1845" s="3" t="s">
        <v>4956</v>
      </c>
      <c r="E1845" s="3" t="s">
        <v>4937</v>
      </c>
      <c r="F1845" s="3" t="s">
        <v>4938</v>
      </c>
      <c r="G1845" s="3" t="str">
        <f>IFERROR(__xludf.DUMMYFUNCTION("GOOGLETRANSLATE(D1845,""fr"",""es"")"),"imagen")</f>
        <v>imagen</v>
      </c>
    </row>
    <row r="1846">
      <c r="A1846" s="3">
        <v>1824.0</v>
      </c>
      <c r="B1846" s="3" t="s">
        <v>189</v>
      </c>
      <c r="C1846" s="3" t="s">
        <v>190</v>
      </c>
      <c r="D1846" s="3" t="s">
        <v>4957</v>
      </c>
      <c r="E1846" s="3" t="s">
        <v>4935</v>
      </c>
      <c r="F1846" s="3" t="s">
        <v>4934</v>
      </c>
      <c r="G1846" s="3" t="str">
        <f>IFERROR(__xludf.DUMMYFUNCTION("GOOGLETRANSLATE(D1846,""fr"",""es"")"),"brillar")</f>
        <v>brillar</v>
      </c>
      <c r="H1846" s="3" t="s">
        <v>4958</v>
      </c>
      <c r="I1846" s="3" t="s">
        <v>4959</v>
      </c>
      <c r="J1846" s="3" t="s">
        <v>4960</v>
      </c>
      <c r="K1846" s="3" t="s">
        <v>4961</v>
      </c>
      <c r="L1846" s="3" t="s">
        <v>4962</v>
      </c>
      <c r="M1846" s="3" t="s">
        <v>4963</v>
      </c>
      <c r="N1846" s="3" t="s">
        <v>4964</v>
      </c>
      <c r="O1846" s="3" t="s">
        <v>4965</v>
      </c>
      <c r="P1846" s="3" t="s">
        <v>4966</v>
      </c>
      <c r="Q1846" s="3" t="s">
        <v>4967</v>
      </c>
      <c r="R1846" s="3" t="s">
        <v>4968</v>
      </c>
      <c r="S1846" s="3" t="s">
        <v>4969</v>
      </c>
      <c r="T1846" s="3" t="s">
        <v>4970</v>
      </c>
      <c r="U1846" s="3" t="s">
        <v>4971</v>
      </c>
      <c r="V1846" s="3" t="s">
        <v>4972</v>
      </c>
      <c r="W1846" s="3" t="s">
        <v>4973</v>
      </c>
      <c r="X1846" s="3" t="s">
        <v>4974</v>
      </c>
      <c r="Y1846" s="3" t="s">
        <v>4975</v>
      </c>
      <c r="Z1846" s="3" t="s">
        <v>4976</v>
      </c>
      <c r="AA1846" s="3" t="s">
        <v>4977</v>
      </c>
      <c r="AB1846" s="3" t="s">
        <v>4978</v>
      </c>
      <c r="AC1846" s="3" t="s">
        <v>4979</v>
      </c>
      <c r="AD1846" s="3" t="s">
        <v>3282</v>
      </c>
      <c r="AE1846" s="3" t="s">
        <v>326</v>
      </c>
      <c r="AF1846" s="3" t="s">
        <v>4980</v>
      </c>
      <c r="AG1846" s="3" t="s">
        <v>4981</v>
      </c>
      <c r="AH1846" s="3" t="s">
        <v>4982</v>
      </c>
      <c r="AI1846" s="3" t="s">
        <v>4983</v>
      </c>
      <c r="AJ1846" s="3" t="s">
        <v>4984</v>
      </c>
      <c r="AK1846" s="3" t="s">
        <v>4985</v>
      </c>
      <c r="AL1846" s="3" t="s">
        <v>4986</v>
      </c>
      <c r="AM1846" s="3" t="s">
        <v>4987</v>
      </c>
      <c r="AN1846" s="3" t="s">
        <v>4988</v>
      </c>
      <c r="AO1846" s="3" t="s">
        <v>4989</v>
      </c>
      <c r="AP1846" s="3" t="s">
        <v>4990</v>
      </c>
      <c r="AQ1846" s="3" t="s">
        <v>4977</v>
      </c>
      <c r="AR1846" s="3" t="s">
        <v>4991</v>
      </c>
      <c r="AS1846" s="3" t="s">
        <v>4977</v>
      </c>
      <c r="AT1846" s="3" t="s">
        <v>4992</v>
      </c>
      <c r="AU1846" s="3" t="s">
        <v>4993</v>
      </c>
    </row>
    <row r="1847">
      <c r="A1847" s="3">
        <v>1825.0</v>
      </c>
      <c r="B1847" s="3" t="s">
        <v>189</v>
      </c>
      <c r="C1847" s="3" t="s">
        <v>190</v>
      </c>
      <c r="D1847" s="3" t="s">
        <v>4994</v>
      </c>
      <c r="E1847" s="3" t="s">
        <v>4935</v>
      </c>
      <c r="F1847" s="3" t="s">
        <v>4934</v>
      </c>
      <c r="G1847" s="3" t="str">
        <f>IFERROR(__xludf.DUMMYFUNCTION("GOOGLETRANSLATE(D1847,""fr"",""es"")"),"Brillar")</f>
        <v>Brillar</v>
      </c>
      <c r="H1847" s="3" t="s">
        <v>4958</v>
      </c>
      <c r="I1847" s="3" t="s">
        <v>4959</v>
      </c>
      <c r="J1847" s="3" t="s">
        <v>4960</v>
      </c>
      <c r="K1847" s="3" t="s">
        <v>4961</v>
      </c>
      <c r="L1847" s="3" t="s">
        <v>4962</v>
      </c>
      <c r="M1847" s="3" t="s">
        <v>4963</v>
      </c>
      <c r="N1847" s="3" t="s">
        <v>4964</v>
      </c>
      <c r="O1847" s="3" t="s">
        <v>4965</v>
      </c>
      <c r="P1847" s="3" t="s">
        <v>4966</v>
      </c>
      <c r="Q1847" s="3" t="s">
        <v>4967</v>
      </c>
      <c r="R1847" s="3" t="s">
        <v>4968</v>
      </c>
      <c r="S1847" s="3" t="s">
        <v>4969</v>
      </c>
      <c r="T1847" s="3" t="s">
        <v>4970</v>
      </c>
      <c r="U1847" s="3" t="s">
        <v>4971</v>
      </c>
      <c r="V1847" s="3" t="s">
        <v>4972</v>
      </c>
      <c r="W1847" s="3" t="s">
        <v>4973</v>
      </c>
      <c r="X1847" s="3" t="s">
        <v>4974</v>
      </c>
      <c r="Y1847" s="3" t="s">
        <v>4975</v>
      </c>
      <c r="Z1847" s="3" t="s">
        <v>4976</v>
      </c>
      <c r="AA1847" s="3" t="s">
        <v>4977</v>
      </c>
      <c r="AB1847" s="3" t="s">
        <v>4978</v>
      </c>
      <c r="AC1847" s="3" t="s">
        <v>4979</v>
      </c>
      <c r="AD1847" s="3" t="s">
        <v>3282</v>
      </c>
      <c r="AE1847" s="3" t="s">
        <v>326</v>
      </c>
      <c r="AF1847" s="3" t="s">
        <v>4980</v>
      </c>
      <c r="AG1847" s="3" t="s">
        <v>4981</v>
      </c>
      <c r="AH1847" s="3" t="s">
        <v>4982</v>
      </c>
      <c r="AI1847" s="3" t="s">
        <v>4983</v>
      </c>
      <c r="AJ1847" s="3" t="s">
        <v>4984</v>
      </c>
      <c r="AK1847" s="3" t="s">
        <v>4985</v>
      </c>
      <c r="AL1847" s="3" t="s">
        <v>4986</v>
      </c>
      <c r="AM1847" s="3" t="s">
        <v>4987</v>
      </c>
      <c r="AN1847" s="3" t="s">
        <v>4988</v>
      </c>
      <c r="AO1847" s="3" t="s">
        <v>4989</v>
      </c>
      <c r="AP1847" s="3" t="s">
        <v>4990</v>
      </c>
      <c r="AQ1847" s="3" t="s">
        <v>4977</v>
      </c>
      <c r="AR1847" s="3" t="s">
        <v>4991</v>
      </c>
      <c r="AS1847" s="3" t="s">
        <v>4977</v>
      </c>
      <c r="AT1847" s="3" t="s">
        <v>4992</v>
      </c>
      <c r="AU1847" s="3" t="s">
        <v>4993</v>
      </c>
    </row>
    <row r="1848">
      <c r="A1848" s="3">
        <v>1826.0</v>
      </c>
      <c r="B1848" s="3" t="s">
        <v>189</v>
      </c>
      <c r="C1848" s="3" t="s">
        <v>190</v>
      </c>
      <c r="D1848" s="3" t="s">
        <v>4995</v>
      </c>
      <c r="E1848" s="3" t="s">
        <v>4935</v>
      </c>
      <c r="F1848" s="3" t="s">
        <v>4934</v>
      </c>
      <c r="G1848" s="3" t="str">
        <f>IFERROR(__xludf.DUMMYFUNCTION("GOOGLETRANSLATE(D1848,""fr"",""es"")"),"pasteles")</f>
        <v>pasteles</v>
      </c>
    </row>
    <row r="1849">
      <c r="A1849" s="3">
        <v>1827.0</v>
      </c>
      <c r="B1849" s="3" t="s">
        <v>189</v>
      </c>
      <c r="C1849" s="3" t="s">
        <v>190</v>
      </c>
      <c r="D1849" s="3" t="s">
        <v>4996</v>
      </c>
      <c r="E1849" s="3" t="s">
        <v>4997</v>
      </c>
      <c r="F1849" s="3" t="s">
        <v>4998</v>
      </c>
      <c r="G1849" s="3" t="str">
        <f>IFERROR(__xludf.DUMMYFUNCTION("GOOGLETRANSLATE(D1849,""fr"",""es"")"),"caza")</f>
        <v>caza</v>
      </c>
    </row>
    <row r="1850">
      <c r="A1850" s="3">
        <v>1828.0</v>
      </c>
      <c r="B1850" s="3" t="s">
        <v>189</v>
      </c>
      <c r="C1850" s="3" t="s">
        <v>190</v>
      </c>
      <c r="D1850" s="3" t="s">
        <v>4999</v>
      </c>
      <c r="E1850" s="3" t="s">
        <v>4997</v>
      </c>
      <c r="F1850" s="3" t="s">
        <v>4998</v>
      </c>
      <c r="G1850" s="3" t="str">
        <f>IFERROR(__xludf.DUMMYFUNCTION("GOOGLETRANSLATE(D1850,""fr"",""es"")"),"abrazos")</f>
        <v>abrazos</v>
      </c>
    </row>
    <row r="1851">
      <c r="A1851" s="3">
        <v>1829.0</v>
      </c>
      <c r="B1851" s="3" t="s">
        <v>189</v>
      </c>
      <c r="C1851" s="3" t="s">
        <v>190</v>
      </c>
      <c r="D1851" s="3" t="s">
        <v>5000</v>
      </c>
      <c r="E1851" s="3" t="s">
        <v>5001</v>
      </c>
      <c r="F1851" s="3" t="s">
        <v>5002</v>
      </c>
      <c r="G1851" s="3" t="str">
        <f>IFERROR(__xludf.DUMMYFUNCTION("GOOGLETRANSLATE(D1851,""fr"",""es"")"),"pilai")</f>
        <v>pilai</v>
      </c>
    </row>
    <row r="1852">
      <c r="A1852" s="3">
        <v>1830.0</v>
      </c>
      <c r="B1852" s="3" t="s">
        <v>189</v>
      </c>
      <c r="C1852" s="3" t="s">
        <v>190</v>
      </c>
      <c r="D1852" s="3" t="s">
        <v>5003</v>
      </c>
      <c r="E1852" s="3" t="s">
        <v>5001</v>
      </c>
      <c r="F1852" s="3" t="s">
        <v>5002</v>
      </c>
      <c r="G1852" s="3" t="str">
        <f>IFERROR(__xludf.DUMMYFUNCTION("GOOGLETRANSLATE(D1852,""fr"",""es"")"),"estaban pisando")</f>
        <v>estaban pisando</v>
      </c>
    </row>
    <row r="1853">
      <c r="A1853" s="3">
        <v>1831.0</v>
      </c>
      <c r="B1853" s="3" t="s">
        <v>189</v>
      </c>
      <c r="C1853" s="3" t="s">
        <v>190</v>
      </c>
      <c r="D1853" s="3" t="s">
        <v>5004</v>
      </c>
      <c r="E1853" s="3" t="s">
        <v>5001</v>
      </c>
      <c r="F1853" s="3" t="s">
        <v>5002</v>
      </c>
      <c r="G1853" s="3" t="str">
        <f>IFERROR(__xludf.DUMMYFUNCTION("GOOGLETRANSLATE(D1853,""fr"",""es"")"),"lástima")</f>
        <v>lástima</v>
      </c>
    </row>
    <row r="1854">
      <c r="A1854" s="3">
        <v>1832.0</v>
      </c>
      <c r="B1854" s="3" t="s">
        <v>189</v>
      </c>
      <c r="C1854" s="3" t="s">
        <v>190</v>
      </c>
      <c r="D1854" s="3" t="s">
        <v>5005</v>
      </c>
      <c r="E1854" s="3" t="s">
        <v>5001</v>
      </c>
      <c r="F1854" s="3" t="s">
        <v>5002</v>
      </c>
      <c r="G1854" s="3" t="str">
        <f>IFERROR(__xludf.DUMMYFUNCTION("GOOGLETRANSLATE(D1854,""fr"",""es"")"),"atado")</f>
        <v>atado</v>
      </c>
    </row>
    <row r="1855">
      <c r="A1855" s="3">
        <v>1833.0</v>
      </c>
      <c r="B1855" s="3" t="s">
        <v>189</v>
      </c>
      <c r="C1855" s="3" t="s">
        <v>190</v>
      </c>
      <c r="D1855" s="3" t="s">
        <v>5006</v>
      </c>
      <c r="E1855" s="3" t="s">
        <v>5007</v>
      </c>
      <c r="F1855" s="3" t="s">
        <v>5008</v>
      </c>
      <c r="G1855" s="3" t="str">
        <f>IFERROR(__xludf.DUMMYFUNCTION("GOOGLETRANSLATE(D1855,""fr"",""es"")"),"fundas de almohada")</f>
        <v>fundas de almohada</v>
      </c>
    </row>
    <row r="1856">
      <c r="A1856" s="3">
        <v>1834.0</v>
      </c>
      <c r="B1856" s="3" t="s">
        <v>189</v>
      </c>
      <c r="C1856" s="3" t="s">
        <v>190</v>
      </c>
      <c r="D1856" s="3" t="s">
        <v>5009</v>
      </c>
      <c r="E1856" s="3" t="s">
        <v>5010</v>
      </c>
      <c r="F1856" s="3" t="s">
        <v>5011</v>
      </c>
      <c r="G1856" s="3" t="str">
        <f>IFERROR(__xludf.DUMMYFUNCTION("GOOGLETRANSLATE(D1856,""fr"",""es"")"),"pilasses")</f>
        <v>pilasses</v>
      </c>
    </row>
    <row r="1857">
      <c r="A1857" s="3">
        <v>1835.0</v>
      </c>
      <c r="B1857" s="3" t="s">
        <v>189</v>
      </c>
      <c r="C1857" s="3" t="s">
        <v>190</v>
      </c>
      <c r="D1857" s="3" t="s">
        <v>5012</v>
      </c>
      <c r="E1857" s="3" t="s">
        <v>5010</v>
      </c>
      <c r="F1857" s="3" t="s">
        <v>5011</v>
      </c>
      <c r="G1857" s="3" t="str">
        <f>IFERROR(__xludf.DUMMYFUNCTION("GOOGLETRANSLATE(D1857,""fr"",""es"")"),"pilaje")</f>
        <v>pilaje</v>
      </c>
    </row>
    <row r="1858">
      <c r="A1858" s="3">
        <v>1836.0</v>
      </c>
      <c r="B1858" s="3" t="s">
        <v>189</v>
      </c>
      <c r="C1858" s="3" t="s">
        <v>190</v>
      </c>
      <c r="D1858" s="3" t="s">
        <v>5013</v>
      </c>
      <c r="E1858" s="3" t="s">
        <v>5010</v>
      </c>
      <c r="F1858" s="3" t="s">
        <v>5011</v>
      </c>
      <c r="G1858" s="3" t="str">
        <f>IFERROR(__xludf.DUMMYFUNCTION("GOOGLETRANSLATE(D1858,""fr"",""es"")"),"pilasses")</f>
        <v>pilasses</v>
      </c>
    </row>
    <row r="1859">
      <c r="A1859" s="3">
        <v>1837.0</v>
      </c>
      <c r="B1859" s="3" t="s">
        <v>189</v>
      </c>
      <c r="C1859" s="3" t="s">
        <v>190</v>
      </c>
      <c r="D1859" s="3" t="s">
        <v>5014</v>
      </c>
      <c r="E1859" s="3" t="s">
        <v>5010</v>
      </c>
      <c r="F1859" s="3" t="s">
        <v>5011</v>
      </c>
      <c r="G1859" s="3" t="str">
        <f>IFERROR(__xludf.DUMMYFUNCTION("GOOGLETRANSLATE(D1859,""fr"",""es"")"),"pilastra")</f>
        <v>pilastra</v>
      </c>
      <c r="H1859" s="3" t="s">
        <v>5015</v>
      </c>
    </row>
    <row r="1860">
      <c r="A1860" s="3">
        <v>1838.0</v>
      </c>
      <c r="B1860" s="3" t="s">
        <v>189</v>
      </c>
      <c r="C1860" s="3" t="s">
        <v>190</v>
      </c>
      <c r="D1860" s="3" t="s">
        <v>5016</v>
      </c>
      <c r="E1860" s="3" t="s">
        <v>5010</v>
      </c>
      <c r="F1860" s="3" t="s">
        <v>5011</v>
      </c>
      <c r="G1860" s="3" t="str">
        <f>IFERROR(__xludf.DUMMYFUNCTION("GOOGLETRANSLATE(D1860,""fr"",""es"")"),"pilastras")</f>
        <v>pilastras</v>
      </c>
    </row>
    <row r="1861">
      <c r="A1861" s="3">
        <v>1839.0</v>
      </c>
      <c r="B1861" s="3" t="s">
        <v>189</v>
      </c>
      <c r="C1861" s="3" t="s">
        <v>190</v>
      </c>
      <c r="D1861" s="3" t="s">
        <v>3563</v>
      </c>
      <c r="E1861" s="3" t="s">
        <v>5017</v>
      </c>
      <c r="F1861" s="3" t="s">
        <v>5018</v>
      </c>
      <c r="G1861" s="3" t="str">
        <f>IFERROR(__xludf.DUMMYFUNCTION("GOOGLETRANSLATE(D1861,""fr"",""es"")"),"montón")</f>
        <v>montón</v>
      </c>
      <c r="H1861" s="3" t="s">
        <v>5019</v>
      </c>
      <c r="I1861" s="3" t="s">
        <v>5020</v>
      </c>
      <c r="J1861" s="3" t="s">
        <v>5021</v>
      </c>
      <c r="K1861" s="3" t="s">
        <v>5022</v>
      </c>
      <c r="L1861" s="3" t="s">
        <v>5023</v>
      </c>
      <c r="M1861" s="3" t="s">
        <v>5024</v>
      </c>
      <c r="N1861" s="3" t="s">
        <v>5025</v>
      </c>
      <c r="O1861" s="3" t="s">
        <v>5024</v>
      </c>
      <c r="P1861" s="3" t="s">
        <v>5026</v>
      </c>
      <c r="Q1861" s="3" t="s">
        <v>5027</v>
      </c>
      <c r="R1861" s="3" t="s">
        <v>5028</v>
      </c>
      <c r="S1861" s="3" t="s">
        <v>5027</v>
      </c>
      <c r="T1861" s="3" t="s">
        <v>5029</v>
      </c>
      <c r="U1861" s="3" t="s">
        <v>5030</v>
      </c>
      <c r="V1861" s="3" t="s">
        <v>5031</v>
      </c>
      <c r="W1861" s="3" t="s">
        <v>5032</v>
      </c>
      <c r="X1861" s="3" t="s">
        <v>5033</v>
      </c>
      <c r="Y1861" s="3" t="s">
        <v>5034</v>
      </c>
      <c r="Z1861" s="3" t="s">
        <v>5035</v>
      </c>
      <c r="AA1861" s="3" t="s">
        <v>5036</v>
      </c>
      <c r="AB1861" s="3" t="s">
        <v>5037</v>
      </c>
      <c r="AC1861" s="3" t="s">
        <v>5038</v>
      </c>
      <c r="AD1861" s="3" t="s">
        <v>5039</v>
      </c>
      <c r="AE1861" s="3" t="s">
        <v>3563</v>
      </c>
      <c r="AF1861" s="3" t="s">
        <v>5040</v>
      </c>
      <c r="AG1861" s="3" t="s">
        <v>5024</v>
      </c>
      <c r="AH1861" s="3" t="s">
        <v>5024</v>
      </c>
    </row>
    <row r="1862">
      <c r="A1862" s="3">
        <v>1840.0</v>
      </c>
      <c r="B1862" s="3" t="s">
        <v>189</v>
      </c>
      <c r="C1862" s="3" t="s">
        <v>190</v>
      </c>
      <c r="D1862" s="3" t="s">
        <v>5041</v>
      </c>
      <c r="E1862" s="3" t="s">
        <v>5017</v>
      </c>
      <c r="F1862" s="3" t="s">
        <v>5018</v>
      </c>
      <c r="G1862" s="3" t="str">
        <f>IFERROR(__xludf.DUMMYFUNCTION("GOOGLETRANSLATE(D1862,""fr"",""es"")"),"pinge")</f>
        <v>pinge</v>
      </c>
    </row>
    <row r="1863">
      <c r="A1863" s="3">
        <v>1841.0</v>
      </c>
      <c r="B1863" s="3" t="s">
        <v>189</v>
      </c>
      <c r="C1863" s="3" t="s">
        <v>190</v>
      </c>
      <c r="D1863" s="3" t="s">
        <v>5042</v>
      </c>
      <c r="E1863" s="3" t="s">
        <v>5017</v>
      </c>
      <c r="F1863" s="3" t="s">
        <v>5018</v>
      </c>
      <c r="G1863" s="3" t="str">
        <f>IFERROR(__xludf.DUMMYFUNCTION("GOOGLETRANSLATE(D1863,""fr"",""es"")"),"Batería")</f>
        <v>Batería</v>
      </c>
    </row>
    <row r="1864">
      <c r="A1864" s="3">
        <v>1842.0</v>
      </c>
      <c r="B1864" s="3" t="s">
        <v>189</v>
      </c>
      <c r="C1864" s="3" t="s">
        <v>190</v>
      </c>
      <c r="D1864" s="3" t="s">
        <v>5043</v>
      </c>
      <c r="E1864" s="3" t="s">
        <v>5044</v>
      </c>
      <c r="F1864" s="3" t="s">
        <v>5045</v>
      </c>
      <c r="G1864" s="3" t="str">
        <f>IFERROR(__xludf.DUMMYFUNCTION("GOOGLETRANSLATE(D1864,""fr"",""es"")"),"pili")</f>
        <v>pili</v>
      </c>
    </row>
    <row r="1865">
      <c r="A1865" s="3">
        <v>1843.0</v>
      </c>
      <c r="B1865" s="3" t="s">
        <v>189</v>
      </c>
      <c r="C1865" s="3" t="s">
        <v>190</v>
      </c>
      <c r="D1865" s="3" t="s">
        <v>5046</v>
      </c>
      <c r="E1865" s="3" t="s">
        <v>5047</v>
      </c>
      <c r="F1865" s="3" t="s">
        <v>5048</v>
      </c>
      <c r="G1865" s="3" t="str">
        <f>IFERROR(__xludf.DUMMYFUNCTION("GOOGLETRANSLATE(D1865,""fr"",""es"")"),"pilai")</f>
        <v>pilai</v>
      </c>
    </row>
    <row r="1866">
      <c r="A1866" s="3">
        <v>1844.0</v>
      </c>
      <c r="B1866" s="3" t="s">
        <v>189</v>
      </c>
      <c r="C1866" s="3" t="s">
        <v>190</v>
      </c>
      <c r="D1866" s="3" t="s">
        <v>5049</v>
      </c>
      <c r="E1866" s="3" t="s">
        <v>5047</v>
      </c>
      <c r="F1866" s="3" t="s">
        <v>5048</v>
      </c>
      <c r="G1866" s="3" t="str">
        <f>IFERROR(__xludf.DUMMYFUNCTION("GOOGLETRANSLATE(D1866,""fr"",""es"")"),"saqueado")</f>
        <v>saqueado</v>
      </c>
    </row>
    <row r="1867">
      <c r="A1867" s="3">
        <v>1845.0</v>
      </c>
      <c r="B1867" s="3" t="s">
        <v>189</v>
      </c>
      <c r="C1867" s="3" t="s">
        <v>190</v>
      </c>
      <c r="D1867" s="3" t="s">
        <v>5050</v>
      </c>
      <c r="E1867" s="3" t="s">
        <v>5047</v>
      </c>
      <c r="F1867" s="3" t="s">
        <v>5048</v>
      </c>
      <c r="G1867" s="3" t="str">
        <f>IFERROR(__xludf.DUMMYFUNCTION("GOOGLETRANSLATE(D1867,""fr"",""es"")"),"Pillais")</f>
        <v>Pillais</v>
      </c>
    </row>
    <row r="1868">
      <c r="A1868" s="3">
        <v>1846.0</v>
      </c>
      <c r="B1868" s="3" t="s">
        <v>189</v>
      </c>
      <c r="C1868" s="3" t="s">
        <v>190</v>
      </c>
      <c r="D1868" s="3" t="s">
        <v>5051</v>
      </c>
      <c r="E1868" s="3" t="s">
        <v>5047</v>
      </c>
      <c r="F1868" s="3" t="s">
        <v>5048</v>
      </c>
      <c r="G1868" s="3" t="str">
        <f>IFERROR(__xludf.DUMMYFUNCTION("GOOGLETRANSLATE(D1868,""fr"",""es"")"),"saqueado")</f>
        <v>saqueado</v>
      </c>
    </row>
    <row r="1869">
      <c r="A1869" s="3">
        <v>1847.0</v>
      </c>
      <c r="B1869" s="3" t="s">
        <v>189</v>
      </c>
      <c r="C1869" s="3" t="s">
        <v>190</v>
      </c>
      <c r="D1869" s="3" t="s">
        <v>5052</v>
      </c>
      <c r="E1869" s="3" t="s">
        <v>5053</v>
      </c>
      <c r="F1869" s="3" t="s">
        <v>5054</v>
      </c>
      <c r="G1869" s="3" t="str">
        <f>IFERROR(__xludf.DUMMYFUNCTION("GOOGLETRANSLATE(D1869,""fr"",""es"")"),"píldora")</f>
        <v>píldora</v>
      </c>
    </row>
    <row r="1870">
      <c r="A1870" s="3">
        <v>1848.0</v>
      </c>
      <c r="B1870" s="3" t="s">
        <v>189</v>
      </c>
      <c r="C1870" s="3" t="s">
        <v>190</v>
      </c>
      <c r="D1870" s="3" t="s">
        <v>5055</v>
      </c>
      <c r="E1870" s="3" t="s">
        <v>5056</v>
      </c>
      <c r="F1870" s="3" t="s">
        <v>5057</v>
      </c>
      <c r="G1870" s="3" t="str">
        <f>IFERROR(__xludf.DUMMYFUNCTION("GOOGLETRANSLATE(D1870,""fr"",""es"")"),"pillaje")</f>
        <v>pillaje</v>
      </c>
    </row>
    <row r="1871">
      <c r="A1871" s="3">
        <v>1849.0</v>
      </c>
      <c r="B1871" s="3" t="s">
        <v>189</v>
      </c>
      <c r="C1871" s="3" t="s">
        <v>190</v>
      </c>
      <c r="D1871" s="3" t="s">
        <v>5058</v>
      </c>
      <c r="E1871" s="3" t="s">
        <v>5056</v>
      </c>
      <c r="F1871" s="3" t="s">
        <v>5057</v>
      </c>
      <c r="G1871" s="3" t="str">
        <f>IFERROR(__xludf.DUMMYFUNCTION("GOOGLETRANSLATE(D1871,""fr"",""es"")"),"pillaje")</f>
        <v>pillaje</v>
      </c>
    </row>
    <row r="1872">
      <c r="A1872" s="3">
        <v>1850.0</v>
      </c>
      <c r="B1872" s="3" t="s">
        <v>189</v>
      </c>
      <c r="C1872" s="3" t="s">
        <v>190</v>
      </c>
      <c r="D1872" s="3" t="s">
        <v>5059</v>
      </c>
      <c r="E1872" s="3" t="s">
        <v>5056</v>
      </c>
      <c r="F1872" s="3" t="s">
        <v>5057</v>
      </c>
      <c r="G1872" s="3" t="str">
        <f>IFERROR(__xludf.DUMMYFUNCTION("GOOGLETRANSLATE(D1872,""fr"",""es"")"),"píldoras")</f>
        <v>píldoras</v>
      </c>
    </row>
    <row r="1873">
      <c r="A1873" s="3">
        <v>1851.0</v>
      </c>
      <c r="B1873" s="3" t="s">
        <v>189</v>
      </c>
      <c r="C1873" s="3" t="s">
        <v>190</v>
      </c>
      <c r="D1873" s="3" t="s">
        <v>5060</v>
      </c>
      <c r="E1873" s="3" t="s">
        <v>5061</v>
      </c>
      <c r="F1873" s="3" t="s">
        <v>5062</v>
      </c>
      <c r="G1873" s="3" t="str">
        <f>IFERROR(__xludf.DUMMYFUNCTION("GOOGLETRANSLATE(D1873,""fr"",""es"")"),"saqueado")</f>
        <v>saqueado</v>
      </c>
    </row>
    <row r="1874">
      <c r="A1874" s="3">
        <v>1852.0</v>
      </c>
      <c r="B1874" s="3" t="s">
        <v>189</v>
      </c>
      <c r="C1874" s="3" t="s">
        <v>190</v>
      </c>
      <c r="D1874" s="3" t="s">
        <v>5063</v>
      </c>
      <c r="E1874" s="3" t="s">
        <v>5061</v>
      </c>
      <c r="F1874" s="3" t="s">
        <v>5062</v>
      </c>
      <c r="G1874" s="3" t="str">
        <f>IFERROR(__xludf.DUMMYFUNCTION("GOOGLETRANSLATE(D1874,""fr"",""es"")"),"saquear")</f>
        <v>saquear</v>
      </c>
    </row>
    <row r="1875">
      <c r="A1875" s="3">
        <v>1853.0</v>
      </c>
      <c r="B1875" s="3" t="s">
        <v>189</v>
      </c>
      <c r="C1875" s="3" t="s">
        <v>190</v>
      </c>
      <c r="D1875" s="3" t="s">
        <v>5064</v>
      </c>
      <c r="E1875" s="3" t="s">
        <v>5061</v>
      </c>
      <c r="F1875" s="3" t="s">
        <v>5062</v>
      </c>
      <c r="G1875" s="3" t="str">
        <f>IFERROR(__xludf.DUMMYFUNCTION("GOOGLETRANSLATE(D1875,""fr"",""es"")"),"pastillas")</f>
        <v>pastillas</v>
      </c>
    </row>
    <row r="1876">
      <c r="A1876" s="3">
        <v>1854.0</v>
      </c>
      <c r="B1876" s="3" t="s">
        <v>189</v>
      </c>
      <c r="C1876" s="3" t="s">
        <v>190</v>
      </c>
      <c r="D1876" s="3" t="s">
        <v>5065</v>
      </c>
      <c r="E1876" s="3" t="s">
        <v>5066</v>
      </c>
      <c r="F1876" s="3" t="s">
        <v>5067</v>
      </c>
      <c r="G1876" s="3" t="str">
        <f>IFERROR(__xludf.DUMMYFUNCTION("GOOGLETRANSLATE(D1876,""fr"",""es"")"),"pilou")</f>
        <v>pilou</v>
      </c>
    </row>
    <row r="1877">
      <c r="A1877" s="3">
        <v>1855.0</v>
      </c>
      <c r="B1877" s="3" t="s">
        <v>189</v>
      </c>
      <c r="C1877" s="3" t="s">
        <v>190</v>
      </c>
      <c r="D1877" s="3" t="s">
        <v>5068</v>
      </c>
      <c r="E1877" s="3" t="s">
        <v>5066</v>
      </c>
      <c r="F1877" s="3" t="s">
        <v>5067</v>
      </c>
      <c r="G1877" s="3" t="str">
        <f>IFERROR(__xludf.DUMMYFUNCTION("GOOGLETRANSLATE(D1877,""fr"",""es"")"),"pilioso")</f>
        <v>pilioso</v>
      </c>
    </row>
    <row r="1878">
      <c r="A1878" s="3">
        <v>1856.0</v>
      </c>
      <c r="B1878" s="3" t="s">
        <v>189</v>
      </c>
      <c r="C1878" s="3" t="s">
        <v>190</v>
      </c>
      <c r="D1878" s="3" t="s">
        <v>5069</v>
      </c>
      <c r="E1878" s="3" t="s">
        <v>5070</v>
      </c>
      <c r="F1878" s="3" t="s">
        <v>5071</v>
      </c>
      <c r="G1878" s="3" t="str">
        <f>IFERROR(__xludf.DUMMYFUNCTION("GOOGLETRANSLATE(D1878,""fr"",""es"")"),"pináculo")</f>
        <v>pináculo</v>
      </c>
      <c r="H1878" s="3" t="s">
        <v>1966</v>
      </c>
      <c r="I1878" s="3" t="s">
        <v>1966</v>
      </c>
      <c r="J1878" s="3" t="s">
        <v>1966</v>
      </c>
      <c r="K1878" s="3" t="s">
        <v>1966</v>
      </c>
    </row>
    <row r="1879">
      <c r="A1879" s="3">
        <v>1857.0</v>
      </c>
      <c r="B1879" s="3" t="s">
        <v>189</v>
      </c>
      <c r="C1879" s="3" t="s">
        <v>190</v>
      </c>
      <c r="D1879" s="3" t="s">
        <v>5072</v>
      </c>
      <c r="E1879" s="3" t="s">
        <v>5070</v>
      </c>
      <c r="F1879" s="3" t="s">
        <v>5071</v>
      </c>
      <c r="G1879" s="3" t="str">
        <f>IFERROR(__xludf.DUMMYFUNCTION("GOOGLETRANSLATE(D1879,""fr"",""es"")"),"pináculos")</f>
        <v>pináculos</v>
      </c>
    </row>
    <row r="1880">
      <c r="A1880" s="3">
        <v>1858.0</v>
      </c>
      <c r="B1880" s="3" t="s">
        <v>189</v>
      </c>
      <c r="C1880" s="3" t="s">
        <v>190</v>
      </c>
      <c r="D1880" s="3" t="s">
        <v>5073</v>
      </c>
      <c r="E1880" s="3" t="s">
        <v>5074</v>
      </c>
      <c r="F1880" s="3" t="s">
        <v>5075</v>
      </c>
      <c r="G1880" s="3" t="str">
        <f>IFERROR(__xludf.DUMMYFUNCTION("GOOGLETRANSLATE(D1880,""fr"",""es"")"),"pinillai")</f>
        <v>pinillai</v>
      </c>
    </row>
    <row r="1881">
      <c r="A1881" s="3">
        <v>1859.0</v>
      </c>
      <c r="B1881" s="3" t="s">
        <v>189</v>
      </c>
      <c r="C1881" s="3" t="s">
        <v>190</v>
      </c>
      <c r="D1881" s="3" t="s">
        <v>5076</v>
      </c>
      <c r="E1881" s="3" t="s">
        <v>5074</v>
      </c>
      <c r="F1881" s="3" t="s">
        <v>5075</v>
      </c>
      <c r="G1881" s="3" t="str">
        <f>IFERROR(__xludf.DUMMYFUNCTION("GOOGLETRANSLATE(D1881,""fr"",""es"")"),"estaban tintinando")</f>
        <v>estaban tintinando</v>
      </c>
    </row>
    <row r="1882">
      <c r="A1882" s="3">
        <v>1860.0</v>
      </c>
      <c r="B1882" s="3" t="s">
        <v>189</v>
      </c>
      <c r="C1882" s="3" t="s">
        <v>190</v>
      </c>
      <c r="D1882" s="3" t="s">
        <v>5077</v>
      </c>
      <c r="E1882" s="3" t="s">
        <v>5074</v>
      </c>
      <c r="F1882" s="3" t="s">
        <v>5075</v>
      </c>
      <c r="G1882" s="3" t="str">
        <f>IFERROR(__xludf.DUMMYFUNCTION("GOOGLETRANSLATE(D1882,""fr"",""es"")"),"Pinaillais")</f>
        <v>Pinaillais</v>
      </c>
    </row>
    <row r="1883">
      <c r="A1883" s="3">
        <v>1861.0</v>
      </c>
      <c r="B1883" s="3" t="s">
        <v>189</v>
      </c>
      <c r="C1883" s="3" t="s">
        <v>190</v>
      </c>
      <c r="D1883" s="3" t="s">
        <v>5078</v>
      </c>
      <c r="E1883" s="3" t="s">
        <v>5074</v>
      </c>
      <c r="F1883" s="3" t="s">
        <v>5075</v>
      </c>
      <c r="G1883" s="3" t="str">
        <f>IFERROR(__xludf.DUMMYFUNCTION("GOOGLETRANSLATE(D1883,""fr"",""es"")"),"cortado")</f>
        <v>cortado</v>
      </c>
    </row>
    <row r="1884">
      <c r="A1884" s="3">
        <v>1862.0</v>
      </c>
      <c r="B1884" s="3" t="s">
        <v>189</v>
      </c>
      <c r="C1884" s="3" t="s">
        <v>190</v>
      </c>
      <c r="D1884" s="3" t="s">
        <v>5079</v>
      </c>
      <c r="E1884" s="3" t="s">
        <v>5080</v>
      </c>
      <c r="F1884" s="3" t="s">
        <v>5081</v>
      </c>
      <c r="G1884" s="3" t="str">
        <f>IFERROR(__xludf.DUMMYFUNCTION("GOOGLETRANSLATE(D1884,""fr"",""es"")"),"pinaillâme")</f>
        <v>pinaillâme</v>
      </c>
    </row>
    <row r="1885">
      <c r="A1885" s="3">
        <v>1863.0</v>
      </c>
      <c r="B1885" s="3" t="s">
        <v>189</v>
      </c>
      <c r="C1885" s="3" t="s">
        <v>190</v>
      </c>
      <c r="D1885" s="3" t="s">
        <v>5082</v>
      </c>
      <c r="E1885" s="3" t="s">
        <v>5083</v>
      </c>
      <c r="F1885" s="3" t="s">
        <v>5084</v>
      </c>
      <c r="G1885" s="3" t="str">
        <f>IFERROR(__xludf.DUMMYFUNCTION("GOOGLETRANSLATE(D1885,""fr"",""es"")"),"trampa")</f>
        <v>trampa</v>
      </c>
    </row>
    <row r="1886">
      <c r="A1886" s="3">
        <v>1864.0</v>
      </c>
      <c r="B1886" s="3" t="s">
        <v>189</v>
      </c>
      <c r="C1886" s="3" t="s">
        <v>190</v>
      </c>
      <c r="D1886" s="3" t="s">
        <v>5085</v>
      </c>
      <c r="E1886" s="3" t="s">
        <v>5083</v>
      </c>
      <c r="F1886" s="3" t="s">
        <v>5084</v>
      </c>
      <c r="G1886" s="3" t="str">
        <f>IFERROR(__xludf.DUMMYFUNCTION("GOOGLETRANSLATE(D1886,""fr"",""es"")"),"pellizco")</f>
        <v>pellizco</v>
      </c>
    </row>
    <row r="1887">
      <c r="A1887" s="3">
        <v>1865.0</v>
      </c>
      <c r="B1887" s="3" t="s">
        <v>189</v>
      </c>
      <c r="C1887" s="3" t="s">
        <v>190</v>
      </c>
      <c r="D1887" s="3" t="s">
        <v>5086</v>
      </c>
      <c r="E1887" s="3" t="s">
        <v>5083</v>
      </c>
      <c r="F1887" s="3" t="s">
        <v>5084</v>
      </c>
      <c r="G1887" s="3" t="str">
        <f>IFERROR(__xludf.DUMMYFUNCTION("GOOGLETRANSLATE(D1887,""fr"",""es"")"),"trampa")</f>
        <v>trampa</v>
      </c>
    </row>
    <row r="1888">
      <c r="A1888" s="3">
        <v>1866.0</v>
      </c>
      <c r="B1888" s="3" t="s">
        <v>189</v>
      </c>
      <c r="C1888" s="3" t="s">
        <v>190</v>
      </c>
      <c r="D1888" s="3" t="s">
        <v>5087</v>
      </c>
      <c r="E1888" s="3" t="s">
        <v>5088</v>
      </c>
      <c r="F1888" s="3" t="s">
        <v>5089</v>
      </c>
      <c r="G1888" s="3" t="str">
        <f>IFERROR(__xludf.DUMMYFUNCTION("GOOGLETRANSLATE(D1888,""fr"",""es"")"),"apodo")</f>
        <v>apodo</v>
      </c>
    </row>
    <row r="1889">
      <c r="A1889" s="3">
        <v>1867.0</v>
      </c>
      <c r="B1889" s="3" t="s">
        <v>189</v>
      </c>
      <c r="C1889" s="3" t="s">
        <v>190</v>
      </c>
      <c r="D1889" s="3" t="s">
        <v>5090</v>
      </c>
      <c r="E1889" s="3" t="s">
        <v>5088</v>
      </c>
      <c r="F1889" s="3" t="s">
        <v>5089</v>
      </c>
      <c r="G1889" s="3" t="str">
        <f>IFERROR(__xludf.DUMMYFUNCTION("GOOGLETRANSLATE(D1889,""fr"",""es"")"),"pestaña")</f>
        <v>pestaña</v>
      </c>
    </row>
    <row r="1890">
      <c r="A1890" s="3">
        <v>1868.0</v>
      </c>
      <c r="B1890" s="3" t="s">
        <v>189</v>
      </c>
      <c r="C1890" s="3" t="s">
        <v>190</v>
      </c>
      <c r="D1890" s="3" t="s">
        <v>5091</v>
      </c>
      <c r="E1890" s="3" t="s">
        <v>5088</v>
      </c>
      <c r="F1890" s="3" t="s">
        <v>5089</v>
      </c>
      <c r="G1890" s="3" t="str">
        <f>IFERROR(__xludf.DUMMYFUNCTION("GOOGLETRANSLATE(D1890,""fr"",""es"")"),"estaño")</f>
        <v>estaño</v>
      </c>
    </row>
    <row r="1891">
      <c r="A1891" s="3">
        <v>1869.0</v>
      </c>
      <c r="B1891" s="3" t="s">
        <v>189</v>
      </c>
      <c r="C1891" s="3" t="s">
        <v>190</v>
      </c>
      <c r="D1891" s="3" t="s">
        <v>5092</v>
      </c>
      <c r="E1891" s="3" t="s">
        <v>5093</v>
      </c>
      <c r="F1891" s="3" t="s">
        <v>5094</v>
      </c>
      <c r="G1891" s="3" t="str">
        <f>IFERROR(__xludf.DUMMYFUNCTION("GOOGLETRANSLATE(D1891,""fr"",""es"")"),"pinas")</f>
        <v>pinas</v>
      </c>
    </row>
    <row r="1892">
      <c r="A1892" s="3">
        <v>1870.0</v>
      </c>
      <c r="B1892" s="3" t="s">
        <v>189</v>
      </c>
      <c r="C1892" s="3" t="s">
        <v>190</v>
      </c>
      <c r="D1892" s="3" t="s">
        <v>5095</v>
      </c>
      <c r="E1892" s="3" t="s">
        <v>5093</v>
      </c>
      <c r="F1892" s="3" t="s">
        <v>5094</v>
      </c>
      <c r="G1892" s="3" t="str">
        <f>IFERROR(__xludf.DUMMYFUNCTION("GOOGLETRANSLATE(D1892,""fr"",""es"")"),"pinas")</f>
        <v>pinas</v>
      </c>
    </row>
    <row r="1893">
      <c r="A1893" s="3">
        <v>1871.0</v>
      </c>
      <c r="B1893" s="3" t="s">
        <v>189</v>
      </c>
      <c r="C1893" s="3" t="s">
        <v>190</v>
      </c>
      <c r="D1893" s="3" t="s">
        <v>5096</v>
      </c>
      <c r="E1893" s="3" t="s">
        <v>5097</v>
      </c>
      <c r="F1893" s="3" t="s">
        <v>5098</v>
      </c>
      <c r="G1893" s="3" t="str">
        <f>IFERROR(__xludf.DUMMYFUNCTION("GOOGLETRANSLATE(D1893,""fr"",""es"")"),"pipai")</f>
        <v>pipai</v>
      </c>
    </row>
    <row r="1894">
      <c r="A1894" s="3">
        <v>1872.0</v>
      </c>
      <c r="B1894" s="3" t="s">
        <v>189</v>
      </c>
      <c r="C1894" s="3" t="s">
        <v>190</v>
      </c>
      <c r="D1894" s="3" t="s">
        <v>5099</v>
      </c>
      <c r="E1894" s="3" t="s">
        <v>5097</v>
      </c>
      <c r="F1894" s="3" t="s">
        <v>5098</v>
      </c>
      <c r="G1894" s="3" t="str">
        <f>IFERROR(__xludf.DUMMYFUNCTION("GOOGLETRANSLATE(D1894,""fr"",""es"")"),"desperdiciado")</f>
        <v>desperdiciado</v>
      </c>
    </row>
    <row r="1895">
      <c r="A1895" s="3">
        <v>1873.0</v>
      </c>
      <c r="B1895" s="3" t="s">
        <v>189</v>
      </c>
      <c r="C1895" s="3" t="s">
        <v>190</v>
      </c>
      <c r="D1895" s="3" t="s">
        <v>5100</v>
      </c>
      <c r="E1895" s="3" t="s">
        <v>5097</v>
      </c>
      <c r="F1895" s="3" t="s">
        <v>5098</v>
      </c>
      <c r="G1895" s="3" t="str">
        <f>IFERROR(__xludf.DUMMYFUNCTION("GOOGLETRANSLATE(D1895,""fr"",""es"")"),"tubería")</f>
        <v>tubería</v>
      </c>
    </row>
    <row r="1896">
      <c r="A1896" s="3">
        <v>1874.0</v>
      </c>
      <c r="B1896" s="3" t="s">
        <v>189</v>
      </c>
      <c r="C1896" s="3" t="s">
        <v>190</v>
      </c>
      <c r="D1896" s="3" t="s">
        <v>5101</v>
      </c>
      <c r="E1896" s="3" t="s">
        <v>5097</v>
      </c>
      <c r="F1896" s="3" t="s">
        <v>5098</v>
      </c>
      <c r="G1896" s="3" t="str">
        <f>IFERROR(__xludf.DUMMYFUNCTION("GOOGLETRANSLATE(D1896,""fr"",""es"")"),"vocal")</f>
        <v>vocal</v>
      </c>
    </row>
    <row r="1897">
      <c r="A1897" s="3">
        <v>1875.0</v>
      </c>
      <c r="B1897" s="3" t="s">
        <v>189</v>
      </c>
      <c r="C1897" s="3" t="s">
        <v>190</v>
      </c>
      <c r="D1897" s="3" t="s">
        <v>5102</v>
      </c>
      <c r="E1897" s="3" t="s">
        <v>5103</v>
      </c>
      <c r="F1897" s="3" t="s">
        <v>5104</v>
      </c>
      <c r="G1897" s="3" t="str">
        <f>IFERROR(__xludf.DUMMYFUNCTION("GOOGLETRANSLATE(D1897,""fr"",""es"")"),"pipâme")</f>
        <v>pipâme</v>
      </c>
    </row>
    <row r="1898">
      <c r="A1898" s="3">
        <v>1876.0</v>
      </c>
      <c r="B1898" s="3" t="s">
        <v>189</v>
      </c>
      <c r="C1898" s="3" t="s">
        <v>190</v>
      </c>
      <c r="D1898" s="3" t="s">
        <v>5105</v>
      </c>
      <c r="E1898" s="3" t="s">
        <v>5106</v>
      </c>
      <c r="F1898" s="3" t="s">
        <v>5107</v>
      </c>
      <c r="G1898" s="3" t="str">
        <f>IFERROR(__xludf.DUMMYFUNCTION("GOOGLETRANSLATE(D1898,""fr"",""es"")"),"Pipassus")</f>
        <v>Pipassus</v>
      </c>
    </row>
    <row r="1899">
      <c r="A1899" s="3">
        <v>1877.0</v>
      </c>
      <c r="B1899" s="3" t="s">
        <v>189</v>
      </c>
      <c r="C1899" s="3" t="s">
        <v>190</v>
      </c>
      <c r="D1899" s="3" t="s">
        <v>5108</v>
      </c>
      <c r="E1899" s="3" t="s">
        <v>5106</v>
      </c>
      <c r="F1899" s="3" t="s">
        <v>5107</v>
      </c>
      <c r="G1899" s="3" t="str">
        <f>IFERROR(__xludf.DUMMYFUNCTION("GOOGLETRANSLATE(D1899,""fr"",""es"")"),"tubería")</f>
        <v>tubería</v>
      </c>
    </row>
    <row r="1900">
      <c r="A1900" s="3">
        <v>1878.0</v>
      </c>
      <c r="B1900" s="3" t="s">
        <v>189</v>
      </c>
      <c r="C1900" s="3" t="s">
        <v>190</v>
      </c>
      <c r="D1900" s="3" t="s">
        <v>5109</v>
      </c>
      <c r="E1900" s="3" t="s">
        <v>5106</v>
      </c>
      <c r="F1900" s="3" t="s">
        <v>5107</v>
      </c>
      <c r="G1900" s="3" t="str">
        <f>IFERROR(__xludf.DUMMYFUNCTION("GOOGLETRANSLATE(D1900,""fr"",""es"")"),"pipan")</f>
        <v>pipan</v>
      </c>
    </row>
    <row r="1901">
      <c r="A1901" s="3">
        <v>1879.0</v>
      </c>
      <c r="B1901" s="3" t="s">
        <v>189</v>
      </c>
      <c r="C1901" s="3" t="s">
        <v>190</v>
      </c>
      <c r="D1901" s="3" t="s">
        <v>5110</v>
      </c>
      <c r="E1901" s="3" t="s">
        <v>5111</v>
      </c>
      <c r="F1901" s="3" t="s">
        <v>5112</v>
      </c>
      <c r="G1901" s="3" t="str">
        <f>IFERROR(__xludf.DUMMYFUNCTION("GOOGLETRANSLATE(D1901,""fr"",""es"")"),"tubo")</f>
        <v>tubo</v>
      </c>
      <c r="H1901" s="3" t="s">
        <v>5113</v>
      </c>
      <c r="I1901" s="3" t="s">
        <v>5114</v>
      </c>
      <c r="J1901" s="3" t="s">
        <v>5115</v>
      </c>
      <c r="K1901" s="3" t="s">
        <v>5116</v>
      </c>
      <c r="L1901" s="3" t="s">
        <v>5117</v>
      </c>
      <c r="M1901" s="3" t="s">
        <v>5110</v>
      </c>
      <c r="N1901" s="3" t="s">
        <v>5110</v>
      </c>
      <c r="O1901" s="3" t="s">
        <v>5110</v>
      </c>
      <c r="P1901" s="3" t="s">
        <v>5110</v>
      </c>
      <c r="Q1901" s="3" t="s">
        <v>5118</v>
      </c>
      <c r="R1901" s="3" t="s">
        <v>5110</v>
      </c>
      <c r="S1901" s="3" t="s">
        <v>5119</v>
      </c>
      <c r="T1901" s="3" t="s">
        <v>5110</v>
      </c>
      <c r="U1901" s="3" t="s">
        <v>5120</v>
      </c>
      <c r="V1901" s="3" t="s">
        <v>5121</v>
      </c>
      <c r="W1901" s="3" t="s">
        <v>5110</v>
      </c>
      <c r="X1901" s="3" t="s">
        <v>5122</v>
      </c>
      <c r="Y1901" s="3" t="s">
        <v>5110</v>
      </c>
      <c r="Z1901" s="3" t="s">
        <v>5110</v>
      </c>
      <c r="AA1901" s="3" t="s">
        <v>5123</v>
      </c>
    </row>
    <row r="1902">
      <c r="A1902" s="3">
        <v>1880.0</v>
      </c>
      <c r="B1902" s="3" t="s">
        <v>189</v>
      </c>
      <c r="C1902" s="3" t="s">
        <v>190</v>
      </c>
      <c r="D1902" s="3" t="s">
        <v>5124</v>
      </c>
      <c r="E1902" s="3" t="s">
        <v>5111</v>
      </c>
      <c r="F1902" s="3" t="s">
        <v>5112</v>
      </c>
      <c r="G1902" s="3" t="str">
        <f>IFERROR(__xludf.DUMMYFUNCTION("GOOGLETRANSLATE(D1902,""fr"",""es"")"),"tubo")</f>
        <v>tubo</v>
      </c>
    </row>
    <row r="1903">
      <c r="A1903" s="3">
        <v>1881.0</v>
      </c>
      <c r="B1903" s="3" t="s">
        <v>189</v>
      </c>
      <c r="C1903" s="3" t="s">
        <v>190</v>
      </c>
      <c r="D1903" s="3" t="s">
        <v>5125</v>
      </c>
      <c r="E1903" s="3" t="s">
        <v>5111</v>
      </c>
      <c r="F1903" s="3" t="s">
        <v>5112</v>
      </c>
      <c r="G1903" s="3" t="str">
        <f>IFERROR(__xludf.DUMMYFUNCTION("GOOGLETRANSLATE(D1903,""fr"",""es"")"),"tubería")</f>
        <v>tubería</v>
      </c>
    </row>
    <row r="1904">
      <c r="A1904" s="3">
        <v>1882.0</v>
      </c>
      <c r="B1904" s="3" t="s">
        <v>189</v>
      </c>
      <c r="C1904" s="3" t="s">
        <v>190</v>
      </c>
      <c r="D1904" s="3" t="s">
        <v>5126</v>
      </c>
      <c r="E1904" s="3" t="s">
        <v>5127</v>
      </c>
      <c r="F1904" s="3" t="s">
        <v>5126</v>
      </c>
      <c r="G1904" s="3" t="str">
        <f>IFERROR(__xludf.DUMMYFUNCTION("GOOGLETRANSLATE(D1904,""fr"",""es"")"),"Orinar")</f>
        <v>Orinar</v>
      </c>
      <c r="H1904" s="3" t="s">
        <v>5128</v>
      </c>
      <c r="I1904" s="3" t="s">
        <v>5129</v>
      </c>
      <c r="J1904" s="3" t="s">
        <v>5130</v>
      </c>
      <c r="K1904" s="3" t="s">
        <v>5131</v>
      </c>
      <c r="L1904" s="3" t="s">
        <v>5132</v>
      </c>
      <c r="M1904" s="3" t="s">
        <v>5131</v>
      </c>
      <c r="N1904" s="3" t="s">
        <v>5129</v>
      </c>
      <c r="O1904" s="3" t="s">
        <v>5133</v>
      </c>
      <c r="P1904" s="3" t="s">
        <v>5134</v>
      </c>
      <c r="Q1904" s="3" t="s">
        <v>4157</v>
      </c>
    </row>
    <row r="1905">
      <c r="A1905" s="3">
        <v>1883.0</v>
      </c>
      <c r="B1905" s="3" t="s">
        <v>189</v>
      </c>
      <c r="C1905" s="3" t="s">
        <v>190</v>
      </c>
      <c r="D1905" s="3" t="s">
        <v>5135</v>
      </c>
      <c r="E1905" s="3" t="s">
        <v>5127</v>
      </c>
      <c r="F1905" s="3" t="s">
        <v>5126</v>
      </c>
      <c r="G1905" s="3" t="str">
        <f>IFERROR(__xludf.DUMMYFUNCTION("GOOGLETRANSLATE(D1905,""fr"",""es"")"),"pipis")</f>
        <v>pipis</v>
      </c>
    </row>
    <row r="1906">
      <c r="A1906" s="3">
        <v>1884.0</v>
      </c>
      <c r="B1906" s="3" t="s">
        <v>189</v>
      </c>
      <c r="C1906" s="3" t="s">
        <v>190</v>
      </c>
      <c r="D1906" s="3" t="s">
        <v>5136</v>
      </c>
      <c r="E1906" s="3" t="s">
        <v>5137</v>
      </c>
      <c r="F1906" s="3" t="s">
        <v>5138</v>
      </c>
      <c r="G1906" s="3" t="str">
        <f>IFERROR(__xludf.DUMMYFUNCTION("GOOGLETRANSLATE(D1906,""fr"",""es"")"),"picadura")</f>
        <v>picadura</v>
      </c>
    </row>
    <row r="1907">
      <c r="A1907" s="3">
        <v>1885.0</v>
      </c>
      <c r="B1907" s="3" t="s">
        <v>189</v>
      </c>
      <c r="C1907" s="3" t="s">
        <v>190</v>
      </c>
      <c r="D1907" s="3" t="s">
        <v>5139</v>
      </c>
      <c r="E1907" s="3" t="s">
        <v>5137</v>
      </c>
      <c r="F1907" s="3" t="s">
        <v>5138</v>
      </c>
      <c r="G1907" s="3" t="str">
        <f>IFERROR(__xludf.DUMMYFUNCTION("GOOGLETRANSLATE(D1907,""fr"",""es"")"),"picado")</f>
        <v>picado</v>
      </c>
    </row>
    <row r="1908">
      <c r="A1908" s="3">
        <v>1886.0</v>
      </c>
      <c r="B1908" s="3" t="s">
        <v>189</v>
      </c>
      <c r="C1908" s="3" t="s">
        <v>190</v>
      </c>
      <c r="D1908" s="3" t="s">
        <v>5140</v>
      </c>
      <c r="E1908" s="3" t="s">
        <v>5137</v>
      </c>
      <c r="F1908" s="3" t="s">
        <v>5138</v>
      </c>
      <c r="G1908" s="3" t="str">
        <f>IFERROR(__xludf.DUMMYFUNCTION("GOOGLETRANSLATE(D1908,""fr"",""es"")"),"picado")</f>
        <v>picado</v>
      </c>
    </row>
    <row r="1909">
      <c r="A1909" s="3">
        <v>1887.0</v>
      </c>
      <c r="B1909" s="3" t="s">
        <v>189</v>
      </c>
      <c r="C1909" s="3" t="s">
        <v>190</v>
      </c>
      <c r="D1909" s="3" t="s">
        <v>5141</v>
      </c>
      <c r="E1909" s="3" t="s">
        <v>5137</v>
      </c>
      <c r="F1909" s="3" t="s">
        <v>5138</v>
      </c>
      <c r="G1909" s="3" t="str">
        <f>IFERROR(__xludf.DUMMYFUNCTION("GOOGLETRANSLATE(D1909,""fr"",""es"")"),"picado")</f>
        <v>picado</v>
      </c>
    </row>
    <row r="1910">
      <c r="A1910" s="3">
        <v>1888.0</v>
      </c>
      <c r="B1910" s="3" t="s">
        <v>189</v>
      </c>
      <c r="C1910" s="3" t="s">
        <v>190</v>
      </c>
      <c r="D1910" s="3" t="s">
        <v>5142</v>
      </c>
      <c r="E1910" s="3" t="s">
        <v>5143</v>
      </c>
      <c r="F1910" s="3" t="s">
        <v>5144</v>
      </c>
      <c r="G1910" s="3" t="str">
        <f>IFERROR(__xludf.DUMMYFUNCTION("GOOGLETRANSLATE(D1910,""fr"",""es"")"),"piques")</f>
        <v>piques</v>
      </c>
    </row>
    <row r="1911">
      <c r="A1911" s="3">
        <v>1889.0</v>
      </c>
      <c r="B1911" s="3" t="s">
        <v>189</v>
      </c>
      <c r="C1911" s="3" t="s">
        <v>190</v>
      </c>
      <c r="D1911" s="3" t="s">
        <v>5145</v>
      </c>
      <c r="E1911" s="3" t="s">
        <v>5146</v>
      </c>
      <c r="F1911" s="3" t="s">
        <v>5147</v>
      </c>
      <c r="G1911" s="3" t="str">
        <f>IFERROR(__xludf.DUMMYFUNCTION("GOOGLETRANSLATE(D1911,""fr"",""es"")"),"picadura")</f>
        <v>picadura</v>
      </c>
    </row>
    <row r="1912">
      <c r="A1912" s="3">
        <v>1890.0</v>
      </c>
      <c r="B1912" s="3" t="s">
        <v>189</v>
      </c>
      <c r="C1912" s="3" t="s">
        <v>190</v>
      </c>
      <c r="D1912" s="3" t="s">
        <v>5148</v>
      </c>
      <c r="E1912" s="3" t="s">
        <v>5146</v>
      </c>
      <c r="F1912" s="3" t="s">
        <v>5147</v>
      </c>
      <c r="G1912" s="3" t="str">
        <f>IFERROR(__xludf.DUMMYFUNCTION("GOOGLETRANSLATE(D1912,""fr"",""es"")"),"picadura")</f>
        <v>picadura</v>
      </c>
    </row>
    <row r="1913">
      <c r="A1913" s="3">
        <v>1891.0</v>
      </c>
      <c r="B1913" s="3" t="s">
        <v>189</v>
      </c>
      <c r="C1913" s="3" t="s">
        <v>190</v>
      </c>
      <c r="D1913" s="3" t="s">
        <v>5149</v>
      </c>
      <c r="E1913" s="3" t="s">
        <v>5146</v>
      </c>
      <c r="F1913" s="3" t="s">
        <v>5147</v>
      </c>
      <c r="G1913" s="3" t="str">
        <f>IFERROR(__xludf.DUMMYFUNCTION("GOOGLETRANSLATE(D1913,""fr"",""es"")"),"picadura")</f>
        <v>picadura</v>
      </c>
    </row>
    <row r="1914">
      <c r="A1914" s="3">
        <v>1892.0</v>
      </c>
      <c r="B1914" s="3" t="s">
        <v>189</v>
      </c>
      <c r="C1914" s="3" t="s">
        <v>190</v>
      </c>
      <c r="D1914" s="3" t="s">
        <v>5150</v>
      </c>
      <c r="E1914" s="3" t="s">
        <v>4937</v>
      </c>
      <c r="F1914" s="3" t="s">
        <v>4938</v>
      </c>
      <c r="G1914" s="3" t="str">
        <f>IFERROR(__xludf.DUMMYFUNCTION("GOOGLETRANSLATE(D1914,""fr"",""es"")"),"pico")</f>
        <v>pico</v>
      </c>
    </row>
    <row r="1915">
      <c r="A1915" s="3">
        <v>1893.0</v>
      </c>
      <c r="B1915" s="3" t="s">
        <v>189</v>
      </c>
      <c r="C1915" s="3" t="s">
        <v>190</v>
      </c>
      <c r="D1915" s="3" t="s">
        <v>5151</v>
      </c>
      <c r="E1915" s="3" t="s">
        <v>4937</v>
      </c>
      <c r="F1915" s="3" t="s">
        <v>4938</v>
      </c>
      <c r="G1915" s="3" t="str">
        <f>IFERROR(__xludf.DUMMYFUNCTION("GOOGLETRANSLATE(D1915,""fr"",""es"")"),"morder")</f>
        <v>morder</v>
      </c>
    </row>
    <row r="1916">
      <c r="A1916" s="3">
        <v>1894.0</v>
      </c>
      <c r="B1916" s="3" t="s">
        <v>189</v>
      </c>
      <c r="C1916" s="3" t="s">
        <v>190</v>
      </c>
      <c r="D1916" s="3" t="s">
        <v>5152</v>
      </c>
      <c r="E1916" s="3" t="s">
        <v>4937</v>
      </c>
      <c r="F1916" s="3" t="s">
        <v>4938</v>
      </c>
      <c r="G1916" s="3" t="str">
        <f>IFERROR(__xludf.DUMMYFUNCTION("GOOGLETRANSLATE(D1916,""fr"",""es"")"),"Picos")</f>
        <v>Picos</v>
      </c>
    </row>
    <row r="1917">
      <c r="A1917" s="3">
        <v>1895.0</v>
      </c>
      <c r="B1917" s="3" t="s">
        <v>189</v>
      </c>
      <c r="C1917" s="3" t="s">
        <v>190</v>
      </c>
      <c r="D1917" s="3" t="s">
        <v>5153</v>
      </c>
      <c r="E1917" s="3" t="s">
        <v>5137</v>
      </c>
      <c r="F1917" s="3" t="s">
        <v>5138</v>
      </c>
      <c r="G1917" s="3" t="str">
        <f>IFERROR(__xludf.DUMMYFUNCTION("GOOGLETRANSLATE(D1917,""fr"",""es"")"),"apostar")</f>
        <v>apostar</v>
      </c>
    </row>
    <row r="1918">
      <c r="A1918" s="3">
        <v>1896.0</v>
      </c>
      <c r="B1918" s="3" t="s">
        <v>189</v>
      </c>
      <c r="C1918" s="3" t="s">
        <v>190</v>
      </c>
      <c r="D1918" s="3" t="s">
        <v>5154</v>
      </c>
      <c r="E1918" s="3" t="s">
        <v>5137</v>
      </c>
      <c r="F1918" s="3" t="s">
        <v>5138</v>
      </c>
      <c r="G1918" s="3" t="str">
        <f>IFERROR(__xludf.DUMMYFUNCTION("GOOGLETRANSLATE(D1918,""fr"",""es"")"),"estacas")</f>
        <v>estacas</v>
      </c>
    </row>
    <row r="1919">
      <c r="A1919" s="3">
        <v>1897.0</v>
      </c>
      <c r="B1919" s="3" t="s">
        <v>189</v>
      </c>
      <c r="C1919" s="3" t="s">
        <v>190</v>
      </c>
      <c r="D1919" s="3" t="s">
        <v>5155</v>
      </c>
      <c r="E1919" s="3" t="s">
        <v>4935</v>
      </c>
      <c r="F1919" s="3" t="s">
        <v>4934</v>
      </c>
      <c r="G1919" s="3" t="str">
        <f>IFERROR(__xludf.DUMMYFUNCTION("GOOGLETRANSLATE(D1919,""fr"",""es"")"),"peor")</f>
        <v>peor</v>
      </c>
      <c r="H1919" s="3" t="s">
        <v>5156</v>
      </c>
      <c r="I1919" s="3" t="s">
        <v>5157</v>
      </c>
      <c r="J1919" s="3" t="s">
        <v>5158</v>
      </c>
    </row>
    <row r="1920">
      <c r="A1920" s="3">
        <v>1898.0</v>
      </c>
      <c r="B1920" s="3" t="s">
        <v>189</v>
      </c>
      <c r="C1920" s="3" t="s">
        <v>190</v>
      </c>
      <c r="D1920" s="3" t="s">
        <v>5159</v>
      </c>
      <c r="E1920" s="3" t="s">
        <v>5160</v>
      </c>
      <c r="F1920" s="3" t="s">
        <v>5161</v>
      </c>
      <c r="G1920" s="3" t="str">
        <f>IFERROR(__xludf.DUMMYFUNCTION("GOOGLETRANSLATE(D1920,""fr"",""es"")"),"piscina")</f>
        <v>piscina</v>
      </c>
      <c r="H1920" s="3" t="s">
        <v>5162</v>
      </c>
      <c r="I1920" s="3" t="s">
        <v>5163</v>
      </c>
      <c r="J1920" s="3" t="s">
        <v>5164</v>
      </c>
      <c r="K1920" s="3" t="s">
        <v>5165</v>
      </c>
      <c r="L1920" s="3" t="s">
        <v>5166</v>
      </c>
    </row>
    <row r="1921">
      <c r="A1921" s="3">
        <v>1899.0</v>
      </c>
      <c r="B1921" s="3" t="s">
        <v>189</v>
      </c>
      <c r="C1921" s="3" t="s">
        <v>190</v>
      </c>
      <c r="D1921" s="3" t="s">
        <v>5167</v>
      </c>
      <c r="E1921" s="3" t="s">
        <v>5160</v>
      </c>
      <c r="F1921" s="3" t="s">
        <v>5161</v>
      </c>
      <c r="G1921" s="3" t="str">
        <f>IFERROR(__xludf.DUMMYFUNCTION("GOOGLETRANSLATE(D1921,""fr"",""es"")"),"piscina")</f>
        <v>piscina</v>
      </c>
    </row>
    <row r="1922">
      <c r="A1922" s="3">
        <v>1900.0</v>
      </c>
      <c r="B1922" s="3" t="s">
        <v>189</v>
      </c>
      <c r="C1922" s="3" t="s">
        <v>190</v>
      </c>
      <c r="D1922" s="3" t="s">
        <v>5168</v>
      </c>
      <c r="E1922" s="3" t="s">
        <v>5169</v>
      </c>
      <c r="F1922" s="3" t="s">
        <v>5170</v>
      </c>
      <c r="G1922" s="3" t="str">
        <f>IFERROR(__xludf.DUMMYFUNCTION("GOOGLETRANSLATE(D1922,""fr"",""es"")"),"pisón")</f>
        <v>pisón</v>
      </c>
    </row>
    <row r="1923">
      <c r="A1923" s="3">
        <v>1901.0</v>
      </c>
      <c r="B1923" s="3" t="s">
        <v>189</v>
      </c>
      <c r="C1923" s="3" t="s">
        <v>190</v>
      </c>
      <c r="D1923" s="3" t="s">
        <v>5171</v>
      </c>
      <c r="E1923" s="3" t="s">
        <v>5169</v>
      </c>
      <c r="F1923" s="3" t="s">
        <v>5170</v>
      </c>
      <c r="G1923" s="3" t="str">
        <f>IFERROR(__xludf.DUMMYFUNCTION("GOOGLETRANSLATE(D1923,""fr"",""es"")"),"Molesto")</f>
        <v>Molesto</v>
      </c>
    </row>
    <row r="1924">
      <c r="A1924" s="3">
        <v>1902.0</v>
      </c>
      <c r="B1924" s="3" t="s">
        <v>189</v>
      </c>
      <c r="C1924" s="3" t="s">
        <v>190</v>
      </c>
      <c r="D1924" s="3" t="s">
        <v>5172</v>
      </c>
      <c r="E1924" s="3" t="s">
        <v>5169</v>
      </c>
      <c r="F1924" s="3" t="s">
        <v>5170</v>
      </c>
      <c r="G1924" s="3" t="str">
        <f>IFERROR(__xludf.DUMMYFUNCTION("GOOGLETRANSLATE(D1924,""fr"",""es"")"),"orinar")</f>
        <v>orinar</v>
      </c>
    </row>
    <row r="1925">
      <c r="A1925" s="3">
        <v>1903.0</v>
      </c>
      <c r="B1925" s="3" t="s">
        <v>189</v>
      </c>
      <c r="C1925" s="3" t="s">
        <v>190</v>
      </c>
      <c r="D1925" s="3" t="s">
        <v>5173</v>
      </c>
      <c r="E1925" s="3" t="s">
        <v>5169</v>
      </c>
      <c r="F1925" s="3" t="s">
        <v>5170</v>
      </c>
      <c r="G1925" s="3" t="str">
        <f>IFERROR(__xludf.DUMMYFUNCTION("GOOGLETRANSLATE(D1925,""fr"",""es"")"),"Molesto")</f>
        <v>Molesto</v>
      </c>
    </row>
    <row r="1926">
      <c r="A1926" s="3">
        <v>1904.0</v>
      </c>
      <c r="B1926" s="3" t="s">
        <v>189</v>
      </c>
      <c r="C1926" s="3" t="s">
        <v>190</v>
      </c>
      <c r="D1926" s="3" t="s">
        <v>5174</v>
      </c>
      <c r="E1926" s="3" t="s">
        <v>5175</v>
      </c>
      <c r="F1926" s="3" t="s">
        <v>5176</v>
      </c>
      <c r="G1926" s="3" t="str">
        <f>IFERROR(__xludf.DUMMYFUNCTION("GOOGLETRANSLATE(D1926,""fr"",""es"")"),"orinar")</f>
        <v>orinar</v>
      </c>
    </row>
    <row r="1927">
      <c r="A1927" s="3">
        <v>1905.0</v>
      </c>
      <c r="B1927" s="3" t="s">
        <v>189</v>
      </c>
      <c r="C1927" s="3" t="s">
        <v>190</v>
      </c>
      <c r="D1927" s="3" t="s">
        <v>5177</v>
      </c>
      <c r="E1927" s="3" t="s">
        <v>5178</v>
      </c>
      <c r="F1927" s="3" t="s">
        <v>5179</v>
      </c>
      <c r="G1927" s="3" t="str">
        <f>IFERROR(__xludf.DUMMYFUNCTION("GOOGLETRANSLATE(D1927,""fr"",""es"")"),"pisso")</f>
        <v>pisso</v>
      </c>
    </row>
    <row r="1928">
      <c r="A1928" s="3">
        <v>1906.0</v>
      </c>
      <c r="B1928" s="3" t="s">
        <v>189</v>
      </c>
      <c r="C1928" s="3" t="s">
        <v>190</v>
      </c>
      <c r="D1928" s="3" t="s">
        <v>5180</v>
      </c>
      <c r="E1928" s="3" t="s">
        <v>5178</v>
      </c>
      <c r="F1928" s="3" t="s">
        <v>5179</v>
      </c>
      <c r="G1928" s="3" t="str">
        <f>IFERROR(__xludf.DUMMYFUNCTION("GOOGLETRANSLATE(D1928,""fr"",""es"")"),"orinar")</f>
        <v>orinar</v>
      </c>
    </row>
    <row r="1929">
      <c r="A1929" s="3">
        <v>1907.0</v>
      </c>
      <c r="B1929" s="3" t="s">
        <v>189</v>
      </c>
      <c r="C1929" s="3" t="s">
        <v>190</v>
      </c>
      <c r="D1929" s="3" t="s">
        <v>5181</v>
      </c>
      <c r="E1929" s="3" t="s">
        <v>5178</v>
      </c>
      <c r="F1929" s="3" t="s">
        <v>5179</v>
      </c>
      <c r="G1929" s="3" t="str">
        <f>IFERROR(__xludf.DUMMYFUNCTION("GOOGLETRANSLATE(D1929,""fr"",""es"")"),"pissas")</f>
        <v>pissas</v>
      </c>
    </row>
    <row r="1930">
      <c r="A1930" s="3">
        <v>1908.0</v>
      </c>
      <c r="B1930" s="3" t="s">
        <v>189</v>
      </c>
      <c r="C1930" s="3" t="s">
        <v>190</v>
      </c>
      <c r="D1930" s="3" t="s">
        <v>5182</v>
      </c>
      <c r="E1930" s="3" t="s">
        <v>5183</v>
      </c>
      <c r="F1930" s="3" t="s">
        <v>5155</v>
      </c>
      <c r="G1930" s="3" t="str">
        <f>IFERROR(__xludf.DUMMYFUNCTION("GOOGLETRANSLATE(D1930,""fr"",""es"")"),"orinar")</f>
        <v>orinar</v>
      </c>
    </row>
    <row r="1931">
      <c r="A1931" s="3">
        <v>1909.0</v>
      </c>
      <c r="B1931" s="3" t="s">
        <v>189</v>
      </c>
      <c r="C1931" s="3" t="s">
        <v>190</v>
      </c>
      <c r="D1931" s="3" t="s">
        <v>5184</v>
      </c>
      <c r="E1931" s="3" t="s">
        <v>5183</v>
      </c>
      <c r="F1931" s="3" t="s">
        <v>5155</v>
      </c>
      <c r="G1931" s="3" t="str">
        <f>IFERROR(__xludf.DUMMYFUNCTION("GOOGLETRANSLATE(D1931,""fr"",""es"")"),"orinar")</f>
        <v>orinar</v>
      </c>
    </row>
    <row r="1932">
      <c r="A1932" s="3">
        <v>1910.0</v>
      </c>
      <c r="B1932" s="3" t="s">
        <v>189</v>
      </c>
      <c r="C1932" s="3" t="s">
        <v>190</v>
      </c>
      <c r="D1932" s="3" t="s">
        <v>5185</v>
      </c>
      <c r="E1932" s="3" t="s">
        <v>5183</v>
      </c>
      <c r="F1932" s="3" t="s">
        <v>5155</v>
      </c>
      <c r="G1932" s="3" t="str">
        <f>IFERROR(__xludf.DUMMYFUNCTION("GOOGLETRANSLATE(D1932,""fr"",""es"")"),"pips")</f>
        <v>pips</v>
      </c>
    </row>
    <row r="1933">
      <c r="A1933" s="3">
        <v>1911.0</v>
      </c>
      <c r="B1933" s="3" t="s">
        <v>189</v>
      </c>
      <c r="C1933" s="3" t="s">
        <v>190</v>
      </c>
      <c r="D1933" s="3" t="s">
        <v>5186</v>
      </c>
      <c r="E1933" s="3" t="s">
        <v>5183</v>
      </c>
      <c r="F1933" s="3" t="s">
        <v>5155</v>
      </c>
      <c r="G1933" s="3" t="str">
        <f>IFERROR(__xludf.DUMMYFUNCTION("GOOGLETRANSLATE(D1933,""fr"",""es"")"),"pista")</f>
        <v>pista</v>
      </c>
      <c r="H1933" s="3" t="s">
        <v>5187</v>
      </c>
      <c r="I1933" s="3" t="s">
        <v>5188</v>
      </c>
      <c r="J1933" s="3" t="s">
        <v>5189</v>
      </c>
      <c r="K1933" s="3" t="s">
        <v>5190</v>
      </c>
      <c r="L1933" s="3" t="s">
        <v>5191</v>
      </c>
      <c r="M1933" s="3" t="s">
        <v>5192</v>
      </c>
      <c r="N1933" s="3" t="s">
        <v>5193</v>
      </c>
      <c r="O1933" s="3" t="s">
        <v>5194</v>
      </c>
      <c r="P1933" s="3" t="s">
        <v>5195</v>
      </c>
      <c r="Q1933" s="3" t="s">
        <v>5196</v>
      </c>
      <c r="R1933" s="3" t="s">
        <v>5197</v>
      </c>
      <c r="S1933" s="3" t="s">
        <v>5197</v>
      </c>
      <c r="T1933" s="3" t="s">
        <v>5196</v>
      </c>
      <c r="U1933" s="3" t="s">
        <v>5198</v>
      </c>
      <c r="V1933" s="3" t="s">
        <v>5199</v>
      </c>
      <c r="W1933" s="3" t="s">
        <v>5196</v>
      </c>
      <c r="X1933" s="3" t="s">
        <v>5196</v>
      </c>
      <c r="Y1933" s="3" t="s">
        <v>5200</v>
      </c>
      <c r="Z1933" s="3" t="s">
        <v>5201</v>
      </c>
      <c r="AA1933" s="3" t="s">
        <v>2681</v>
      </c>
      <c r="AB1933" s="3" t="s">
        <v>5196</v>
      </c>
      <c r="AC1933" s="3" t="s">
        <v>5201</v>
      </c>
      <c r="AD1933" s="3" t="s">
        <v>5202</v>
      </c>
    </row>
    <row r="1934">
      <c r="A1934" s="3">
        <v>1912.0</v>
      </c>
      <c r="B1934" s="3" t="s">
        <v>189</v>
      </c>
      <c r="C1934" s="3" t="s">
        <v>190</v>
      </c>
      <c r="D1934" s="3" t="s">
        <v>5203</v>
      </c>
      <c r="E1934" s="3" t="s">
        <v>5183</v>
      </c>
      <c r="F1934" s="3" t="s">
        <v>5155</v>
      </c>
      <c r="G1934" s="3" t="str">
        <f>IFERROR(__xludf.DUMMYFUNCTION("GOOGLETRANSLATE(D1934,""fr"",""es"")"),"pista")</f>
        <v>pista</v>
      </c>
    </row>
    <row r="1935">
      <c r="A1935" s="3">
        <v>1913.0</v>
      </c>
      <c r="B1935" s="3" t="s">
        <v>189</v>
      </c>
      <c r="C1935" s="3" t="s">
        <v>190</v>
      </c>
      <c r="D1935" s="3" t="s">
        <v>5204</v>
      </c>
      <c r="E1935" s="3" t="s">
        <v>5183</v>
      </c>
      <c r="F1935" s="3" t="s">
        <v>5155</v>
      </c>
      <c r="G1935" s="3" t="str">
        <f>IFERROR(__xludf.DUMMYFUNCTION("GOOGLETRANSLATE(D1935,""fr"",""es"")"),"pistas")</f>
        <v>pistas</v>
      </c>
    </row>
    <row r="1936">
      <c r="A1936" s="3">
        <v>1914.0</v>
      </c>
      <c r="B1936" s="3" t="s">
        <v>189</v>
      </c>
      <c r="C1936" s="3" t="s">
        <v>190</v>
      </c>
      <c r="D1936" s="3" t="s">
        <v>5205</v>
      </c>
      <c r="E1936" s="3" t="s">
        <v>5206</v>
      </c>
      <c r="F1936" s="3" t="s">
        <v>5207</v>
      </c>
      <c r="G1936" s="3" t="str">
        <f>IFERROR(__xludf.DUMMYFUNCTION("GOOGLETRANSLATE(D1936,""fr"",""es"")"),"pitoune")</f>
        <v>pitoune</v>
      </c>
    </row>
    <row r="1937">
      <c r="A1937" s="3">
        <v>1915.0</v>
      </c>
      <c r="B1937" s="3" t="s">
        <v>189</v>
      </c>
      <c r="C1937" s="3" t="s">
        <v>190</v>
      </c>
      <c r="D1937" s="3" t="s">
        <v>5208</v>
      </c>
      <c r="E1937" s="3" t="s">
        <v>5206</v>
      </c>
      <c r="F1937" s="3" t="s">
        <v>5207</v>
      </c>
      <c r="G1937" s="3" t="str">
        <f>IFERROR(__xludf.DUMMYFUNCTION("GOOGLETRANSLATE(D1937,""fr"",""es"")"),"putounes")</f>
        <v>putounes</v>
      </c>
    </row>
    <row r="1938">
      <c r="A1938" s="3">
        <v>1916.0</v>
      </c>
      <c r="B1938" s="3" t="s">
        <v>189</v>
      </c>
      <c r="C1938" s="3" t="s">
        <v>190</v>
      </c>
      <c r="D1938" s="3" t="s">
        <v>5209</v>
      </c>
      <c r="E1938" s="3" t="s">
        <v>5210</v>
      </c>
      <c r="F1938" s="3" t="s">
        <v>5211</v>
      </c>
      <c r="G1938" s="3" t="str">
        <f>IFERROR(__xludf.DUMMYFUNCTION("GOOGLETRANSLATE(D1938,""fr"",""es"")"),"piscina")</f>
        <v>piscina</v>
      </c>
      <c r="H1938" s="3" t="s">
        <v>5209</v>
      </c>
    </row>
    <row r="1939">
      <c r="A1939" s="3">
        <v>1917.0</v>
      </c>
      <c r="B1939" s="3" t="s">
        <v>189</v>
      </c>
      <c r="C1939" s="3" t="s">
        <v>190</v>
      </c>
      <c r="D1939" s="3" t="s">
        <v>5212</v>
      </c>
      <c r="E1939" s="3" t="s">
        <v>5210</v>
      </c>
      <c r="F1939" s="3" t="s">
        <v>5211</v>
      </c>
      <c r="G1939" s="3" t="str">
        <f>IFERROR(__xludf.DUMMYFUNCTION("GOOGLETRANSLATE(D1939,""fr"",""es"")"),"quinielas")</f>
        <v>quinielas</v>
      </c>
    </row>
    <row r="1940">
      <c r="A1940" s="3">
        <v>1918.0</v>
      </c>
      <c r="B1940" s="3" t="s">
        <v>189</v>
      </c>
      <c r="C1940" s="3" t="s">
        <v>190</v>
      </c>
      <c r="D1940" s="3" t="s">
        <v>5213</v>
      </c>
      <c r="E1940" s="3" t="s">
        <v>5214</v>
      </c>
      <c r="F1940" s="3" t="s">
        <v>5215</v>
      </c>
      <c r="G1940" s="3" t="str">
        <f>IFERROR(__xludf.DUMMYFUNCTION("GOOGLETRANSLATE(D1940,""fr"",""es"")"),"pou")</f>
        <v>pou</v>
      </c>
      <c r="H1940" s="3" t="s">
        <v>5216</v>
      </c>
      <c r="I1940" s="3" t="s">
        <v>5217</v>
      </c>
      <c r="J1940" s="3" t="s">
        <v>5218</v>
      </c>
      <c r="K1940" s="3" t="s">
        <v>5219</v>
      </c>
      <c r="L1940" s="3" t="s">
        <v>5216</v>
      </c>
      <c r="M1940" s="3" t="s">
        <v>5220</v>
      </c>
      <c r="N1940" s="3" t="s">
        <v>5216</v>
      </c>
      <c r="O1940" s="3" t="s">
        <v>5221</v>
      </c>
      <c r="P1940" s="3" t="s">
        <v>5216</v>
      </c>
      <c r="Q1940" s="3" t="s">
        <v>5222</v>
      </c>
      <c r="R1940" s="3" t="s">
        <v>5223</v>
      </c>
    </row>
    <row r="1941">
      <c r="A1941" s="3">
        <v>1919.0</v>
      </c>
      <c r="B1941" s="3" t="s">
        <v>189</v>
      </c>
      <c r="C1941" s="3" t="s">
        <v>190</v>
      </c>
      <c r="D1941" s="3" t="s">
        <v>5224</v>
      </c>
      <c r="E1941" s="3" t="s">
        <v>5225</v>
      </c>
      <c r="F1941" s="3" t="s">
        <v>174</v>
      </c>
      <c r="G1941" s="3" t="str">
        <f>IFERROR(__xludf.DUMMYFUNCTION("GOOGLETRANSLATE(D1941,""fr"",""es"")"),"pulgada")</f>
        <v>pulgada</v>
      </c>
      <c r="H1941" s="3" t="s">
        <v>5226</v>
      </c>
      <c r="I1941" s="3" t="s">
        <v>5227</v>
      </c>
      <c r="J1941" s="3" t="s">
        <v>5228</v>
      </c>
      <c r="K1941" s="3" t="s">
        <v>5229</v>
      </c>
      <c r="L1941" s="3" t="s">
        <v>5230</v>
      </c>
      <c r="M1941" s="3" t="s">
        <v>5231</v>
      </c>
      <c r="N1941" s="3" t="s">
        <v>5232</v>
      </c>
      <c r="O1941" s="3" t="s">
        <v>5233</v>
      </c>
      <c r="P1941" s="3" t="s">
        <v>5229</v>
      </c>
      <c r="Q1941" s="3" t="s">
        <v>5234</v>
      </c>
      <c r="R1941" s="3" t="s">
        <v>370</v>
      </c>
      <c r="S1941" s="3" t="s">
        <v>5235</v>
      </c>
      <c r="T1941" s="3" t="s">
        <v>5236</v>
      </c>
      <c r="U1941" s="3" t="s">
        <v>5229</v>
      </c>
      <c r="V1941" s="3" t="s">
        <v>5237</v>
      </c>
      <c r="W1941" s="3" t="s">
        <v>5229</v>
      </c>
      <c r="X1941" s="3" t="s">
        <v>5229</v>
      </c>
      <c r="Y1941" s="3" t="s">
        <v>5238</v>
      </c>
      <c r="Z1941" s="3" t="s">
        <v>5239</v>
      </c>
      <c r="AA1941" s="3" t="s">
        <v>5240</v>
      </c>
      <c r="AB1941" s="3" t="s">
        <v>5241</v>
      </c>
      <c r="AC1941" s="3" t="s">
        <v>5242</v>
      </c>
      <c r="AD1941" s="3" t="s">
        <v>5231</v>
      </c>
      <c r="AE1941" s="3" t="s">
        <v>116</v>
      </c>
      <c r="AF1941" s="3" t="s">
        <v>5243</v>
      </c>
      <c r="AG1941" s="3" t="s">
        <v>5231</v>
      </c>
    </row>
    <row r="1942">
      <c r="A1942" s="3">
        <v>1920.0</v>
      </c>
      <c r="B1942" s="3" t="s">
        <v>189</v>
      </c>
      <c r="C1942" s="3" t="s">
        <v>190</v>
      </c>
      <c r="D1942" s="3" t="s">
        <v>5244</v>
      </c>
      <c r="E1942" s="3" t="s">
        <v>5225</v>
      </c>
      <c r="F1942" s="3" t="s">
        <v>174</v>
      </c>
      <c r="G1942" s="3" t="str">
        <f>IFERROR(__xludf.DUMMYFUNCTION("GOOGLETRANSLATE(D1942,""fr"",""es"")"),"pulgada")</f>
        <v>pulgada</v>
      </c>
    </row>
    <row r="1943">
      <c r="A1943" s="3">
        <v>1921.0</v>
      </c>
      <c r="B1943" s="3" t="s">
        <v>189</v>
      </c>
      <c r="C1943" s="3" t="s">
        <v>190</v>
      </c>
      <c r="D1943" s="3" t="s">
        <v>5245</v>
      </c>
      <c r="E1943" s="3" t="s">
        <v>5246</v>
      </c>
      <c r="F1943" s="3" t="s">
        <v>5247</v>
      </c>
      <c r="G1943" s="3" t="str">
        <f>IFERROR(__xludf.DUMMYFUNCTION("GOOGLETRANSLATE(D1943,""fr"",""es"")"),"pollo")</f>
        <v>pollo</v>
      </c>
    </row>
    <row r="1944">
      <c r="A1944" s="3">
        <v>1922.0</v>
      </c>
      <c r="B1944" s="3" t="s">
        <v>189</v>
      </c>
      <c r="C1944" s="3" t="s">
        <v>190</v>
      </c>
      <c r="D1944" s="3" t="s">
        <v>5248</v>
      </c>
      <c r="E1944" s="3" t="s">
        <v>5246</v>
      </c>
      <c r="F1944" s="3" t="s">
        <v>5247</v>
      </c>
      <c r="G1944" s="3" t="str">
        <f>IFERROR(__xludf.DUMMYFUNCTION("GOOGLETRANSLATE(D1944,""fr"",""es"")"),"pollo")</f>
        <v>pollo</v>
      </c>
    </row>
    <row r="1945">
      <c r="A1945" s="3">
        <v>1923.0</v>
      </c>
      <c r="B1945" s="3" t="s">
        <v>189</v>
      </c>
      <c r="C1945" s="3" t="s">
        <v>190</v>
      </c>
      <c r="D1945" s="3" t="s">
        <v>5249</v>
      </c>
      <c r="E1945" s="3" t="s">
        <v>5210</v>
      </c>
      <c r="F1945" s="3" t="s">
        <v>5211</v>
      </c>
      <c r="G1945" s="3" t="str">
        <f>IFERROR(__xludf.DUMMYFUNCTION("GOOGLETRANSLATE(D1945,""fr"",""es"")"),"pollo")</f>
        <v>pollo</v>
      </c>
      <c r="H1945" s="3" t="s">
        <v>5250</v>
      </c>
      <c r="I1945" s="3" t="s">
        <v>5250</v>
      </c>
      <c r="J1945" s="3" t="s">
        <v>5250</v>
      </c>
      <c r="K1945" s="3" t="s">
        <v>5251</v>
      </c>
      <c r="L1945" s="3" t="s">
        <v>5252</v>
      </c>
      <c r="M1945" s="3" t="s">
        <v>5250</v>
      </c>
    </row>
    <row r="1946">
      <c r="A1946" s="3">
        <v>1924.0</v>
      </c>
      <c r="B1946" s="3" t="s">
        <v>189</v>
      </c>
      <c r="C1946" s="3" t="s">
        <v>190</v>
      </c>
      <c r="D1946" s="3" t="s">
        <v>5253</v>
      </c>
      <c r="E1946" s="3" t="s">
        <v>5210</v>
      </c>
      <c r="F1946" s="3" t="s">
        <v>5211</v>
      </c>
      <c r="G1946" s="3" t="str">
        <f>IFERROR(__xludf.DUMMYFUNCTION("GOOGLETRANSLATE(D1946,""fr"",""es"")"),"gallinas")</f>
        <v>gallinas</v>
      </c>
    </row>
    <row r="1947">
      <c r="A1947" s="3">
        <v>1925.0</v>
      </c>
      <c r="B1947" s="3" t="s">
        <v>189</v>
      </c>
      <c r="C1947" s="3" t="s">
        <v>190</v>
      </c>
      <c r="D1947" s="3" t="s">
        <v>5254</v>
      </c>
      <c r="E1947" s="3" t="s">
        <v>5255</v>
      </c>
      <c r="F1947" s="3" t="s">
        <v>5256</v>
      </c>
      <c r="G1947" s="3" t="str">
        <f>IFERROR(__xludf.DUMMYFUNCTION("GOOGLETRANSLATE(D1947,""fr"",""es"")"),"pollo")</f>
        <v>pollo</v>
      </c>
      <c r="H1947" s="3" t="s">
        <v>5252</v>
      </c>
      <c r="I1947" s="3" t="s">
        <v>5257</v>
      </c>
      <c r="J1947" s="3" t="s">
        <v>5258</v>
      </c>
      <c r="K1947" s="3" t="s">
        <v>5259</v>
      </c>
      <c r="L1947" s="3" t="s">
        <v>5260</v>
      </c>
      <c r="M1947" s="3" t="s">
        <v>5261</v>
      </c>
      <c r="N1947" s="3" t="s">
        <v>5250</v>
      </c>
      <c r="O1947" s="3" t="s">
        <v>5252</v>
      </c>
      <c r="P1947" s="3" t="s">
        <v>5262</v>
      </c>
      <c r="Q1947" s="3" t="s">
        <v>5263</v>
      </c>
      <c r="R1947" s="3" t="s">
        <v>5264</v>
      </c>
      <c r="S1947" s="3" t="s">
        <v>5252</v>
      </c>
      <c r="T1947" s="3" t="s">
        <v>5252</v>
      </c>
      <c r="U1947" s="3" t="s">
        <v>5254</v>
      </c>
      <c r="V1947" s="3" t="s">
        <v>5265</v>
      </c>
      <c r="W1947" s="3" t="s">
        <v>5266</v>
      </c>
      <c r="X1947" s="3" t="s">
        <v>5267</v>
      </c>
      <c r="Y1947" s="3" t="s">
        <v>5268</v>
      </c>
      <c r="Z1947" s="3" t="s">
        <v>5269</v>
      </c>
      <c r="AA1947" s="3" t="s">
        <v>5270</v>
      </c>
      <c r="AB1947" s="3" t="s">
        <v>5271</v>
      </c>
      <c r="AC1947" s="3" t="s">
        <v>5252</v>
      </c>
      <c r="AD1947" s="3" t="s">
        <v>5272</v>
      </c>
    </row>
    <row r="1948">
      <c r="A1948" s="3">
        <v>1926.0</v>
      </c>
      <c r="B1948" s="3" t="s">
        <v>189</v>
      </c>
      <c r="C1948" s="3" t="s">
        <v>190</v>
      </c>
      <c r="D1948" s="3" t="s">
        <v>5273</v>
      </c>
      <c r="E1948" s="3" t="s">
        <v>5255</v>
      </c>
      <c r="F1948" s="3" t="s">
        <v>5256</v>
      </c>
      <c r="G1948" s="3" t="str">
        <f>IFERROR(__xludf.DUMMYFUNCTION("GOOGLETRANSLATE(D1948,""fr"",""es"")"),"gallinas")</f>
        <v>gallinas</v>
      </c>
    </row>
    <row r="1949">
      <c r="A1949" s="3">
        <v>1927.0</v>
      </c>
      <c r="B1949" s="3" t="s">
        <v>189</v>
      </c>
      <c r="C1949" s="3" t="s">
        <v>190</v>
      </c>
      <c r="D1949" s="3" t="s">
        <v>5274</v>
      </c>
      <c r="E1949" s="3" t="s">
        <v>5275</v>
      </c>
      <c r="F1949" s="3" t="s">
        <v>5276</v>
      </c>
      <c r="G1949" s="3" t="str">
        <f>IFERROR(__xludf.DUMMYFUNCTION("GOOGLETRANSLATE(D1949,""fr"",""es"")"),"potra")</f>
        <v>potra</v>
      </c>
      <c r="H1949" s="3" t="s">
        <v>5277</v>
      </c>
    </row>
    <row r="1950">
      <c r="A1950" s="3">
        <v>1928.0</v>
      </c>
      <c r="B1950" s="3" t="s">
        <v>189</v>
      </c>
      <c r="C1950" s="3" t="s">
        <v>190</v>
      </c>
      <c r="D1950" s="3" t="s">
        <v>5278</v>
      </c>
      <c r="E1950" s="3" t="s">
        <v>5275</v>
      </c>
      <c r="F1950" s="3" t="s">
        <v>5276</v>
      </c>
      <c r="G1950" s="3" t="str">
        <f>IFERROR(__xludf.DUMMYFUNCTION("GOOGLETRANSLATE(D1950,""fr"",""es"")"),"potras")</f>
        <v>potras</v>
      </c>
    </row>
    <row r="1951">
      <c r="A1951" s="3">
        <v>1929.0</v>
      </c>
      <c r="B1951" s="3" t="s">
        <v>189</v>
      </c>
      <c r="C1951" s="3" t="s">
        <v>190</v>
      </c>
      <c r="D1951" s="3" t="s">
        <v>5279</v>
      </c>
      <c r="E1951" s="3" t="s">
        <v>5280</v>
      </c>
      <c r="F1951" s="3" t="s">
        <v>5281</v>
      </c>
      <c r="G1951" s="3" t="str">
        <f>IFERROR(__xludf.DUMMYFUNCTION("GOOGLETRANSLATE(D1951,""fr"",""es"")"),"polea")</f>
        <v>polea</v>
      </c>
      <c r="H1951" s="3" t="s">
        <v>5282</v>
      </c>
      <c r="I1951" s="3" t="s">
        <v>5283</v>
      </c>
      <c r="J1951" s="3" t="s">
        <v>5284</v>
      </c>
      <c r="K1951" s="3" t="s">
        <v>5285</v>
      </c>
    </row>
    <row r="1952">
      <c r="A1952" s="3">
        <v>1930.0</v>
      </c>
      <c r="B1952" s="3" t="s">
        <v>189</v>
      </c>
      <c r="C1952" s="3" t="s">
        <v>190</v>
      </c>
      <c r="D1952" s="3" t="s">
        <v>5286</v>
      </c>
      <c r="E1952" s="3" t="s">
        <v>5280</v>
      </c>
      <c r="F1952" s="3" t="s">
        <v>5281</v>
      </c>
      <c r="G1952" s="3" t="str">
        <f>IFERROR(__xludf.DUMMYFUNCTION("GOOGLETRANSLATE(D1952,""fr"",""es"")"),"poleas")</f>
        <v>poleas</v>
      </c>
    </row>
    <row r="1953">
      <c r="A1953" s="3">
        <v>1931.0</v>
      </c>
      <c r="B1953" s="3" t="s">
        <v>189</v>
      </c>
      <c r="C1953" s="3" t="s">
        <v>190</v>
      </c>
      <c r="D1953" s="3" t="s">
        <v>5287</v>
      </c>
      <c r="E1953" s="3" t="s">
        <v>5288</v>
      </c>
      <c r="F1953" s="3" t="s">
        <v>5289</v>
      </c>
      <c r="G1953" s="3" t="str">
        <f>IFERROR(__xludf.DUMMYFUNCTION("GOOGLETRANSLATE(D1953,""fr"",""es"")"),"poulinai")</f>
        <v>poulinai</v>
      </c>
    </row>
    <row r="1954">
      <c r="A1954" s="3">
        <v>1932.0</v>
      </c>
      <c r="B1954" s="3" t="s">
        <v>189</v>
      </c>
      <c r="C1954" s="3" t="s">
        <v>190</v>
      </c>
      <c r="D1954" s="3" t="s">
        <v>5290</v>
      </c>
      <c r="E1954" s="3" t="s">
        <v>5288</v>
      </c>
      <c r="F1954" s="3" t="s">
        <v>5289</v>
      </c>
      <c r="G1954" s="3" t="str">
        <f>IFERROR(__xludf.DUMMYFUNCTION("GOOGLETRANSLATE(D1954,""fr"",""es"")"),"Poulin")</f>
        <v>Poulin</v>
      </c>
    </row>
    <row r="1955">
      <c r="A1955" s="3">
        <v>1933.0</v>
      </c>
      <c r="B1955" s="3" t="s">
        <v>189</v>
      </c>
      <c r="C1955" s="3" t="s">
        <v>190</v>
      </c>
      <c r="D1955" s="3" t="s">
        <v>5291</v>
      </c>
      <c r="E1955" s="3" t="s">
        <v>5288</v>
      </c>
      <c r="F1955" s="3" t="s">
        <v>5289</v>
      </c>
      <c r="G1955" s="3" t="str">
        <f>IFERROR(__xludf.DUMMYFUNCTION("GOOGLETRANSLATE(D1955,""fr"",""es"")"),"Poulina")</f>
        <v>Poulina</v>
      </c>
    </row>
    <row r="1956">
      <c r="A1956" s="3">
        <v>1934.0</v>
      </c>
      <c r="B1956" s="3" t="s">
        <v>189</v>
      </c>
      <c r="C1956" s="3" t="s">
        <v>190</v>
      </c>
      <c r="D1956" s="3" t="s">
        <v>5292</v>
      </c>
      <c r="E1956" s="3" t="s">
        <v>5288</v>
      </c>
      <c r="F1956" s="3" t="s">
        <v>5289</v>
      </c>
      <c r="G1956" s="3" t="str">
        <f>IFERROR(__xludf.DUMMYFUNCTION("GOOGLETRANSLATE(D1956,""fr"",""es"")"),"Poulini")</f>
        <v>Poulini</v>
      </c>
    </row>
    <row r="1957">
      <c r="A1957" s="3">
        <v>1935.0</v>
      </c>
      <c r="B1957" s="3" t="s">
        <v>189</v>
      </c>
      <c r="C1957" s="3" t="s">
        <v>190</v>
      </c>
      <c r="D1957" s="3" t="s">
        <v>5293</v>
      </c>
      <c r="E1957" s="3" t="s">
        <v>5294</v>
      </c>
      <c r="F1957" s="3" t="s">
        <v>5295</v>
      </c>
      <c r="G1957" s="3" t="str">
        <f>IFERROR(__xludf.DUMMYFUNCTION("GOOGLETRANSLATE(D1957,""fr"",""es"")"),"pulinamous")</f>
        <v>pulinamous</v>
      </c>
    </row>
    <row r="1958">
      <c r="A1958" s="3">
        <v>1936.0</v>
      </c>
      <c r="B1958" s="3" t="s">
        <v>189</v>
      </c>
      <c r="C1958" s="3" t="s">
        <v>190</v>
      </c>
      <c r="D1958" s="3" t="s">
        <v>5296</v>
      </c>
      <c r="E1958" s="3" t="s">
        <v>5297</v>
      </c>
      <c r="F1958" s="3" t="s">
        <v>5298</v>
      </c>
      <c r="G1958" s="3" t="str">
        <f>IFERROR(__xludf.DUMMYFUNCTION("GOOGLETRANSLATE(D1958,""fr"",""es"")"),"poulinasse")</f>
        <v>poulinasse</v>
      </c>
    </row>
    <row r="1959">
      <c r="A1959" s="3">
        <v>1937.0</v>
      </c>
      <c r="B1959" s="3" t="s">
        <v>189</v>
      </c>
      <c r="C1959" s="3" t="s">
        <v>190</v>
      </c>
      <c r="D1959" s="3" t="s">
        <v>5299</v>
      </c>
      <c r="E1959" s="3" t="s">
        <v>5297</v>
      </c>
      <c r="F1959" s="3" t="s">
        <v>5298</v>
      </c>
      <c r="G1959" s="3" t="str">
        <f>IFERROR(__xludf.DUMMYFUNCTION("GOOGLETRANSLATE(D1959,""fr"",""es"")"),"pulinista")</f>
        <v>pulinista</v>
      </c>
    </row>
    <row r="1960">
      <c r="A1960" s="3">
        <v>1938.0</v>
      </c>
      <c r="B1960" s="3" t="s">
        <v>189</v>
      </c>
      <c r="C1960" s="3" t="s">
        <v>190</v>
      </c>
      <c r="D1960" s="3" t="s">
        <v>5300</v>
      </c>
      <c r="E1960" s="3" t="s">
        <v>5297</v>
      </c>
      <c r="F1960" s="3" t="s">
        <v>5298</v>
      </c>
      <c r="G1960" s="3" t="str">
        <f>IFERROR(__xludf.DUMMYFUNCTION("GOOGLETRANSLATE(D1960,""fr"",""es"")"),"poulinasse")</f>
        <v>poulinasse</v>
      </c>
    </row>
    <row r="1961">
      <c r="A1961" s="3">
        <v>1939.0</v>
      </c>
      <c r="B1961" s="3" t="s">
        <v>189</v>
      </c>
      <c r="C1961" s="3" t="s">
        <v>190</v>
      </c>
      <c r="D1961" s="3" t="s">
        <v>5301</v>
      </c>
      <c r="E1961" s="3" t="s">
        <v>5302</v>
      </c>
      <c r="F1961" s="3" t="s">
        <v>5303</v>
      </c>
      <c r="G1961" s="3" t="str">
        <f>IFERROR(__xludf.DUMMYFUNCTION("GOOGLETRANSLATE(D1961,""fr"",""es"")"),"Pública")</f>
        <v>Pública</v>
      </c>
    </row>
    <row r="1962">
      <c r="A1962" s="3">
        <v>1940.0</v>
      </c>
      <c r="B1962" s="3" t="s">
        <v>189</v>
      </c>
      <c r="C1962" s="3" t="s">
        <v>190</v>
      </c>
      <c r="D1962" s="3" t="s">
        <v>5304</v>
      </c>
      <c r="E1962" s="3" t="s">
        <v>5302</v>
      </c>
      <c r="F1962" s="3" t="s">
        <v>5303</v>
      </c>
      <c r="G1962" s="3" t="str">
        <f>IFERROR(__xludf.DUMMYFUNCTION("GOOGLETRANSLATE(D1962,""fr"",""es"")"),"pública")</f>
        <v>pública</v>
      </c>
    </row>
    <row r="1963">
      <c r="A1963" s="3">
        <v>1941.0</v>
      </c>
      <c r="B1963" s="3" t="s">
        <v>189</v>
      </c>
      <c r="C1963" s="3" t="s">
        <v>190</v>
      </c>
      <c r="D1963" s="3" t="s">
        <v>5305</v>
      </c>
      <c r="E1963" s="3" t="s">
        <v>5302</v>
      </c>
      <c r="F1963" s="3" t="s">
        <v>5303</v>
      </c>
      <c r="G1963" s="3" t="str">
        <f>IFERROR(__xludf.DUMMYFUNCTION("GOOGLETRANSLATE(D1963,""fr"",""es"")"),"triunfo")</f>
        <v>triunfo</v>
      </c>
    </row>
    <row r="1964">
      <c r="A1964" s="3">
        <v>1942.0</v>
      </c>
      <c r="B1964" s="3" t="s">
        <v>189</v>
      </c>
      <c r="C1964" s="3" t="s">
        <v>190</v>
      </c>
      <c r="D1964" s="3" t="s">
        <v>5306</v>
      </c>
      <c r="E1964" s="3" t="s">
        <v>5214</v>
      </c>
      <c r="F1964" s="3" t="s">
        <v>5215</v>
      </c>
      <c r="G1964" s="3" t="str">
        <f>IFERROR(__xludf.DUMMYFUNCTION("GOOGLETRANSLATE(D1964,""fr"",""es"")"),"legumbres")</f>
        <v>legumbres</v>
      </c>
      <c r="H1964" s="3" t="s">
        <v>5307</v>
      </c>
      <c r="I1964" s="3" t="s">
        <v>5308</v>
      </c>
      <c r="J1964" s="3" t="s">
        <v>5307</v>
      </c>
      <c r="K1964" s="3" t="s">
        <v>5307</v>
      </c>
      <c r="L1964" s="3" t="s">
        <v>5309</v>
      </c>
      <c r="M1964" s="3" t="s">
        <v>5310</v>
      </c>
      <c r="N1964" s="3" t="s">
        <v>5311</v>
      </c>
      <c r="O1964" s="3" t="s">
        <v>5312</v>
      </c>
      <c r="P1964" s="3" t="s">
        <v>5313</v>
      </c>
      <c r="Q1964" s="3" t="s">
        <v>5314</v>
      </c>
      <c r="R1964" s="3" t="s">
        <v>5309</v>
      </c>
      <c r="S1964" s="3" t="s">
        <v>5315</v>
      </c>
      <c r="T1964" s="3" t="s">
        <v>5307</v>
      </c>
      <c r="U1964" s="3" t="s">
        <v>5316</v>
      </c>
      <c r="V1964" s="3" t="s">
        <v>5307</v>
      </c>
      <c r="W1964" s="3" t="s">
        <v>5307</v>
      </c>
      <c r="X1964" s="3" t="s">
        <v>5317</v>
      </c>
      <c r="Y1964" s="3" t="s">
        <v>5318</v>
      </c>
    </row>
    <row r="1965">
      <c r="A1965" s="3">
        <v>1943.0</v>
      </c>
      <c r="B1965" s="3" t="s">
        <v>189</v>
      </c>
      <c r="C1965" s="3" t="s">
        <v>190</v>
      </c>
      <c r="D1965" s="3" t="s">
        <v>5319</v>
      </c>
      <c r="E1965" s="3" t="s">
        <v>5320</v>
      </c>
      <c r="F1965" s="3" t="s">
        <v>5321</v>
      </c>
      <c r="G1965" s="3" t="str">
        <f>IFERROR(__xludf.DUMMYFUNCTION("GOOGLETRANSLATE(D1965,""fr"",""es"")"),"popa")</f>
        <v>popa</v>
      </c>
      <c r="H1965" s="3" t="s">
        <v>5322</v>
      </c>
      <c r="I1965" s="3" t="s">
        <v>5323</v>
      </c>
      <c r="J1965" s="3" t="s">
        <v>5324</v>
      </c>
      <c r="K1965" s="3" t="s">
        <v>5325</v>
      </c>
      <c r="L1965" s="3" t="s">
        <v>5322</v>
      </c>
      <c r="M1965" s="3" t="s">
        <v>5326</v>
      </c>
      <c r="N1965" s="3" t="s">
        <v>5327</v>
      </c>
      <c r="O1965" s="3" t="s">
        <v>5328</v>
      </c>
      <c r="P1965" s="3" t="s">
        <v>5322</v>
      </c>
      <c r="Q1965" s="3" t="s">
        <v>5329</v>
      </c>
      <c r="R1965" s="3" t="s">
        <v>5330</v>
      </c>
      <c r="S1965" s="3" t="s">
        <v>5331</v>
      </c>
      <c r="T1965" s="3" t="s">
        <v>5322</v>
      </c>
      <c r="U1965" s="3" t="s">
        <v>5332</v>
      </c>
      <c r="V1965" s="3" t="s">
        <v>5333</v>
      </c>
      <c r="W1965" s="3" t="s">
        <v>5334</v>
      </c>
      <c r="X1965" s="3" t="s">
        <v>346</v>
      </c>
      <c r="Y1965" s="3" t="s">
        <v>5335</v>
      </c>
      <c r="Z1965" s="3" t="s">
        <v>5334</v>
      </c>
      <c r="AA1965" s="3" t="s">
        <v>5336</v>
      </c>
      <c r="AB1965" s="3" t="s">
        <v>2607</v>
      </c>
      <c r="AC1965" s="3" t="s">
        <v>5337</v>
      </c>
      <c r="AD1965" s="3" t="s">
        <v>5338</v>
      </c>
      <c r="AE1965" s="3" t="s">
        <v>5334</v>
      </c>
      <c r="AF1965" s="3" t="s">
        <v>5339</v>
      </c>
      <c r="AG1965" s="3" t="s">
        <v>5340</v>
      </c>
      <c r="AH1965" s="3" t="s">
        <v>5341</v>
      </c>
    </row>
    <row r="1966">
      <c r="A1966" s="3">
        <v>1944.0</v>
      </c>
      <c r="B1966" s="3" t="s">
        <v>189</v>
      </c>
      <c r="C1966" s="3" t="s">
        <v>190</v>
      </c>
      <c r="D1966" s="3" t="s">
        <v>5342</v>
      </c>
      <c r="E1966" s="3" t="s">
        <v>5320</v>
      </c>
      <c r="F1966" s="3" t="s">
        <v>5321</v>
      </c>
      <c r="G1966" s="3" t="str">
        <f>IFERROR(__xludf.DUMMYFUNCTION("GOOGLETRANSLATE(D1966,""fr"",""es"")"),"muñeca")</f>
        <v>muñeca</v>
      </c>
    </row>
    <row r="1967">
      <c r="A1967" s="3">
        <v>1945.0</v>
      </c>
      <c r="B1967" s="3" t="s">
        <v>189</v>
      </c>
      <c r="C1967" s="3" t="s">
        <v>190</v>
      </c>
      <c r="D1967" s="3" t="s">
        <v>5343</v>
      </c>
      <c r="E1967" s="3" t="s">
        <v>5344</v>
      </c>
      <c r="F1967" s="3" t="s">
        <v>5345</v>
      </c>
      <c r="G1967" s="3" t="str">
        <f>IFERROR(__xludf.DUMMYFUNCTION("GOOGLETRANSLATE(D1967,""fr"",""es"")"),"vertedero")</f>
        <v>vertedero</v>
      </c>
    </row>
    <row r="1968">
      <c r="A1968" s="3">
        <v>1946.0</v>
      </c>
      <c r="B1968" s="3" t="s">
        <v>189</v>
      </c>
      <c r="C1968" s="3" t="s">
        <v>190</v>
      </c>
      <c r="D1968" s="3" t="s">
        <v>5346</v>
      </c>
      <c r="E1968" s="3" t="s">
        <v>5344</v>
      </c>
      <c r="F1968" s="3" t="s">
        <v>5345</v>
      </c>
      <c r="G1968" s="3" t="str">
        <f>IFERROR(__xludf.DUMMYFUNCTION("GOOGLETRANSLATE(D1968,""fr"",""es"")"),"deshecho")</f>
        <v>deshecho</v>
      </c>
    </row>
    <row r="1969">
      <c r="A1969" s="3">
        <v>1947.0</v>
      </c>
      <c r="B1969" s="3" t="s">
        <v>189</v>
      </c>
      <c r="C1969" s="3" t="s">
        <v>190</v>
      </c>
      <c r="D1969" s="3" t="s">
        <v>5347</v>
      </c>
      <c r="E1969" s="3" t="s">
        <v>5348</v>
      </c>
      <c r="F1969" s="3" t="s">
        <v>5349</v>
      </c>
      <c r="G1969" s="3" t="str">
        <f>IFERROR(__xludf.DUMMYFUNCTION("GOOGLETRANSLATE(D1969,""fr"",""es"")"),"pusse")</f>
        <v>pusse</v>
      </c>
    </row>
    <row r="1970">
      <c r="A1970" s="3">
        <v>1948.0</v>
      </c>
      <c r="B1970" s="3" t="s">
        <v>189</v>
      </c>
      <c r="C1970" s="3" t="s">
        <v>190</v>
      </c>
      <c r="D1970" s="3" t="s">
        <v>5350</v>
      </c>
      <c r="E1970" s="3" t="s">
        <v>5348</v>
      </c>
      <c r="F1970" s="3" t="s">
        <v>5349</v>
      </c>
      <c r="G1970" s="3" t="str">
        <f>IFERROR(__xludf.DUMMYFUNCTION("GOOGLETRANSLATE(D1970,""fr"",""es"")"),"empujado")</f>
        <v>empujado</v>
      </c>
    </row>
    <row r="1971">
      <c r="A1971" s="3">
        <v>1949.0</v>
      </c>
      <c r="B1971" s="3" t="s">
        <v>189</v>
      </c>
      <c r="C1971" s="3" t="s">
        <v>190</v>
      </c>
      <c r="D1971" s="3" t="s">
        <v>5351</v>
      </c>
      <c r="E1971" s="3" t="s">
        <v>5348</v>
      </c>
      <c r="F1971" s="3" t="s">
        <v>5349</v>
      </c>
      <c r="G1971" s="3" t="str">
        <f>IFERROR(__xludf.DUMMYFUNCTION("GOOGLETRANSLATE(D1971,""fr"",""es"")"),"pusse")</f>
        <v>pusse</v>
      </c>
    </row>
    <row r="1972">
      <c r="A1972" s="3">
        <v>1950.0</v>
      </c>
      <c r="B1972" s="3" t="s">
        <v>189</v>
      </c>
      <c r="C1972" s="3" t="s">
        <v>190</v>
      </c>
      <c r="D1972" s="3" t="s">
        <v>5352</v>
      </c>
      <c r="E1972" s="3" t="s">
        <v>5348</v>
      </c>
      <c r="F1972" s="3" t="s">
        <v>5349</v>
      </c>
      <c r="G1972" s="3" t="str">
        <f>IFERROR(__xludf.DUMMYFUNCTION("GOOGLETRANSLATE(D1972,""fr"",""es"")"),"empujado")</f>
        <v>empujado</v>
      </c>
    </row>
    <row r="1973">
      <c r="A1973" s="3">
        <v>1951.0</v>
      </c>
      <c r="B1973" s="3" t="s">
        <v>189</v>
      </c>
      <c r="C1973" s="3" t="s">
        <v>190</v>
      </c>
      <c r="D1973" s="3" t="s">
        <v>5353</v>
      </c>
      <c r="E1973" s="3" t="s">
        <v>5354</v>
      </c>
      <c r="F1973" s="3" t="s">
        <v>5355</v>
      </c>
      <c r="G1973" s="3" t="str">
        <f>IFERROR(__xludf.DUMMYFUNCTION("GOOGLETRANSLATE(D1973,""fr"",""es"")"),"emprendedor")</f>
        <v>emprendedor</v>
      </c>
    </row>
    <row r="1974">
      <c r="A1974" s="3">
        <v>1952.0</v>
      </c>
      <c r="B1974" s="3" t="s">
        <v>189</v>
      </c>
      <c r="C1974" s="3" t="s">
        <v>190</v>
      </c>
      <c r="D1974" s="3" t="s">
        <v>5356</v>
      </c>
      <c r="E1974" s="3" t="s">
        <v>5357</v>
      </c>
      <c r="F1974" s="3" t="s">
        <v>5358</v>
      </c>
      <c r="G1974" s="3" t="str">
        <f>IFERROR(__xludf.DUMMYFUNCTION("GOOGLETRANSLATE(D1974,""fr"",""es"")"),"pusse")</f>
        <v>pusse</v>
      </c>
    </row>
    <row r="1975">
      <c r="A1975" s="3">
        <v>1953.0</v>
      </c>
      <c r="B1975" s="3" t="s">
        <v>189</v>
      </c>
      <c r="C1975" s="3" t="s">
        <v>190</v>
      </c>
      <c r="D1975" s="3" t="s">
        <v>5359</v>
      </c>
      <c r="E1975" s="3" t="s">
        <v>5357</v>
      </c>
      <c r="F1975" s="3" t="s">
        <v>5358</v>
      </c>
      <c r="G1975" s="3" t="str">
        <f>IFERROR(__xludf.DUMMYFUNCTION("GOOGLETRANSLATE(D1975,""fr"",""es"")"),"empujar")</f>
        <v>empujar</v>
      </c>
    </row>
    <row r="1976">
      <c r="A1976" s="3">
        <v>1954.0</v>
      </c>
      <c r="B1976" s="3" t="s">
        <v>189</v>
      </c>
      <c r="C1976" s="3" t="s">
        <v>190</v>
      </c>
      <c r="D1976" s="3" t="s">
        <v>5360</v>
      </c>
      <c r="E1976" s="3" t="s">
        <v>5357</v>
      </c>
      <c r="F1976" s="3" t="s">
        <v>5358</v>
      </c>
      <c r="G1976" s="3" t="str">
        <f>IFERROR(__xludf.DUMMYFUNCTION("GOOGLETRANSLATE(D1976,""fr"",""es"")"),"Pousssasses")</f>
        <v>Pousssasses</v>
      </c>
    </row>
    <row r="1977">
      <c r="A1977" s="3">
        <v>1955.0</v>
      </c>
      <c r="B1977" s="3" t="s">
        <v>189</v>
      </c>
      <c r="C1977" s="3" t="s">
        <v>190</v>
      </c>
      <c r="D1977" s="3" t="s">
        <v>5361</v>
      </c>
      <c r="E1977" s="3" t="s">
        <v>5225</v>
      </c>
      <c r="F1977" s="3" t="s">
        <v>174</v>
      </c>
      <c r="G1977" s="3" t="str">
        <f>IFERROR(__xludf.DUMMYFUNCTION("GOOGLETRANSLATE(D1977,""fr"",""es"")"),"crecimiento")</f>
        <v>crecimiento</v>
      </c>
      <c r="H1977" s="3" t="s">
        <v>5362</v>
      </c>
      <c r="I1977" s="3" t="s">
        <v>5363</v>
      </c>
      <c r="J1977" s="3" t="s">
        <v>5364</v>
      </c>
      <c r="K1977" s="3" t="s">
        <v>5365</v>
      </c>
      <c r="L1977" s="3" t="s">
        <v>5366</v>
      </c>
      <c r="M1977" s="3" t="s">
        <v>5367</v>
      </c>
      <c r="N1977" s="3" t="s">
        <v>5368</v>
      </c>
      <c r="O1977" s="3" t="s">
        <v>5368</v>
      </c>
      <c r="P1977" s="3" t="s">
        <v>5368</v>
      </c>
    </row>
    <row r="1978">
      <c r="A1978" s="3">
        <v>1956.0</v>
      </c>
      <c r="B1978" s="3" t="s">
        <v>189</v>
      </c>
      <c r="C1978" s="3" t="s">
        <v>190</v>
      </c>
      <c r="D1978" s="3" t="s">
        <v>5369</v>
      </c>
      <c r="E1978" s="3" t="s">
        <v>5225</v>
      </c>
      <c r="F1978" s="3" t="s">
        <v>174</v>
      </c>
      <c r="G1978" s="3" t="str">
        <f>IFERROR(__xludf.DUMMYFUNCTION("GOOGLETRANSLATE(D1978,""fr"",""es"")"),"crecer")</f>
        <v>crecer</v>
      </c>
    </row>
    <row r="1979">
      <c r="A1979" s="3">
        <v>1957.0</v>
      </c>
      <c r="B1979" s="3" t="s">
        <v>189</v>
      </c>
      <c r="C1979" s="3" t="s">
        <v>190</v>
      </c>
      <c r="D1979" s="3" t="s">
        <v>5370</v>
      </c>
      <c r="E1979" s="3" t="s">
        <v>5225</v>
      </c>
      <c r="F1979" s="3" t="s">
        <v>174</v>
      </c>
      <c r="G1979" s="3" t="str">
        <f>IFERROR(__xludf.DUMMYFUNCTION("GOOGLETRANSLATE(D1979,""fr"",""es"")"),"brotes")</f>
        <v>brotes</v>
      </c>
    </row>
    <row r="1980">
      <c r="A1980" s="3">
        <v>1958.0</v>
      </c>
      <c r="B1980" s="3" t="s">
        <v>189</v>
      </c>
      <c r="C1980" s="3" t="s">
        <v>190</v>
      </c>
      <c r="D1980" s="3" t="s">
        <v>5371</v>
      </c>
      <c r="E1980" s="3" t="s">
        <v>5372</v>
      </c>
      <c r="F1980" s="3" t="s">
        <v>5373</v>
      </c>
      <c r="G1980" s="3" t="str">
        <f>IFERROR(__xludf.DUMMYFUNCTION("GOOGLETRANSLATE(D1980,""fr"",""es"")"),"polluelo")</f>
        <v>polluelo</v>
      </c>
    </row>
    <row r="1981">
      <c r="A1981" s="3">
        <v>1959.0</v>
      </c>
      <c r="B1981" s="3" t="s">
        <v>189</v>
      </c>
      <c r="C1981" s="3" t="s">
        <v>190</v>
      </c>
      <c r="D1981" s="3" t="s">
        <v>5374</v>
      </c>
      <c r="E1981" s="3" t="s">
        <v>5372</v>
      </c>
      <c r="F1981" s="3" t="s">
        <v>5373</v>
      </c>
      <c r="G1981" s="3" t="str">
        <f>IFERROR(__xludf.DUMMYFUNCTION("GOOGLETRANSLATE(D1981,""fr"",""es"")"),"chicas")</f>
        <v>chicas</v>
      </c>
    </row>
    <row r="1982">
      <c r="A1982" s="3">
        <v>1960.0</v>
      </c>
      <c r="B1982" s="3" t="s">
        <v>189</v>
      </c>
      <c r="C1982" s="3" t="s">
        <v>190</v>
      </c>
      <c r="D1982" s="3" t="s">
        <v>5375</v>
      </c>
      <c r="E1982" s="3" t="s">
        <v>5376</v>
      </c>
      <c r="F1982" s="3" t="s">
        <v>5377</v>
      </c>
      <c r="G1982" s="3" t="str">
        <f>IFERROR(__xludf.DUMMYFUNCTION("GOOGLETRANSLATE(D1982,""fr"",""es"")"),"plataforma")</f>
        <v>plataforma</v>
      </c>
      <c r="H1982" s="3" t="s">
        <v>5378</v>
      </c>
      <c r="I1982" s="3" t="s">
        <v>5379</v>
      </c>
      <c r="J1982" s="3" t="s">
        <v>5380</v>
      </c>
      <c r="K1982" s="3" t="s">
        <v>5381</v>
      </c>
      <c r="L1982" s="3" t="s">
        <v>5382</v>
      </c>
      <c r="M1982" s="3" t="s">
        <v>5383</v>
      </c>
      <c r="N1982" s="3" t="s">
        <v>5384</v>
      </c>
      <c r="O1982" s="3" t="s">
        <v>5385</v>
      </c>
      <c r="P1982" s="3" t="s">
        <v>5386</v>
      </c>
      <c r="Q1982" s="3" t="s">
        <v>5387</v>
      </c>
    </row>
    <row r="1983">
      <c r="A1983" s="3">
        <v>1961.0</v>
      </c>
      <c r="B1983" s="3" t="s">
        <v>189</v>
      </c>
      <c r="C1983" s="3" t="s">
        <v>190</v>
      </c>
      <c r="D1983" s="3" t="s">
        <v>5388</v>
      </c>
      <c r="E1983" s="3" t="s">
        <v>5376</v>
      </c>
      <c r="F1983" s="3" t="s">
        <v>5377</v>
      </c>
      <c r="G1983" s="3" t="str">
        <f>IFERROR(__xludf.DUMMYFUNCTION("GOOGLETRANSLATE(D1983,""fr"",""es"")"),"muelles")</f>
        <v>muelles</v>
      </c>
    </row>
    <row r="1984">
      <c r="A1984" s="3">
        <v>1962.0</v>
      </c>
      <c r="B1984" s="3" t="s">
        <v>189</v>
      </c>
      <c r="C1984" s="3" t="s">
        <v>190</v>
      </c>
      <c r="D1984" s="3" t="s">
        <v>5389</v>
      </c>
      <c r="E1984" s="3" t="s">
        <v>1073</v>
      </c>
      <c r="F1984" s="3" t="s">
        <v>1074</v>
      </c>
      <c r="G1984" s="3" t="str">
        <f>IFERROR(__xludf.DUMMYFUNCTION("GOOGLETRANSLATE(D1984,""fr"",""es"")"),"qué")</f>
        <v>qué</v>
      </c>
    </row>
    <row r="1985">
      <c r="A1985" s="3">
        <v>1963.0</v>
      </c>
      <c r="B1985" s="3" t="s">
        <v>189</v>
      </c>
      <c r="C1985" s="3" t="s">
        <v>190</v>
      </c>
      <c r="D1985" s="3" t="s">
        <v>5390</v>
      </c>
      <c r="E1985" s="3" t="s">
        <v>1073</v>
      </c>
      <c r="F1985" s="3" t="s">
        <v>1074</v>
      </c>
      <c r="G1985" s="3" t="str">
        <f>IFERROR(__xludf.DUMMYFUNCTION("GOOGLETRANSLATE(D1985,""fr"",""es"")"),"qué")</f>
        <v>qué</v>
      </c>
    </row>
    <row r="1986">
      <c r="A1986" s="3">
        <v>1964.0</v>
      </c>
      <c r="B1986" s="3" t="s">
        <v>189</v>
      </c>
      <c r="C1986" s="3" t="s">
        <v>190</v>
      </c>
      <c r="D1986" s="3" t="s">
        <v>5391</v>
      </c>
      <c r="E1986" s="3" t="s">
        <v>1073</v>
      </c>
      <c r="F1986" s="3" t="s">
        <v>1074</v>
      </c>
      <c r="G1986" s="3" t="str">
        <f>IFERROR(__xludf.DUMMYFUNCTION("GOOGLETRANSLATE(D1986,""fr"",""es"")"),"qué")</f>
        <v>qué</v>
      </c>
    </row>
    <row r="1987">
      <c r="A1987" s="3">
        <v>1965.0</v>
      </c>
      <c r="B1987" s="3" t="s">
        <v>189</v>
      </c>
      <c r="C1987" s="3" t="s">
        <v>190</v>
      </c>
      <c r="D1987" s="3" t="s">
        <v>5392</v>
      </c>
      <c r="E1987" s="3" t="s">
        <v>1073</v>
      </c>
      <c r="F1987" s="3" t="s">
        <v>1074</v>
      </c>
      <c r="G1987" s="3" t="str">
        <f>IFERROR(__xludf.DUMMYFUNCTION("GOOGLETRANSLATE(D1987,""fr"",""es"")"),"Qué")</f>
        <v>Qué</v>
      </c>
    </row>
    <row r="1988">
      <c r="A1988" s="3">
        <v>1966.0</v>
      </c>
      <c r="B1988" s="3" t="s">
        <v>189</v>
      </c>
      <c r="C1988" s="3" t="s">
        <v>190</v>
      </c>
      <c r="D1988" s="3" t="s">
        <v>5393</v>
      </c>
      <c r="E1988" s="3" t="s">
        <v>5394</v>
      </c>
      <c r="F1988" s="3" t="s">
        <v>5395</v>
      </c>
      <c r="G1988" s="3" t="str">
        <f>IFERROR(__xludf.DUMMYFUNCTION("GOOGLETRANSLATE(D1988,""fr"",""es"")"),"quêtai")</f>
        <v>quêtai</v>
      </c>
    </row>
    <row r="1989">
      <c r="A1989" s="3">
        <v>1967.0</v>
      </c>
      <c r="B1989" s="3" t="s">
        <v>189</v>
      </c>
      <c r="C1989" s="3" t="s">
        <v>190</v>
      </c>
      <c r="D1989" s="3" t="s">
        <v>5396</v>
      </c>
      <c r="E1989" s="3" t="s">
        <v>5394</v>
      </c>
      <c r="F1989" s="3" t="s">
        <v>5395</v>
      </c>
      <c r="G1989" s="3" t="str">
        <f>IFERROR(__xludf.DUMMYFUNCTION("GOOGLETRANSLATE(D1989,""fr"",""es"")"),"quanado")</f>
        <v>quanado</v>
      </c>
    </row>
    <row r="1990">
      <c r="A1990" s="3">
        <v>1968.0</v>
      </c>
      <c r="B1990" s="3" t="s">
        <v>189</v>
      </c>
      <c r="C1990" s="3" t="s">
        <v>190</v>
      </c>
      <c r="D1990" s="3" t="s">
        <v>5397</v>
      </c>
      <c r="E1990" s="3" t="s">
        <v>5394</v>
      </c>
      <c r="F1990" s="3" t="s">
        <v>5395</v>
      </c>
      <c r="G1990" s="3" t="str">
        <f>IFERROR(__xludf.DUMMYFUNCTION("GOOGLETRANSLATE(D1990,""fr"",""es"")"),"quema")</f>
        <v>quema</v>
      </c>
    </row>
    <row r="1991">
      <c r="A1991" s="3">
        <v>1969.0</v>
      </c>
      <c r="B1991" s="3" t="s">
        <v>189</v>
      </c>
      <c r="C1991" s="3" t="s">
        <v>190</v>
      </c>
      <c r="D1991" s="3" t="s">
        <v>5398</v>
      </c>
      <c r="E1991" s="3" t="s">
        <v>5394</v>
      </c>
      <c r="F1991" s="3" t="s">
        <v>5395</v>
      </c>
      <c r="G1991" s="3" t="str">
        <f>IFERROR(__xludf.DUMMYFUNCTION("GOOGLETRANSLATE(D1991,""fr"",""es"")"),"Búsqueda")</f>
        <v>Búsqueda</v>
      </c>
    </row>
    <row r="1992">
      <c r="A1992" s="3">
        <v>1970.0</v>
      </c>
      <c r="B1992" s="3" t="s">
        <v>189</v>
      </c>
      <c r="C1992" s="3" t="s">
        <v>190</v>
      </c>
      <c r="D1992" s="3" t="s">
        <v>5399</v>
      </c>
      <c r="E1992" s="3" t="s">
        <v>5400</v>
      </c>
      <c r="F1992" s="3" t="s">
        <v>5401</v>
      </c>
      <c r="G1992" s="3" t="str">
        <f>IFERROR(__xludf.DUMMYFUNCTION("GOOGLETRANSLATE(D1992,""fr"",""es"")"),"quema")</f>
        <v>quema</v>
      </c>
    </row>
    <row r="1993">
      <c r="A1993" s="3">
        <v>1971.0</v>
      </c>
      <c r="B1993" s="3" t="s">
        <v>189</v>
      </c>
      <c r="C1993" s="3" t="s">
        <v>190</v>
      </c>
      <c r="D1993" s="3" t="s">
        <v>5402</v>
      </c>
      <c r="E1993" s="3" t="s">
        <v>5403</v>
      </c>
      <c r="F1993" s="3" t="s">
        <v>5404</v>
      </c>
      <c r="G1993" s="3" t="str">
        <f>IFERROR(__xludf.DUMMYFUNCTION("GOOGLETRANSLATE(D1993,""fr"",""es"")"),"quesatasse")</f>
        <v>quesatasse</v>
      </c>
    </row>
    <row r="1994">
      <c r="A1994" s="3">
        <v>1972.0</v>
      </c>
      <c r="B1994" s="3" t="s">
        <v>189</v>
      </c>
      <c r="C1994" s="3" t="s">
        <v>190</v>
      </c>
      <c r="D1994" s="3" t="s">
        <v>5405</v>
      </c>
      <c r="E1994" s="3" t="s">
        <v>5403</v>
      </c>
      <c r="F1994" s="3" t="s">
        <v>5404</v>
      </c>
      <c r="G1994" s="3" t="str">
        <f>IFERROR(__xludf.DUMMYFUNCTION("GOOGLETRANSLATE(D1994,""fr"",""es"")"),"quema")</f>
        <v>quema</v>
      </c>
    </row>
    <row r="1995">
      <c r="A1995" s="3">
        <v>1973.0</v>
      </c>
      <c r="B1995" s="3" t="s">
        <v>189</v>
      </c>
      <c r="C1995" s="3" t="s">
        <v>190</v>
      </c>
      <c r="D1995" s="3" t="s">
        <v>5406</v>
      </c>
      <c r="E1995" s="3" t="s">
        <v>5403</v>
      </c>
      <c r="F1995" s="3" t="s">
        <v>5404</v>
      </c>
      <c r="G1995" s="3" t="str">
        <f>IFERROR(__xludf.DUMMYFUNCTION("GOOGLETRANSLATE(D1995,""fr"",""es"")"),"quaetasses")</f>
        <v>quaetasses</v>
      </c>
    </row>
    <row r="1996">
      <c r="A1996" s="3">
        <v>1974.0</v>
      </c>
      <c r="B1996" s="3" t="s">
        <v>189</v>
      </c>
      <c r="C1996" s="3" t="s">
        <v>190</v>
      </c>
      <c r="D1996" s="3" t="s">
        <v>5407</v>
      </c>
      <c r="E1996" s="3" t="s">
        <v>5408</v>
      </c>
      <c r="F1996" s="3" t="s">
        <v>5409</v>
      </c>
      <c r="G1996" s="3" t="str">
        <f>IFERROR(__xludf.DUMMYFUNCTION("GOOGLETRANSLATE(D1996,""fr"",""es"")"),"quién")</f>
        <v>quién</v>
      </c>
      <c r="H1996" s="3" t="s">
        <v>5410</v>
      </c>
      <c r="I1996" s="3" t="s">
        <v>5411</v>
      </c>
    </row>
    <row r="1997">
      <c r="A1997" s="3">
        <v>1975.0</v>
      </c>
      <c r="B1997" s="3" t="s">
        <v>189</v>
      </c>
      <c r="C1997" s="3" t="s">
        <v>190</v>
      </c>
      <c r="D1997" s="3" t="s">
        <v>5412</v>
      </c>
      <c r="E1997" s="3" t="s">
        <v>5413</v>
      </c>
      <c r="F1997" s="3" t="s">
        <v>5414</v>
      </c>
      <c r="G1997" s="3" t="str">
        <f>IFERROR(__xludf.DUMMYFUNCTION("GOOGLETRANSLATE(D1997,""fr"",""es"")"),"Quiche")</f>
        <v>Quiche</v>
      </c>
      <c r="H1997" s="3" t="s">
        <v>5412</v>
      </c>
    </row>
    <row r="1998">
      <c r="A1998" s="3">
        <v>1976.0</v>
      </c>
      <c r="B1998" s="3" t="s">
        <v>189</v>
      </c>
      <c r="C1998" s="3" t="s">
        <v>190</v>
      </c>
      <c r="D1998" s="3" t="s">
        <v>5415</v>
      </c>
      <c r="E1998" s="3" t="s">
        <v>5413</v>
      </c>
      <c r="F1998" s="3" t="s">
        <v>5414</v>
      </c>
      <c r="G1998" s="3" t="str">
        <f>IFERROR(__xludf.DUMMYFUNCTION("GOOGLETRANSLATE(D1998,""fr"",""es"")"),"quiches")</f>
        <v>quiches</v>
      </c>
    </row>
    <row r="1999">
      <c r="A1999" s="3">
        <v>1977.0</v>
      </c>
      <c r="B1999" s="3" t="s">
        <v>189</v>
      </c>
      <c r="C1999" s="3" t="s">
        <v>190</v>
      </c>
      <c r="D1999" s="3" t="s">
        <v>5416</v>
      </c>
      <c r="E1999" s="3" t="s">
        <v>5417</v>
      </c>
      <c r="F1999" s="3" t="s">
        <v>5418</v>
      </c>
      <c r="G1999" s="3" t="str">
        <f>IFERROR(__xludf.DUMMYFUNCTION("GOOGLETRANSLATE(D1999,""fr"",""es"")"),"quilla")</f>
        <v>quilla</v>
      </c>
      <c r="H1999" s="3" t="s">
        <v>5419</v>
      </c>
      <c r="I1999" s="3" t="s">
        <v>5420</v>
      </c>
      <c r="J1999" s="3" t="s">
        <v>5421</v>
      </c>
      <c r="K1999" s="3" t="s">
        <v>5422</v>
      </c>
      <c r="L1999" s="3" t="s">
        <v>5423</v>
      </c>
      <c r="M1999" s="3" t="s">
        <v>5424</v>
      </c>
      <c r="N1999" s="3" t="s">
        <v>5425</v>
      </c>
      <c r="O1999" s="3" t="s">
        <v>5426</v>
      </c>
      <c r="P1999" s="3" t="s">
        <v>5426</v>
      </c>
    </row>
    <row r="2000">
      <c r="A2000" s="3">
        <v>1978.0</v>
      </c>
      <c r="B2000" s="3" t="s">
        <v>189</v>
      </c>
      <c r="C2000" s="3" t="s">
        <v>190</v>
      </c>
      <c r="D2000" s="3" t="s">
        <v>5427</v>
      </c>
      <c r="E2000" s="3" t="s">
        <v>5417</v>
      </c>
      <c r="F2000" s="3" t="s">
        <v>5418</v>
      </c>
      <c r="G2000" s="3" t="str">
        <f>IFERROR(__xludf.DUMMYFUNCTION("GOOGLETRANSLATE(D2000,""fr"",""es"")"),"juego de bolos")</f>
        <v>juego de bolos</v>
      </c>
    </row>
    <row r="2001">
      <c r="A2001" s="3">
        <v>1979.0</v>
      </c>
      <c r="B2001" s="3" t="s">
        <v>189</v>
      </c>
      <c r="C2001" s="3" t="s">
        <v>190</v>
      </c>
      <c r="D2001" s="3" t="s">
        <v>5428</v>
      </c>
      <c r="E2001" s="3" t="s">
        <v>5429</v>
      </c>
      <c r="F2001" s="3" t="s">
        <v>5430</v>
      </c>
      <c r="G2001" s="3" t="str">
        <f>IFERROR(__xludf.DUMMYFUNCTION("GOOGLETRANSLATE(D2001,""fr"",""es"")"),"quinina")</f>
        <v>quinina</v>
      </c>
      <c r="H2001" s="3" t="s">
        <v>5428</v>
      </c>
      <c r="I2001" s="3" t="s">
        <v>5428</v>
      </c>
      <c r="J2001" s="3" t="s">
        <v>5431</v>
      </c>
      <c r="K2001" s="3" t="s">
        <v>5432</v>
      </c>
      <c r="L2001" s="3" t="s">
        <v>5433</v>
      </c>
      <c r="M2001" s="3" t="s">
        <v>5434</v>
      </c>
    </row>
    <row r="2002">
      <c r="A2002" s="3">
        <v>1980.0</v>
      </c>
      <c r="B2002" s="3" t="s">
        <v>189</v>
      </c>
      <c r="C2002" s="3" t="s">
        <v>190</v>
      </c>
      <c r="D2002" s="3" t="s">
        <v>5435</v>
      </c>
      <c r="E2002" s="3" t="s">
        <v>5429</v>
      </c>
      <c r="F2002" s="3" t="s">
        <v>5430</v>
      </c>
      <c r="G2002" s="3" t="str">
        <f>IFERROR(__xludf.DUMMYFUNCTION("GOOGLETRANSLATE(D2002,""fr"",""es"")"),"quinines")</f>
        <v>quinines</v>
      </c>
    </row>
    <row r="2003">
      <c r="A2003" s="3">
        <v>1981.0</v>
      </c>
      <c r="B2003" s="3" t="s">
        <v>189</v>
      </c>
      <c r="C2003" s="3" t="s">
        <v>190</v>
      </c>
      <c r="D2003" s="3" t="s">
        <v>5436</v>
      </c>
      <c r="E2003" s="3" t="s">
        <v>5437</v>
      </c>
      <c r="F2003" s="3" t="s">
        <v>5438</v>
      </c>
      <c r="G2003" s="3" t="str">
        <f>IFERROR(__xludf.DUMMYFUNCTION("GOOGLETRANSLATE(D2003,""fr"",""es"")"),"izquierda")</f>
        <v>izquierda</v>
      </c>
    </row>
    <row r="2004">
      <c r="A2004" s="3">
        <v>1982.0</v>
      </c>
      <c r="B2004" s="3" t="s">
        <v>189</v>
      </c>
      <c r="C2004" s="3" t="s">
        <v>190</v>
      </c>
      <c r="D2004" s="3" t="s">
        <v>5439</v>
      </c>
      <c r="E2004" s="3" t="s">
        <v>5437</v>
      </c>
      <c r="F2004" s="3" t="s">
        <v>5438</v>
      </c>
      <c r="G2004" s="3" t="str">
        <f>IFERROR(__xludf.DUMMYFUNCTION("GOOGLETRANSLATE(D2004,""fr"",""es"")"),"izquierda")</f>
        <v>izquierda</v>
      </c>
    </row>
    <row r="2005">
      <c r="A2005" s="3">
        <v>1983.0</v>
      </c>
      <c r="B2005" s="3" t="s">
        <v>189</v>
      </c>
      <c r="C2005" s="3" t="s">
        <v>190</v>
      </c>
      <c r="D2005" s="3" t="s">
        <v>5440</v>
      </c>
      <c r="E2005" s="3" t="s">
        <v>5437</v>
      </c>
      <c r="F2005" s="3" t="s">
        <v>5438</v>
      </c>
      <c r="G2005" s="3" t="str">
        <f>IFERROR(__xludf.DUMMYFUNCTION("GOOGLETRANSLATE(D2005,""fr"",""es"")"),"izquierda")</f>
        <v>izquierda</v>
      </c>
    </row>
    <row r="2006">
      <c r="A2006" s="3">
        <v>1984.0</v>
      </c>
      <c r="B2006" s="3" t="s">
        <v>189</v>
      </c>
      <c r="C2006" s="3" t="s">
        <v>190</v>
      </c>
      <c r="D2006" s="3" t="s">
        <v>5441</v>
      </c>
      <c r="E2006" s="3" t="s">
        <v>5437</v>
      </c>
      <c r="F2006" s="3" t="s">
        <v>5438</v>
      </c>
      <c r="G2006" s="3" t="str">
        <f>IFERROR(__xludf.DUMMYFUNCTION("GOOGLETRANSLATE(D2006,""fr"",""es"")"),"izquierda")</f>
        <v>izquierda</v>
      </c>
    </row>
    <row r="2007">
      <c r="A2007" s="3">
        <v>1985.0</v>
      </c>
      <c r="B2007" s="3" t="s">
        <v>189</v>
      </c>
      <c r="C2007" s="3" t="s">
        <v>190</v>
      </c>
      <c r="D2007" s="3" t="s">
        <v>5442</v>
      </c>
      <c r="E2007" s="3" t="s">
        <v>5443</v>
      </c>
      <c r="F2007" s="3" t="s">
        <v>5444</v>
      </c>
      <c r="G2007" s="3" t="str">
        <f>IFERROR(__xludf.DUMMYFUNCTION("GOOGLETRANSLATE(D2007,""fr"",""es"")"),"izquierda")</f>
        <v>izquierda</v>
      </c>
    </row>
    <row r="2008">
      <c r="A2008" s="3">
        <v>1986.0</v>
      </c>
      <c r="B2008" s="3" t="s">
        <v>189</v>
      </c>
      <c r="C2008" s="3" t="s">
        <v>190</v>
      </c>
      <c r="D2008" s="3" t="s">
        <v>5445</v>
      </c>
      <c r="E2008" s="3" t="s">
        <v>5446</v>
      </c>
      <c r="F2008" s="3" t="s">
        <v>5447</v>
      </c>
      <c r="G2008" s="3" t="str">
        <f>IFERROR(__xludf.DUMMYFUNCTION("GOOGLETRANSLATE(D2008,""fr"",""es"")"),"abandonar")</f>
        <v>abandonar</v>
      </c>
    </row>
    <row r="2009">
      <c r="A2009" s="3">
        <v>1987.0</v>
      </c>
      <c r="B2009" s="3" t="s">
        <v>189</v>
      </c>
      <c r="C2009" s="3" t="s">
        <v>190</v>
      </c>
      <c r="D2009" s="3" t="s">
        <v>5448</v>
      </c>
      <c r="E2009" s="3" t="s">
        <v>5446</v>
      </c>
      <c r="F2009" s="3" t="s">
        <v>5447</v>
      </c>
      <c r="G2009" s="3" t="str">
        <f>IFERROR(__xludf.DUMMYFUNCTION("GOOGLETRANSLATE(D2009,""fr"",""es"")"),"abandonar")</f>
        <v>abandonar</v>
      </c>
    </row>
    <row r="2010">
      <c r="A2010" s="3">
        <v>1988.0</v>
      </c>
      <c r="B2010" s="3" t="s">
        <v>189</v>
      </c>
      <c r="C2010" s="3" t="s">
        <v>190</v>
      </c>
      <c r="D2010" s="3" t="s">
        <v>5449</v>
      </c>
      <c r="E2010" s="3" t="s">
        <v>5446</v>
      </c>
      <c r="F2010" s="3" t="s">
        <v>5447</v>
      </c>
      <c r="G2010" s="3" t="str">
        <f>IFERROR(__xludf.DUMMYFUNCTION("GOOGLETRANSLATE(D2010,""fr"",""es"")"),"salpicadura")</f>
        <v>salpicadura</v>
      </c>
    </row>
    <row r="2011">
      <c r="A2011" s="3">
        <v>1989.0</v>
      </c>
      <c r="B2011" s="3" t="s">
        <v>189</v>
      </c>
      <c r="C2011" s="3" t="s">
        <v>190</v>
      </c>
      <c r="D2011" s="3" t="s">
        <v>5450</v>
      </c>
      <c r="E2011" s="3" t="s">
        <v>826</v>
      </c>
      <c r="F2011" s="3" t="s">
        <v>827</v>
      </c>
      <c r="G2011" s="3" t="str">
        <f>IFERROR(__xludf.DUMMYFUNCTION("GOOGLETRANSLATE(D2011,""fr"",""es"")"),"S")</f>
        <v>S</v>
      </c>
      <c r="H2011" s="3" t="s">
        <v>5451</v>
      </c>
      <c r="I2011" s="3" t="s">
        <v>5452</v>
      </c>
      <c r="J2011" s="3" t="s">
        <v>5453</v>
      </c>
      <c r="K2011" s="3" t="s">
        <v>5454</v>
      </c>
      <c r="L2011" s="3" t="s">
        <v>5455</v>
      </c>
      <c r="M2011" s="3" t="s">
        <v>5456</v>
      </c>
      <c r="N2011" s="3" t="s">
        <v>965</v>
      </c>
    </row>
    <row r="2012">
      <c r="A2012" s="3">
        <v>1990.0</v>
      </c>
      <c r="B2012" s="3" t="s">
        <v>189</v>
      </c>
      <c r="C2012" s="3" t="s">
        <v>190</v>
      </c>
      <c r="D2012" s="3" t="s">
        <v>5457</v>
      </c>
      <c r="E2012" s="3" t="s">
        <v>964</v>
      </c>
      <c r="F2012" s="3" t="s">
        <v>965</v>
      </c>
      <c r="G2012" s="3" t="str">
        <f>IFERROR(__xludf.DUMMYFUNCTION("GOOGLETRANSLATE(D2012,""fr"",""es"")"),"s'")</f>
        <v>s'</v>
      </c>
    </row>
    <row r="2013">
      <c r="A2013" s="3">
        <v>1991.0</v>
      </c>
      <c r="B2013" s="3" t="s">
        <v>189</v>
      </c>
      <c r="C2013" s="3" t="s">
        <v>190</v>
      </c>
      <c r="D2013" s="3" t="s">
        <v>178</v>
      </c>
      <c r="E2013" s="3" t="s">
        <v>1435</v>
      </c>
      <c r="F2013" s="3" t="s">
        <v>178</v>
      </c>
      <c r="G2013" s="3" t="str">
        <f>IFERROR(__xludf.DUMMYFUNCTION("GOOGLETRANSLATE(D2013,""fr"",""es"")"),"su")</f>
        <v>su</v>
      </c>
      <c r="H2013" s="3" t="s">
        <v>180</v>
      </c>
      <c r="I2013" s="3" t="s">
        <v>181</v>
      </c>
      <c r="J2013" s="3" t="s">
        <v>182</v>
      </c>
      <c r="K2013" s="3" t="s">
        <v>5458</v>
      </c>
    </row>
    <row r="2014">
      <c r="A2014" s="3">
        <v>1992.0</v>
      </c>
      <c r="B2014" s="3" t="s">
        <v>189</v>
      </c>
      <c r="C2014" s="3" t="s">
        <v>190</v>
      </c>
      <c r="D2014" s="3" t="s">
        <v>5459</v>
      </c>
      <c r="E2014" s="3" t="s">
        <v>5460</v>
      </c>
      <c r="F2014" s="3" t="s">
        <v>5461</v>
      </c>
      <c r="G2014" s="3" t="str">
        <f>IFERROR(__xludf.DUMMYFUNCTION("GOOGLETRANSLATE(D2014,""fr"",""es"")"),"Bolso")</f>
        <v>Bolso</v>
      </c>
      <c r="H2014" s="3" t="s">
        <v>5462</v>
      </c>
      <c r="I2014" s="3" t="s">
        <v>5158</v>
      </c>
      <c r="J2014" s="3" t="s">
        <v>4805</v>
      </c>
      <c r="K2014" s="3" t="s">
        <v>5158</v>
      </c>
      <c r="L2014" s="3" t="s">
        <v>5158</v>
      </c>
      <c r="M2014" s="3" t="s">
        <v>5463</v>
      </c>
      <c r="N2014" s="3" t="s">
        <v>5158</v>
      </c>
      <c r="O2014" s="3" t="s">
        <v>5464</v>
      </c>
      <c r="P2014" s="3" t="s">
        <v>5158</v>
      </c>
      <c r="Q2014" s="3" t="s">
        <v>5158</v>
      </c>
      <c r="R2014" s="3" t="s">
        <v>5158</v>
      </c>
      <c r="S2014" s="3" t="s">
        <v>5158</v>
      </c>
      <c r="T2014" s="3" t="s">
        <v>5465</v>
      </c>
      <c r="U2014" s="3" t="s">
        <v>5466</v>
      </c>
      <c r="V2014" s="3" t="s">
        <v>5467</v>
      </c>
      <c r="W2014" s="3" t="s">
        <v>5468</v>
      </c>
      <c r="X2014" s="3" t="s">
        <v>5158</v>
      </c>
      <c r="Y2014" s="3" t="s">
        <v>5469</v>
      </c>
      <c r="Z2014" s="3" t="s">
        <v>5470</v>
      </c>
      <c r="AA2014" s="3" t="s">
        <v>5471</v>
      </c>
      <c r="AB2014" s="3" t="s">
        <v>5472</v>
      </c>
      <c r="AC2014" s="3" t="s">
        <v>5158</v>
      </c>
      <c r="AD2014" s="3" t="s">
        <v>5473</v>
      </c>
      <c r="AE2014" s="3" t="s">
        <v>2132</v>
      </c>
      <c r="AF2014" s="3" t="s">
        <v>5474</v>
      </c>
      <c r="AG2014" s="3" t="s">
        <v>5475</v>
      </c>
      <c r="AH2014" s="3" t="s">
        <v>5158</v>
      </c>
      <c r="AI2014" s="3" t="s">
        <v>5476</v>
      </c>
      <c r="AJ2014" s="3" t="s">
        <v>5158</v>
      </c>
      <c r="AK2014" s="3" t="s">
        <v>5158</v>
      </c>
      <c r="AL2014" s="3" t="s">
        <v>5477</v>
      </c>
      <c r="AM2014" s="3" t="s">
        <v>5478</v>
      </c>
      <c r="AN2014" s="3" t="s">
        <v>5459</v>
      </c>
      <c r="AO2014" s="3" t="s">
        <v>5473</v>
      </c>
      <c r="AP2014" s="3" t="s">
        <v>5463</v>
      </c>
      <c r="AQ2014" s="3" t="s">
        <v>5479</v>
      </c>
      <c r="AR2014" s="3" t="s">
        <v>5480</v>
      </c>
      <c r="AS2014" s="3" t="s">
        <v>5481</v>
      </c>
    </row>
    <row r="2015">
      <c r="A2015" s="3">
        <v>1993.0</v>
      </c>
      <c r="B2015" s="3" t="s">
        <v>189</v>
      </c>
      <c r="C2015" s="3" t="s">
        <v>190</v>
      </c>
      <c r="D2015" s="3" t="s">
        <v>5482</v>
      </c>
      <c r="E2015" s="3" t="s">
        <v>1443</v>
      </c>
      <c r="F2015" s="3" t="s">
        <v>1444</v>
      </c>
      <c r="G2015" s="3" t="str">
        <f>IFERROR(__xludf.DUMMYFUNCTION("GOOGLETRANSLATE(D2015,""fr"",""es"")"),"Sacem")</f>
        <v>Sacem</v>
      </c>
    </row>
    <row r="2016">
      <c r="A2016" s="3">
        <v>1994.0</v>
      </c>
      <c r="B2016" s="3" t="s">
        <v>189</v>
      </c>
      <c r="C2016" s="3" t="s">
        <v>190</v>
      </c>
      <c r="D2016" s="3" t="s">
        <v>5483</v>
      </c>
      <c r="E2016" s="3" t="s">
        <v>5484</v>
      </c>
      <c r="F2016" s="3" t="s">
        <v>5485</v>
      </c>
      <c r="G2016" s="3" t="str">
        <f>IFERROR(__xludf.DUMMYFUNCTION("GOOGLETRANSLATE(D2016,""fr"",""es"")"),"haz")</f>
        <v>haz</v>
      </c>
    </row>
    <row r="2017">
      <c r="A2017" s="3">
        <v>1995.0</v>
      </c>
      <c r="B2017" s="3" t="s">
        <v>189</v>
      </c>
      <c r="C2017" s="3" t="s">
        <v>190</v>
      </c>
      <c r="D2017" s="3" t="s">
        <v>5486</v>
      </c>
      <c r="E2017" s="3" t="s">
        <v>5484</v>
      </c>
      <c r="F2017" s="3" t="s">
        <v>5485</v>
      </c>
      <c r="G2017" s="3" t="str">
        <f>IFERROR(__xludf.DUMMYFUNCTION("GOOGLETRANSLATE(D2017,""fr"",""es"")"),"saber")</f>
        <v>saber</v>
      </c>
    </row>
    <row r="2018">
      <c r="A2018" s="3">
        <v>1996.0</v>
      </c>
      <c r="B2018" s="3" t="s">
        <v>189</v>
      </c>
      <c r="C2018" s="3" t="s">
        <v>190</v>
      </c>
      <c r="D2018" s="3" t="s">
        <v>5487</v>
      </c>
      <c r="E2018" s="3" t="s">
        <v>5484</v>
      </c>
      <c r="F2018" s="3" t="s">
        <v>5485</v>
      </c>
      <c r="G2018" s="3" t="str">
        <f>IFERROR(__xludf.DUMMYFUNCTION("GOOGLETRANSLATE(D2018,""fr"",""es"")"),"saber")</f>
        <v>saber</v>
      </c>
    </row>
    <row r="2019">
      <c r="A2019" s="3">
        <v>1997.0</v>
      </c>
      <c r="B2019" s="3" t="s">
        <v>189</v>
      </c>
      <c r="C2019" s="3" t="s">
        <v>190</v>
      </c>
      <c r="D2019" s="3" t="s">
        <v>5488</v>
      </c>
      <c r="E2019" s="3" t="s">
        <v>5489</v>
      </c>
      <c r="F2019" s="3" t="s">
        <v>5490</v>
      </c>
      <c r="G2019" s="3" t="str">
        <f>IFERROR(__xludf.DUMMYFUNCTION("GOOGLETRANSLATE(D2019,""fr"",""es"")"),"bolsa")</f>
        <v>bolsa</v>
      </c>
    </row>
    <row r="2020">
      <c r="A2020" s="3">
        <v>1998.0</v>
      </c>
      <c r="B2020" s="3" t="s">
        <v>189</v>
      </c>
      <c r="C2020" s="3" t="s">
        <v>190</v>
      </c>
      <c r="D2020" s="3" t="s">
        <v>5491</v>
      </c>
      <c r="E2020" s="3" t="s">
        <v>5489</v>
      </c>
      <c r="F2020" s="3" t="s">
        <v>5490</v>
      </c>
      <c r="G2020" s="3" t="str">
        <f>IFERROR(__xludf.DUMMYFUNCTION("GOOGLETRANSLATE(D2020,""fr"",""es"")"),"bolsas")</f>
        <v>bolsas</v>
      </c>
    </row>
    <row r="2021">
      <c r="A2021" s="3">
        <v>1999.0</v>
      </c>
      <c r="B2021" s="3" t="s">
        <v>189</v>
      </c>
      <c r="C2021" s="3" t="s">
        <v>190</v>
      </c>
      <c r="D2021" s="3" t="s">
        <v>5492</v>
      </c>
      <c r="E2021" s="3" t="s">
        <v>5493</v>
      </c>
      <c r="F2021" s="3" t="s">
        <v>5494</v>
      </c>
      <c r="G2021" s="3" t="str">
        <f>IFERROR(__xludf.DUMMYFUNCTION("GOOGLETRANSLATE(D2021,""fr"",""es"")"),"Sacquai")</f>
        <v>Sacquai</v>
      </c>
    </row>
    <row r="2022">
      <c r="A2022" s="3">
        <v>2000.0</v>
      </c>
      <c r="B2022" s="3" t="s">
        <v>189</v>
      </c>
      <c r="C2022" s="3" t="s">
        <v>190</v>
      </c>
      <c r="D2022" s="3" t="s">
        <v>5495</v>
      </c>
      <c r="E2022" s="3" t="s">
        <v>5493</v>
      </c>
      <c r="F2022" s="3" t="s">
        <v>5494</v>
      </c>
      <c r="G2022" s="3" t="str">
        <f>IFERROR(__xludf.DUMMYFUNCTION("GOOGLETRANSLATE(D2022,""fr"",""es"")"),"saqueado")</f>
        <v>saqueado</v>
      </c>
    </row>
    <row r="2023">
      <c r="A2023" s="3">
        <v>2001.0</v>
      </c>
      <c r="B2023" s="3" t="s">
        <v>189</v>
      </c>
      <c r="C2023" s="3" t="s">
        <v>190</v>
      </c>
      <c r="D2023" s="3" t="s">
        <v>5496</v>
      </c>
      <c r="E2023" s="3" t="s">
        <v>5493</v>
      </c>
      <c r="F2023" s="3" t="s">
        <v>5494</v>
      </c>
      <c r="G2023" s="3" t="str">
        <f>IFERROR(__xludf.DUMMYFUNCTION("GOOGLETRANSLATE(D2023,""fr"",""es"")"),"sacquais")</f>
        <v>sacquais</v>
      </c>
    </row>
    <row r="2024">
      <c r="A2024" s="3">
        <v>2002.0</v>
      </c>
      <c r="B2024" s="3" t="s">
        <v>189</v>
      </c>
      <c r="C2024" s="3" t="s">
        <v>190</v>
      </c>
      <c r="D2024" s="3" t="s">
        <v>5497</v>
      </c>
      <c r="E2024" s="3" t="s">
        <v>5493</v>
      </c>
      <c r="F2024" s="3" t="s">
        <v>5494</v>
      </c>
      <c r="G2024" s="3" t="str">
        <f>IFERROR(__xludf.DUMMYFUNCTION("GOOGLETRANSLATE(D2024,""fr"",""es"")"),"saqueado")</f>
        <v>saqueado</v>
      </c>
    </row>
    <row r="2025">
      <c r="A2025" s="3">
        <v>2003.0</v>
      </c>
      <c r="B2025" s="3" t="s">
        <v>189</v>
      </c>
      <c r="C2025" s="3" t="s">
        <v>190</v>
      </c>
      <c r="D2025" s="3" t="s">
        <v>5498</v>
      </c>
      <c r="E2025" s="3" t="s">
        <v>5499</v>
      </c>
      <c r="F2025" s="3" t="s">
        <v>5500</v>
      </c>
      <c r="G2025" s="3" t="str">
        <f>IFERROR(__xludf.DUMMYFUNCTION("GOOGLETRANSLATE(D2025,""fr"",""es"")"),"sacqua")</f>
        <v>sacqua</v>
      </c>
    </row>
    <row r="2026">
      <c r="A2026" s="3">
        <v>2004.0</v>
      </c>
      <c r="B2026" s="3" t="s">
        <v>189</v>
      </c>
      <c r="C2026" s="3" t="s">
        <v>190</v>
      </c>
      <c r="D2026" s="3" t="s">
        <v>5501</v>
      </c>
      <c r="E2026" s="3" t="s">
        <v>5502</v>
      </c>
      <c r="F2026" s="3" t="s">
        <v>5503</v>
      </c>
      <c r="G2026" s="3" t="str">
        <f>IFERROR(__xludf.DUMMYFUNCTION("GOOGLETRANSLATE(D2026,""fr"",""es"")"),"bolsa")</f>
        <v>bolsa</v>
      </c>
    </row>
    <row r="2027">
      <c r="A2027" s="3">
        <v>2005.0</v>
      </c>
      <c r="B2027" s="3" t="s">
        <v>189</v>
      </c>
      <c r="C2027" s="3" t="s">
        <v>190</v>
      </c>
      <c r="D2027" s="3" t="s">
        <v>5504</v>
      </c>
      <c r="E2027" s="3" t="s">
        <v>5502</v>
      </c>
      <c r="F2027" s="3" t="s">
        <v>5503</v>
      </c>
      <c r="G2027" s="3" t="str">
        <f>IFERROR(__xludf.DUMMYFUNCTION("GOOGLETRANSLATE(D2027,""fr"",""es"")"),"bolsa")</f>
        <v>bolsa</v>
      </c>
    </row>
    <row r="2028">
      <c r="A2028" s="3">
        <v>2006.0</v>
      </c>
      <c r="B2028" s="3" t="s">
        <v>189</v>
      </c>
      <c r="C2028" s="3" t="s">
        <v>190</v>
      </c>
      <c r="D2028" s="3" t="s">
        <v>5505</v>
      </c>
      <c r="E2028" s="3" t="s">
        <v>5502</v>
      </c>
      <c r="F2028" s="3" t="s">
        <v>5503</v>
      </c>
      <c r="G2028" s="3" t="str">
        <f>IFERROR(__xludf.DUMMYFUNCTION("GOOGLETRANSLATE(D2028,""fr"",""es"")"),"bolsa")</f>
        <v>bolsa</v>
      </c>
    </row>
    <row r="2029">
      <c r="A2029" s="3">
        <v>2007.0</v>
      </c>
      <c r="B2029" s="3" t="s">
        <v>189</v>
      </c>
      <c r="C2029" s="3" t="s">
        <v>190</v>
      </c>
      <c r="D2029" s="3" t="s">
        <v>5506</v>
      </c>
      <c r="E2029" s="3" t="s">
        <v>5460</v>
      </c>
      <c r="F2029" s="3" t="s">
        <v>5461</v>
      </c>
      <c r="G2029" s="3" t="str">
        <f>IFERROR(__xludf.DUMMYFUNCTION("GOOGLETRANSLATE(D2029,""fr"",""es"")"),"sacque")</f>
        <v>sacque</v>
      </c>
    </row>
    <row r="2030">
      <c r="A2030" s="3">
        <v>2008.0</v>
      </c>
      <c r="B2030" s="3" t="s">
        <v>189</v>
      </c>
      <c r="C2030" s="3" t="s">
        <v>190</v>
      </c>
      <c r="D2030" s="3" t="s">
        <v>5507</v>
      </c>
      <c r="E2030" s="3" t="s">
        <v>5460</v>
      </c>
      <c r="F2030" s="3" t="s">
        <v>5461</v>
      </c>
      <c r="G2030" s="3" t="str">
        <f>IFERROR(__xludf.DUMMYFUNCTION("GOOGLETRANSLATE(D2030,""fr"",""es"")"),"bolsa")</f>
        <v>bolsa</v>
      </c>
    </row>
    <row r="2031">
      <c r="A2031" s="3">
        <v>2009.0</v>
      </c>
      <c r="B2031" s="3" t="s">
        <v>189</v>
      </c>
      <c r="C2031" s="3" t="s">
        <v>190</v>
      </c>
      <c r="D2031" s="3" t="s">
        <v>5508</v>
      </c>
      <c r="E2031" s="3" t="s">
        <v>5460</v>
      </c>
      <c r="F2031" s="3" t="s">
        <v>5461</v>
      </c>
      <c r="G2031" s="3" t="str">
        <f>IFERROR(__xludf.DUMMYFUNCTION("GOOGLETRANSLATE(D2031,""fr"",""es"")"),"sacques")</f>
        <v>sacques</v>
      </c>
    </row>
    <row r="2032">
      <c r="A2032" s="3">
        <v>2010.0</v>
      </c>
      <c r="B2032" s="3" t="s">
        <v>189</v>
      </c>
      <c r="C2032" s="3" t="s">
        <v>190</v>
      </c>
      <c r="D2032" s="3" t="s">
        <v>5509</v>
      </c>
      <c r="E2032" s="3" t="s">
        <v>5460</v>
      </c>
      <c r="F2032" s="3" t="s">
        <v>5461</v>
      </c>
      <c r="G2032" s="3" t="str">
        <f>IFERROR(__xludf.DUMMYFUNCTION("GOOGLETRANSLATE(D2032,""fr"",""es"")"),"sagrado")</f>
        <v>sagrado</v>
      </c>
      <c r="H2032" s="3" t="s">
        <v>5510</v>
      </c>
      <c r="I2032" s="3" t="s">
        <v>5511</v>
      </c>
      <c r="J2032" s="3" t="s">
        <v>5512</v>
      </c>
      <c r="K2032" s="3" t="s">
        <v>5513</v>
      </c>
      <c r="L2032" s="3" t="s">
        <v>5514</v>
      </c>
    </row>
    <row r="2033">
      <c r="A2033" s="3">
        <v>2011.0</v>
      </c>
      <c r="B2033" s="3" t="s">
        <v>189</v>
      </c>
      <c r="C2033" s="3" t="s">
        <v>190</v>
      </c>
      <c r="D2033" s="3" t="s">
        <v>5515</v>
      </c>
      <c r="E2033" s="3" t="s">
        <v>5460</v>
      </c>
      <c r="F2033" s="3" t="s">
        <v>5461</v>
      </c>
      <c r="G2033" s="3" t="str">
        <f>IFERROR(__xludf.DUMMYFUNCTION("GOOGLETRANSLATE(D2033,""fr"",""es"")"),"sagrado")</f>
        <v>sagrado</v>
      </c>
    </row>
    <row r="2034">
      <c r="A2034" s="3">
        <v>2012.0</v>
      </c>
      <c r="B2034" s="3" t="s">
        <v>189</v>
      </c>
      <c r="C2034" s="3" t="s">
        <v>190</v>
      </c>
      <c r="D2034" s="3" t="s">
        <v>5516</v>
      </c>
      <c r="E2034" s="3" t="s">
        <v>5460</v>
      </c>
      <c r="F2034" s="3" t="s">
        <v>5461</v>
      </c>
      <c r="G2034" s="3" t="str">
        <f>IFERROR(__xludf.DUMMYFUNCTION("GOOGLETRANSLATE(D2034,""fr"",""es"")"),"Santo")</f>
        <v>Santo</v>
      </c>
    </row>
    <row r="2035">
      <c r="A2035" s="3">
        <v>2013.0</v>
      </c>
      <c r="B2035" s="3" t="s">
        <v>189</v>
      </c>
      <c r="C2035" s="3" t="s">
        <v>190</v>
      </c>
      <c r="D2035" s="3" t="s">
        <v>5517</v>
      </c>
      <c r="E2035" s="3" t="s">
        <v>5460</v>
      </c>
      <c r="F2035" s="3" t="s">
        <v>5461</v>
      </c>
      <c r="G2035" s="3" t="str">
        <f>IFERROR(__xludf.DUMMYFUNCTION("GOOGLETRANSLATE(D2035,""fr"",""es"")"),"bolsas")</f>
        <v>bolsas</v>
      </c>
    </row>
    <row r="2036">
      <c r="A2036" s="3">
        <v>2014.0</v>
      </c>
      <c r="B2036" s="3" t="s">
        <v>189</v>
      </c>
      <c r="C2036" s="3" t="s">
        <v>190</v>
      </c>
      <c r="D2036" s="3" t="s">
        <v>5518</v>
      </c>
      <c r="E2036" s="3" t="s">
        <v>1388</v>
      </c>
      <c r="F2036" s="3" t="s">
        <v>1389</v>
      </c>
      <c r="G2036" s="3" t="str">
        <f>IFERROR(__xludf.DUMMYFUNCTION("GOOGLETRANSLATE(D2036,""fr"",""es"")"),"sangrado")</f>
        <v>sangrado</v>
      </c>
    </row>
    <row r="2037">
      <c r="A2037" s="3">
        <v>2015.0</v>
      </c>
      <c r="B2037" s="3" t="s">
        <v>189</v>
      </c>
      <c r="C2037" s="3" t="s">
        <v>190</v>
      </c>
      <c r="D2037" s="3" t="s">
        <v>5519</v>
      </c>
      <c r="E2037" s="3" t="s">
        <v>1388</v>
      </c>
      <c r="F2037" s="3" t="s">
        <v>1389</v>
      </c>
      <c r="G2037" s="3" t="str">
        <f>IFERROR(__xludf.DUMMYFUNCTION("GOOGLETRANSLATE(D2037,""fr"",""es"")"),"sangrar")</f>
        <v>sangrar</v>
      </c>
    </row>
    <row r="2038">
      <c r="A2038" s="3">
        <v>2016.0</v>
      </c>
      <c r="B2038" s="3" t="s">
        <v>189</v>
      </c>
      <c r="C2038" s="3" t="s">
        <v>190</v>
      </c>
      <c r="D2038" s="3" t="s">
        <v>5520</v>
      </c>
      <c r="E2038" s="3" t="s">
        <v>1388</v>
      </c>
      <c r="F2038" s="3" t="s">
        <v>1389</v>
      </c>
      <c r="G2038" s="3" t="str">
        <f>IFERROR(__xludf.DUMMYFUNCTION("GOOGLETRANSLATE(D2038,""fr"",""es"")"),"Gastado")</f>
        <v>Gastado</v>
      </c>
    </row>
    <row r="2039">
      <c r="A2039" s="3">
        <v>2017.0</v>
      </c>
      <c r="B2039" s="3" t="s">
        <v>189</v>
      </c>
      <c r="C2039" s="3" t="s">
        <v>190</v>
      </c>
      <c r="D2039" s="3" t="s">
        <v>5521</v>
      </c>
      <c r="E2039" s="3" t="s">
        <v>1388</v>
      </c>
      <c r="F2039" s="3" t="s">
        <v>1389</v>
      </c>
      <c r="G2039" s="3" t="str">
        <f>IFERROR(__xludf.DUMMYFUNCTION("GOOGLETRANSLATE(D2039,""fr"",""es"")"),"sangrar")</f>
        <v>sangrar</v>
      </c>
    </row>
    <row r="2040">
      <c r="A2040" s="3">
        <v>2018.0</v>
      </c>
      <c r="B2040" s="3" t="s">
        <v>189</v>
      </c>
      <c r="C2040" s="3" t="s">
        <v>190</v>
      </c>
      <c r="D2040" s="3" t="s">
        <v>5522</v>
      </c>
      <c r="E2040" s="3" t="s">
        <v>5523</v>
      </c>
      <c r="F2040" s="3" t="s">
        <v>5524</v>
      </c>
      <c r="G2040" s="3" t="str">
        <f>IFERROR(__xludf.DUMMYFUNCTION("GOOGLETRANSLATE(D2040,""fr"",""es"")"),"sangrado")</f>
        <v>sangrado</v>
      </c>
    </row>
    <row r="2041">
      <c r="A2041" s="3">
        <v>2019.0</v>
      </c>
      <c r="B2041" s="3" t="s">
        <v>189</v>
      </c>
      <c r="C2041" s="3" t="s">
        <v>190</v>
      </c>
      <c r="D2041" s="3" t="s">
        <v>5525</v>
      </c>
      <c r="E2041" s="3" t="s">
        <v>5526</v>
      </c>
      <c r="F2041" s="3" t="s">
        <v>5527</v>
      </c>
      <c r="G2041" s="3" t="str">
        <f>IFERROR(__xludf.DUMMYFUNCTION("GOOGLETRANSLATE(D2041,""fr"",""es"")"),"sangrado")</f>
        <v>sangrado</v>
      </c>
    </row>
    <row r="2042">
      <c r="A2042" s="3">
        <v>2020.0</v>
      </c>
      <c r="B2042" s="3" t="s">
        <v>189</v>
      </c>
      <c r="C2042" s="3" t="s">
        <v>190</v>
      </c>
      <c r="D2042" s="3" t="s">
        <v>5528</v>
      </c>
      <c r="E2042" s="3" t="s">
        <v>5526</v>
      </c>
      <c r="F2042" s="3" t="s">
        <v>5527</v>
      </c>
      <c r="G2042" s="3" t="str">
        <f>IFERROR(__xludf.DUMMYFUNCTION("GOOGLETRANSLATE(D2042,""fr"",""es"")"),"sangrar")</f>
        <v>sangrar</v>
      </c>
    </row>
    <row r="2043">
      <c r="A2043" s="3">
        <v>2021.0</v>
      </c>
      <c r="B2043" s="3" t="s">
        <v>189</v>
      </c>
      <c r="C2043" s="3" t="s">
        <v>190</v>
      </c>
      <c r="D2043" s="3" t="s">
        <v>5529</v>
      </c>
      <c r="E2043" s="3" t="s">
        <v>5526</v>
      </c>
      <c r="F2043" s="3" t="s">
        <v>5527</v>
      </c>
      <c r="G2043" s="3" t="str">
        <f>IFERROR(__xludf.DUMMYFUNCTION("GOOGLETRANSLATE(D2043,""fr"",""es"")"),"sangrado")</f>
        <v>sangrado</v>
      </c>
    </row>
    <row r="2044">
      <c r="A2044" s="3">
        <v>2022.0</v>
      </c>
      <c r="B2044" s="3" t="s">
        <v>189</v>
      </c>
      <c r="C2044" s="3" t="s">
        <v>190</v>
      </c>
      <c r="D2044" s="3" t="s">
        <v>5530</v>
      </c>
      <c r="E2044" s="3" t="s">
        <v>1393</v>
      </c>
      <c r="F2044" s="3" t="s">
        <v>1394</v>
      </c>
      <c r="G2044" s="3" t="str">
        <f>IFERROR(__xludf.DUMMYFUNCTION("GOOGLETRANSLATE(D2044,""fr"",""es"")"),"sangrado")</f>
        <v>sangrado</v>
      </c>
    </row>
    <row r="2045">
      <c r="A2045" s="3">
        <v>2023.0</v>
      </c>
      <c r="B2045" s="3" t="s">
        <v>189</v>
      </c>
      <c r="C2045" s="3" t="s">
        <v>190</v>
      </c>
      <c r="D2045" s="3" t="s">
        <v>5531</v>
      </c>
      <c r="E2045" s="3" t="s">
        <v>1393</v>
      </c>
      <c r="F2045" s="3" t="s">
        <v>1394</v>
      </c>
      <c r="G2045" s="3" t="str">
        <f>IFERROR(__xludf.DUMMYFUNCTION("GOOGLETRANSLATE(D2045,""fr"",""es"")"),"sangrar")</f>
        <v>sangrar</v>
      </c>
    </row>
    <row r="2046">
      <c r="A2046" s="3">
        <v>2024.0</v>
      </c>
      <c r="B2046" s="3" t="s">
        <v>189</v>
      </c>
      <c r="C2046" s="3" t="s">
        <v>190</v>
      </c>
      <c r="D2046" s="3" t="s">
        <v>5532</v>
      </c>
      <c r="E2046" s="3" t="s">
        <v>1393</v>
      </c>
      <c r="F2046" s="3" t="s">
        <v>1394</v>
      </c>
      <c r="G2046" s="3" t="str">
        <f>IFERROR(__xludf.DUMMYFUNCTION("GOOGLETRANSLATE(D2046,""fr"",""es"")"),"sangrado")</f>
        <v>sangrado</v>
      </c>
    </row>
    <row r="2047">
      <c r="A2047" s="3">
        <v>2025.0</v>
      </c>
      <c r="B2047" s="3" t="s">
        <v>189</v>
      </c>
      <c r="C2047" s="3" t="s">
        <v>190</v>
      </c>
      <c r="D2047" s="3" t="s">
        <v>5533</v>
      </c>
      <c r="E2047" s="3" t="s">
        <v>5534</v>
      </c>
      <c r="F2047" s="3" t="s">
        <v>5535</v>
      </c>
      <c r="G2047" s="3" t="str">
        <f>IFERROR(__xludf.DUMMYFUNCTION("GOOGLETRANSLATE(D2047,""fr"",""es"")"),"proyección")</f>
        <v>proyección</v>
      </c>
      <c r="H2047" s="3" t="s">
        <v>5536</v>
      </c>
      <c r="I2047" s="3" t="s">
        <v>5537</v>
      </c>
      <c r="J2047" s="3" t="s">
        <v>5538</v>
      </c>
      <c r="K2047" s="3" t="s">
        <v>5539</v>
      </c>
      <c r="L2047" s="3" t="s">
        <v>5540</v>
      </c>
      <c r="M2047" s="3" t="s">
        <v>5541</v>
      </c>
      <c r="N2047" s="3" t="s">
        <v>5542</v>
      </c>
      <c r="O2047" s="3" t="s">
        <v>5543</v>
      </c>
      <c r="P2047" s="3" t="s">
        <v>5544</v>
      </c>
      <c r="Q2047" s="3" t="s">
        <v>5545</v>
      </c>
      <c r="R2047" s="3" t="s">
        <v>5546</v>
      </c>
      <c r="S2047" s="3" t="s">
        <v>5547</v>
      </c>
      <c r="T2047" s="3" t="s">
        <v>5548</v>
      </c>
      <c r="U2047" s="3" t="s">
        <v>5549</v>
      </c>
      <c r="V2047" s="3" t="s">
        <v>5550</v>
      </c>
      <c r="W2047" s="3" t="s">
        <v>5537</v>
      </c>
      <c r="X2047" s="3" t="s">
        <v>5537</v>
      </c>
      <c r="Y2047" s="3" t="s">
        <v>5537</v>
      </c>
      <c r="Z2047" s="3" t="s">
        <v>5551</v>
      </c>
      <c r="AA2047" s="3" t="s">
        <v>5537</v>
      </c>
      <c r="AB2047" s="3" t="s">
        <v>5537</v>
      </c>
      <c r="AC2047" s="3" t="s">
        <v>5537</v>
      </c>
      <c r="AD2047" s="3" t="s">
        <v>5552</v>
      </c>
      <c r="AE2047" s="3" t="s">
        <v>5553</v>
      </c>
      <c r="AF2047" s="3" t="s">
        <v>5537</v>
      </c>
      <c r="AG2047" s="3" t="s">
        <v>5464</v>
      </c>
      <c r="AH2047" s="3" t="s">
        <v>5554</v>
      </c>
      <c r="AI2047" s="3" t="s">
        <v>5555</v>
      </c>
      <c r="AJ2047" s="3" t="s">
        <v>5479</v>
      </c>
      <c r="AK2047" s="3" t="s">
        <v>5556</v>
      </c>
      <c r="AL2047" s="3" t="s">
        <v>5557</v>
      </c>
      <c r="AM2047" s="3" t="s">
        <v>5538</v>
      </c>
      <c r="AN2047" s="3" t="s">
        <v>5558</v>
      </c>
      <c r="AO2047" s="3" t="s">
        <v>5559</v>
      </c>
      <c r="AP2047" s="3" t="s">
        <v>5536</v>
      </c>
      <c r="AQ2047" s="3" t="s">
        <v>5560</v>
      </c>
      <c r="AR2047" s="3" t="s">
        <v>5561</v>
      </c>
      <c r="AS2047" s="3" t="s">
        <v>5537</v>
      </c>
      <c r="AT2047" s="3" t="s">
        <v>5559</v>
      </c>
    </row>
    <row r="2048">
      <c r="A2048" s="3">
        <v>2026.0</v>
      </c>
      <c r="B2048" s="3" t="s">
        <v>189</v>
      </c>
      <c r="C2048" s="3" t="s">
        <v>190</v>
      </c>
      <c r="D2048" s="3" t="s">
        <v>5562</v>
      </c>
      <c r="E2048" s="3" t="s">
        <v>5534</v>
      </c>
      <c r="F2048" s="3" t="s">
        <v>5535</v>
      </c>
      <c r="G2048" s="3" t="str">
        <f>IFERROR(__xludf.DUMMYFUNCTION("GOOGLETRANSLATE(D2048,""fr"",""es"")"),"proyecciones")</f>
        <v>proyecciones</v>
      </c>
    </row>
    <row r="2049">
      <c r="A2049" s="3">
        <v>2027.0</v>
      </c>
      <c r="B2049" s="3" t="s">
        <v>189</v>
      </c>
      <c r="C2049" s="3" t="s">
        <v>190</v>
      </c>
      <c r="D2049" s="3" t="s">
        <v>5563</v>
      </c>
      <c r="E2049" s="3" t="s">
        <v>1418</v>
      </c>
      <c r="F2049" s="3" t="s">
        <v>1419</v>
      </c>
      <c r="G2049" s="3" t="str">
        <f>IFERROR(__xludf.DUMMYFUNCTION("GOOGLETRANSLATE(D2049,""fr"",""es"")"),"saludable")</f>
        <v>saludable</v>
      </c>
    </row>
    <row r="2050">
      <c r="A2050" s="3">
        <v>2028.0</v>
      </c>
      <c r="B2050" s="3" t="s">
        <v>189</v>
      </c>
      <c r="C2050" s="3" t="s">
        <v>190</v>
      </c>
      <c r="D2050" s="3" t="s">
        <v>5564</v>
      </c>
      <c r="E2050" s="3" t="s">
        <v>1418</v>
      </c>
      <c r="F2050" s="3" t="s">
        <v>1419</v>
      </c>
      <c r="G2050" s="3" t="str">
        <f>IFERROR(__xludf.DUMMYFUNCTION("GOOGLETRANSLATE(D2050,""fr"",""es"")"),"saludable")</f>
        <v>saludable</v>
      </c>
    </row>
    <row r="2051">
      <c r="A2051" s="3">
        <v>2029.0</v>
      </c>
      <c r="B2051" s="3" t="s">
        <v>189</v>
      </c>
      <c r="C2051" s="3" t="s">
        <v>190</v>
      </c>
      <c r="D2051" s="3" t="s">
        <v>5565</v>
      </c>
      <c r="E2051" s="3" t="s">
        <v>1435</v>
      </c>
      <c r="F2051" s="3" t="s">
        <v>178</v>
      </c>
      <c r="G2051" s="3" t="str">
        <f>IFERROR(__xludf.DUMMYFUNCTION("GOOGLETRANSLATE(D2051,""fr"",""es"")"),"saber")</f>
        <v>saber</v>
      </c>
    </row>
    <row r="2052">
      <c r="A2052" s="3">
        <v>2030.0</v>
      </c>
      <c r="B2052" s="3" t="s">
        <v>189</v>
      </c>
      <c r="C2052" s="3" t="s">
        <v>190</v>
      </c>
      <c r="D2052" s="3" t="s">
        <v>5566</v>
      </c>
      <c r="E2052" s="3" t="s">
        <v>1435</v>
      </c>
      <c r="F2052" s="3" t="s">
        <v>178</v>
      </c>
      <c r="G2052" s="3" t="str">
        <f>IFERROR(__xludf.DUMMYFUNCTION("GOOGLETRANSLATE(D2052,""fr"",""es"")"),"saber")</f>
        <v>saber</v>
      </c>
    </row>
    <row r="2053">
      <c r="A2053" s="3">
        <v>2031.0</v>
      </c>
      <c r="B2053" s="3" t="s">
        <v>189</v>
      </c>
      <c r="C2053" s="3" t="s">
        <v>190</v>
      </c>
      <c r="D2053" s="3" t="s">
        <v>5567</v>
      </c>
      <c r="E2053" s="3" t="s">
        <v>5568</v>
      </c>
      <c r="F2053" s="3" t="s">
        <v>5569</v>
      </c>
      <c r="G2053" s="3" t="str">
        <f>IFERROR(__xludf.DUMMYFUNCTION("GOOGLETRANSLATE(D2053,""fr"",""es"")"),"salaz")</f>
        <v>salaz</v>
      </c>
      <c r="H2053" s="3" t="s">
        <v>5570</v>
      </c>
      <c r="I2053" s="3" t="s">
        <v>5571</v>
      </c>
      <c r="J2053" s="3" t="s">
        <v>5572</v>
      </c>
      <c r="K2053" s="3" t="s">
        <v>5573</v>
      </c>
      <c r="L2053" s="3" t="s">
        <v>5574</v>
      </c>
      <c r="M2053" s="3" t="s">
        <v>5575</v>
      </c>
      <c r="N2053" s="3" t="s">
        <v>5576</v>
      </c>
      <c r="O2053" s="3" t="s">
        <v>5573</v>
      </c>
    </row>
    <row r="2054">
      <c r="A2054" s="3">
        <v>2032.0</v>
      </c>
      <c r="B2054" s="3" t="s">
        <v>189</v>
      </c>
      <c r="C2054" s="3" t="s">
        <v>190</v>
      </c>
      <c r="D2054" s="3" t="s">
        <v>5577</v>
      </c>
      <c r="E2054" s="3" t="s">
        <v>5568</v>
      </c>
      <c r="F2054" s="3" t="s">
        <v>5569</v>
      </c>
      <c r="G2054" s="3" t="str">
        <f>IFERROR(__xludf.DUMMYFUNCTION("GOOGLETRANSLATE(D2054,""fr"",""es"")"),"salarios")</f>
        <v>salarios</v>
      </c>
    </row>
    <row r="2055">
      <c r="A2055" s="3">
        <v>2033.0</v>
      </c>
      <c r="B2055" s="3" t="s">
        <v>189</v>
      </c>
      <c r="C2055" s="3" t="s">
        <v>190</v>
      </c>
      <c r="D2055" s="3" t="s">
        <v>5578</v>
      </c>
      <c r="E2055" s="3" t="s">
        <v>5579</v>
      </c>
      <c r="F2055" s="3" t="s">
        <v>5580</v>
      </c>
      <c r="G2055" s="3" t="str">
        <f>IFERROR(__xludf.DUMMYFUNCTION("GOOGLETRANSLATE(D2055,""fr"",""es"")"),"Sa Salai")</f>
        <v>Sa Salai</v>
      </c>
    </row>
    <row r="2056">
      <c r="A2056" s="3">
        <v>2034.0</v>
      </c>
      <c r="B2056" s="3" t="s">
        <v>189</v>
      </c>
      <c r="C2056" s="3" t="s">
        <v>190</v>
      </c>
      <c r="D2056" s="3" t="s">
        <v>5581</v>
      </c>
      <c r="E2056" s="3" t="s">
        <v>5579</v>
      </c>
      <c r="F2056" s="3" t="s">
        <v>5580</v>
      </c>
      <c r="G2056" s="3" t="str">
        <f>IFERROR(__xludf.DUMMYFUNCTION("GOOGLETRANSLATE(D2056,""fr"",""es"")"),"derrocamiento")</f>
        <v>derrocamiento</v>
      </c>
    </row>
    <row r="2057">
      <c r="A2057" s="3">
        <v>2035.0</v>
      </c>
      <c r="B2057" s="3" t="s">
        <v>189</v>
      </c>
      <c r="C2057" s="3" t="s">
        <v>190</v>
      </c>
      <c r="D2057" s="3" t="s">
        <v>5582</v>
      </c>
      <c r="E2057" s="3" t="s">
        <v>5579</v>
      </c>
      <c r="F2057" s="3" t="s">
        <v>5580</v>
      </c>
      <c r="G2057" s="3" t="str">
        <f>IFERROR(__xludf.DUMMYFUNCTION("GOOGLETRANSLATE(D2057,""fr"",""es"")"),"cubierto")</f>
        <v>cubierto</v>
      </c>
    </row>
    <row r="2058">
      <c r="A2058" s="3">
        <v>2036.0</v>
      </c>
      <c r="B2058" s="3" t="s">
        <v>189</v>
      </c>
      <c r="C2058" s="3" t="s">
        <v>190</v>
      </c>
      <c r="D2058" s="3" t="s">
        <v>5583</v>
      </c>
      <c r="E2058" s="3" t="s">
        <v>5579</v>
      </c>
      <c r="F2058" s="3" t="s">
        <v>5580</v>
      </c>
      <c r="G2058" s="3" t="str">
        <f>IFERROR(__xludf.DUMMYFUNCTION("GOOGLETRANSLATE(D2058,""fr"",""es"")"),"pan de molde")</f>
        <v>pan de molde</v>
      </c>
    </row>
    <row r="2059">
      <c r="A2059" s="3">
        <v>2037.0</v>
      </c>
      <c r="B2059" s="3" t="s">
        <v>189</v>
      </c>
      <c r="C2059" s="3" t="s">
        <v>190</v>
      </c>
      <c r="D2059" s="3" t="s">
        <v>5584</v>
      </c>
      <c r="E2059" s="3" t="s">
        <v>5585</v>
      </c>
      <c r="F2059" s="3" t="s">
        <v>5586</v>
      </c>
      <c r="G2059" s="3" t="str">
        <f>IFERROR(__xludf.DUMMYFUNCTION("GOOGLETRANSLATE(D2059,""fr"",""es"")"),"Salamalecs")</f>
        <v>Salamalecs</v>
      </c>
    </row>
    <row r="2060">
      <c r="A2060" s="3">
        <v>2038.0</v>
      </c>
      <c r="B2060" s="3" t="s">
        <v>189</v>
      </c>
      <c r="C2060" s="3" t="s">
        <v>190</v>
      </c>
      <c r="D2060" s="3" t="s">
        <v>5587</v>
      </c>
      <c r="E2060" s="3" t="s">
        <v>5588</v>
      </c>
      <c r="F2060" s="3" t="s">
        <v>5589</v>
      </c>
      <c r="G2060" s="3" t="str">
        <f>IFERROR(__xludf.DUMMYFUNCTION("GOOGLETRANSLATE(D2060,""fr"",""es"")"),"salmes")</f>
        <v>salmes</v>
      </c>
    </row>
    <row r="2061">
      <c r="A2061" s="3">
        <v>2039.0</v>
      </c>
      <c r="B2061" s="3" t="s">
        <v>189</v>
      </c>
      <c r="C2061" s="3" t="s">
        <v>190</v>
      </c>
      <c r="D2061" s="3" t="s">
        <v>5590</v>
      </c>
      <c r="E2061" s="3" t="s">
        <v>5591</v>
      </c>
      <c r="F2061" s="3" t="s">
        <v>5590</v>
      </c>
      <c r="G2061" s="3" t="str">
        <f>IFERROR(__xludf.DUMMYFUNCTION("GOOGLETRANSLATE(D2061,""fr"",""es"")"),"salami")</f>
        <v>salami</v>
      </c>
      <c r="H2061" s="3" t="s">
        <v>5590</v>
      </c>
    </row>
    <row r="2062">
      <c r="A2062" s="3">
        <v>2040.0</v>
      </c>
      <c r="B2062" s="3" t="s">
        <v>189</v>
      </c>
      <c r="C2062" s="3" t="s">
        <v>190</v>
      </c>
      <c r="D2062" s="3" t="s">
        <v>5592</v>
      </c>
      <c r="E2062" s="3" t="s">
        <v>5591</v>
      </c>
      <c r="F2062" s="3" t="s">
        <v>5590</v>
      </c>
      <c r="G2062" s="3" t="str">
        <f>IFERROR(__xludf.DUMMYFUNCTION("GOOGLETRANSLATE(D2062,""fr"",""es"")"),"salamis")</f>
        <v>salamis</v>
      </c>
    </row>
    <row r="2063">
      <c r="A2063" s="3">
        <v>2041.0</v>
      </c>
      <c r="B2063" s="3" t="s">
        <v>189</v>
      </c>
      <c r="C2063" s="3" t="s">
        <v>190</v>
      </c>
      <c r="D2063" s="3" t="s">
        <v>5593</v>
      </c>
      <c r="E2063" s="3" t="s">
        <v>5568</v>
      </c>
      <c r="F2063" s="3" t="s">
        <v>5569</v>
      </c>
      <c r="G2063" s="3" t="str">
        <f>IFERROR(__xludf.DUMMYFUNCTION("GOOGLETRANSLATE(D2063,""fr"",""es"")"),"bastardo")</f>
        <v>bastardo</v>
      </c>
    </row>
    <row r="2064">
      <c r="A2064" s="3">
        <v>2042.0</v>
      </c>
      <c r="B2064" s="3" t="s">
        <v>189</v>
      </c>
      <c r="C2064" s="3" t="s">
        <v>190</v>
      </c>
      <c r="D2064" s="3" t="s">
        <v>5594</v>
      </c>
      <c r="E2064" s="3" t="s">
        <v>5568</v>
      </c>
      <c r="F2064" s="3" t="s">
        <v>5569</v>
      </c>
      <c r="G2064" s="3" t="str">
        <f>IFERROR(__xludf.DUMMYFUNCTION("GOOGLETRANSLATE(D2064,""fr"",""es"")"),"apenas")</f>
        <v>apenas</v>
      </c>
    </row>
    <row r="2065">
      <c r="A2065" s="3">
        <v>2043.0</v>
      </c>
      <c r="B2065" s="3" t="s">
        <v>189</v>
      </c>
      <c r="C2065" s="3" t="s">
        <v>190</v>
      </c>
      <c r="D2065" s="3" t="s">
        <v>5595</v>
      </c>
      <c r="E2065" s="3" t="s">
        <v>5568</v>
      </c>
      <c r="F2065" s="3" t="s">
        <v>5569</v>
      </c>
      <c r="G2065" s="3" t="str">
        <f>IFERROR(__xludf.DUMMYFUNCTION("GOOGLETRANSLATE(D2065,""fr"",""es"")"),"salas")</f>
        <v>salas</v>
      </c>
    </row>
    <row r="2066">
      <c r="A2066" s="3">
        <v>2044.0</v>
      </c>
      <c r="B2066" s="3" t="s">
        <v>189</v>
      </c>
      <c r="C2066" s="3" t="s">
        <v>190</v>
      </c>
      <c r="D2066" s="3" t="s">
        <v>5596</v>
      </c>
      <c r="E2066" s="3" t="s">
        <v>1411</v>
      </c>
      <c r="F2066" s="3" t="s">
        <v>1412</v>
      </c>
      <c r="G2066" s="3" t="str">
        <f>IFERROR(__xludf.DUMMYFUNCTION("GOOGLETRANSLATE(D2066,""fr"",""es"")"),"sucio")</f>
        <v>sucio</v>
      </c>
      <c r="H2066" s="3" t="s">
        <v>5597</v>
      </c>
      <c r="I2066" s="3" t="s">
        <v>5597</v>
      </c>
      <c r="J2066" s="3" t="s">
        <v>5598</v>
      </c>
      <c r="K2066" s="3" t="s">
        <v>5599</v>
      </c>
      <c r="L2066" s="3" t="s">
        <v>5597</v>
      </c>
      <c r="M2066" s="3" t="s">
        <v>5597</v>
      </c>
      <c r="N2066" s="3" t="s">
        <v>5600</v>
      </c>
      <c r="O2066" s="3" t="s">
        <v>5597</v>
      </c>
      <c r="P2066" s="3" t="s">
        <v>3067</v>
      </c>
      <c r="Q2066" s="3" t="s">
        <v>5601</v>
      </c>
      <c r="R2066" s="3" t="s">
        <v>5597</v>
      </c>
      <c r="S2066" s="3" t="s">
        <v>5602</v>
      </c>
      <c r="T2066" s="3" t="s">
        <v>5603</v>
      </c>
      <c r="U2066" s="3" t="s">
        <v>5604</v>
      </c>
      <c r="V2066" s="3" t="s">
        <v>5597</v>
      </c>
      <c r="W2066" s="3" t="s">
        <v>5597</v>
      </c>
      <c r="X2066" s="3" t="s">
        <v>5605</v>
      </c>
      <c r="Y2066" s="3" t="s">
        <v>5597</v>
      </c>
      <c r="Z2066" s="3" t="s">
        <v>5602</v>
      </c>
      <c r="AA2066" s="3" t="s">
        <v>5606</v>
      </c>
      <c r="AB2066" s="3" t="s">
        <v>5597</v>
      </c>
      <c r="AC2066" s="3" t="s">
        <v>5607</v>
      </c>
      <c r="AD2066" s="3" t="s">
        <v>5608</v>
      </c>
      <c r="AE2066" s="3" t="s">
        <v>5597</v>
      </c>
      <c r="AF2066" s="3" t="s">
        <v>5609</v>
      </c>
      <c r="AG2066" s="3" t="s">
        <v>5610</v>
      </c>
      <c r="AH2066" s="3" t="s">
        <v>5611</v>
      </c>
      <c r="AI2066" s="3" t="s">
        <v>5597</v>
      </c>
      <c r="AJ2066" s="3" t="s">
        <v>5612</v>
      </c>
    </row>
    <row r="2067">
      <c r="A2067" s="3">
        <v>2045.0</v>
      </c>
      <c r="B2067" s="3" t="s">
        <v>189</v>
      </c>
      <c r="C2067" s="3" t="s">
        <v>190</v>
      </c>
      <c r="D2067" s="3" t="s">
        <v>5613</v>
      </c>
      <c r="E2067" s="3" t="s">
        <v>1411</v>
      </c>
      <c r="F2067" s="3" t="s">
        <v>1412</v>
      </c>
      <c r="G2067" s="3" t="str">
        <f>IFERROR(__xludf.DUMMYFUNCTION("GOOGLETRANSLATE(D2067,""fr"",""es"")"),"sal")</f>
        <v>sal</v>
      </c>
    </row>
    <row r="2068">
      <c r="A2068" s="3">
        <v>2046.0</v>
      </c>
      <c r="B2068" s="3" t="s">
        <v>189</v>
      </c>
      <c r="C2068" s="3" t="s">
        <v>190</v>
      </c>
      <c r="D2068" s="3" t="s">
        <v>5614</v>
      </c>
      <c r="E2068" s="3" t="s">
        <v>1411</v>
      </c>
      <c r="F2068" s="3" t="s">
        <v>1412</v>
      </c>
      <c r="G2068" s="3" t="str">
        <f>IFERROR(__xludf.DUMMYFUNCTION("GOOGLETRANSLATE(D2068,""fr"",""es"")"),"sucio")</f>
        <v>sucio</v>
      </c>
    </row>
    <row r="2069">
      <c r="A2069" s="3">
        <v>2047.0</v>
      </c>
      <c r="B2069" s="3" t="s">
        <v>189</v>
      </c>
      <c r="C2069" s="3" t="s">
        <v>190</v>
      </c>
      <c r="D2069" s="3" t="s">
        <v>5615</v>
      </c>
      <c r="E2069" s="3" t="s">
        <v>5616</v>
      </c>
      <c r="F2069" s="3" t="s">
        <v>5615</v>
      </c>
      <c r="G2069" s="3" t="str">
        <f>IFERROR(__xludf.DUMMYFUNCTION("GOOGLETRANSLATE(D2069,""fr"",""es"")"),"sal")</f>
        <v>sal</v>
      </c>
    </row>
    <row r="2070">
      <c r="A2070" s="3">
        <v>2048.0</v>
      </c>
      <c r="B2070" s="3" t="s">
        <v>189</v>
      </c>
      <c r="C2070" s="3" t="s">
        <v>190</v>
      </c>
      <c r="D2070" s="3" t="s">
        <v>5617</v>
      </c>
      <c r="E2070" s="3" t="s">
        <v>5618</v>
      </c>
      <c r="F2070" s="3" t="s">
        <v>5619</v>
      </c>
      <c r="G2070" s="3" t="str">
        <f>IFERROR(__xludf.DUMMYFUNCTION("GOOGLETRANSLATE(D2070,""fr"",""es"")"),"salicílico")</f>
        <v>salicílico</v>
      </c>
    </row>
    <row r="2071">
      <c r="A2071" s="3">
        <v>2049.0</v>
      </c>
      <c r="B2071" s="3" t="s">
        <v>189</v>
      </c>
      <c r="C2071" s="3" t="s">
        <v>190</v>
      </c>
      <c r="D2071" s="3" t="s">
        <v>5620</v>
      </c>
      <c r="E2071" s="3" t="s">
        <v>5618</v>
      </c>
      <c r="F2071" s="3" t="s">
        <v>5619</v>
      </c>
      <c r="G2071" s="3" t="str">
        <f>IFERROR(__xludf.DUMMYFUNCTION("GOOGLETRANSLATE(D2071,""fr"",""es"")"),"salicílico")</f>
        <v>salicílico</v>
      </c>
    </row>
    <row r="2072">
      <c r="A2072" s="3">
        <v>2050.0</v>
      </c>
      <c r="B2072" s="3" t="s">
        <v>189</v>
      </c>
      <c r="C2072" s="3" t="s">
        <v>190</v>
      </c>
      <c r="D2072" s="3" t="s">
        <v>5621</v>
      </c>
      <c r="E2072" s="3" t="s">
        <v>5616</v>
      </c>
      <c r="F2072" s="3" t="s">
        <v>5615</v>
      </c>
      <c r="G2072" s="3" t="str">
        <f>IFERROR(__xludf.DUMMYFUNCTION("GOOGLETRANSLATE(D2072,""fr"",""es"")"),"sucio")</f>
        <v>sucio</v>
      </c>
    </row>
    <row r="2073">
      <c r="A2073" s="3">
        <v>2051.0</v>
      </c>
      <c r="B2073" s="3" t="s">
        <v>189</v>
      </c>
      <c r="C2073" s="3" t="s">
        <v>190</v>
      </c>
      <c r="D2073" s="3" t="s">
        <v>5622</v>
      </c>
      <c r="E2073" s="3" t="s">
        <v>5616</v>
      </c>
      <c r="F2073" s="3" t="s">
        <v>5615</v>
      </c>
      <c r="G2073" s="3" t="str">
        <f>IFERROR(__xludf.DUMMYFUNCTION("GOOGLETRANSLATE(D2073,""fr"",""es"")"),"sucio")</f>
        <v>sucio</v>
      </c>
    </row>
    <row r="2074">
      <c r="A2074" s="3">
        <v>2052.0</v>
      </c>
      <c r="B2074" s="3" t="s">
        <v>189</v>
      </c>
      <c r="C2074" s="3" t="s">
        <v>190</v>
      </c>
      <c r="D2074" s="3" t="s">
        <v>5623</v>
      </c>
      <c r="E2074" s="3" t="s">
        <v>5624</v>
      </c>
      <c r="F2074" s="3" t="s">
        <v>5625</v>
      </c>
      <c r="G2074" s="3" t="str">
        <f>IFERROR(__xludf.DUMMYFUNCTION("GOOGLETRANSLATE(D2074,""fr"",""es"")"),"salado")</f>
        <v>salado</v>
      </c>
    </row>
    <row r="2075">
      <c r="A2075" s="3">
        <v>2053.0</v>
      </c>
      <c r="B2075" s="3" t="s">
        <v>189</v>
      </c>
      <c r="C2075" s="3" t="s">
        <v>190</v>
      </c>
      <c r="D2075" s="3" t="s">
        <v>5626</v>
      </c>
      <c r="E2075" s="3" t="s">
        <v>5627</v>
      </c>
      <c r="F2075" s="3" t="s">
        <v>5628</v>
      </c>
      <c r="G2075" s="3" t="str">
        <f>IFERROR(__xludf.DUMMYFUNCTION("GOOGLETRANSLATE(D2075,""fr"",""es"")"),"salina")</f>
        <v>salina</v>
      </c>
    </row>
    <row r="2076">
      <c r="A2076" s="3">
        <v>2054.0</v>
      </c>
      <c r="B2076" s="3" t="s">
        <v>189</v>
      </c>
      <c r="C2076" s="3" t="s">
        <v>190</v>
      </c>
      <c r="D2076" s="3" t="s">
        <v>5629</v>
      </c>
      <c r="E2076" s="3" t="s">
        <v>5627</v>
      </c>
      <c r="F2076" s="3" t="s">
        <v>5628</v>
      </c>
      <c r="G2076" s="3" t="str">
        <f>IFERROR(__xludf.DUMMYFUNCTION("GOOGLETRANSLATE(D2076,""fr"",""es"")"),"salina")</f>
        <v>salina</v>
      </c>
    </row>
    <row r="2077">
      <c r="A2077" s="3">
        <v>2055.0</v>
      </c>
      <c r="B2077" s="3" t="s">
        <v>189</v>
      </c>
      <c r="C2077" s="3" t="s">
        <v>190</v>
      </c>
      <c r="D2077" s="3" t="s">
        <v>5630</v>
      </c>
      <c r="E2077" s="3" t="s">
        <v>5631</v>
      </c>
      <c r="F2077" s="3" t="s">
        <v>5632</v>
      </c>
      <c r="G2077" s="3" t="str">
        <f>IFERROR(__xludf.DUMMYFUNCTION("GOOGLETRANSLATE(D2077,""fr"",""es"")"),"sálico")</f>
        <v>sálico</v>
      </c>
    </row>
    <row r="2078">
      <c r="A2078" s="3">
        <v>2056.0</v>
      </c>
      <c r="B2078" s="3" t="s">
        <v>189</v>
      </c>
      <c r="C2078" s="3" t="s">
        <v>190</v>
      </c>
      <c r="D2078" s="3" t="s">
        <v>5633</v>
      </c>
      <c r="E2078" s="3" t="s">
        <v>5631</v>
      </c>
      <c r="F2078" s="3" t="s">
        <v>5632</v>
      </c>
      <c r="G2078" s="3" t="str">
        <f>IFERROR(__xludf.DUMMYFUNCTION("GOOGLETRANSLATE(D2078,""fr"",""es"")"),"que se puede tener un sorbo")</f>
        <v>que se puede tener un sorbo</v>
      </c>
    </row>
    <row r="2079">
      <c r="A2079" s="3">
        <v>2057.0</v>
      </c>
      <c r="B2079" s="3" t="s">
        <v>189</v>
      </c>
      <c r="C2079" s="3" t="s">
        <v>190</v>
      </c>
      <c r="D2079" s="3" t="s">
        <v>5634</v>
      </c>
      <c r="E2079" s="3" t="s">
        <v>5616</v>
      </c>
      <c r="F2079" s="3" t="s">
        <v>5615</v>
      </c>
      <c r="G2079" s="3" t="str">
        <f>IFERROR(__xludf.DUMMYFUNCTION("GOOGLETRANSLATE(D2079,""fr"",""es"")"),"salis")</f>
        <v>salis</v>
      </c>
    </row>
    <row r="2080">
      <c r="A2080" s="3">
        <v>2058.0</v>
      </c>
      <c r="B2080" s="3" t="s">
        <v>189</v>
      </c>
      <c r="C2080" s="3" t="s">
        <v>190</v>
      </c>
      <c r="D2080" s="3" t="s">
        <v>5635</v>
      </c>
      <c r="E2080" s="3" t="s">
        <v>5636</v>
      </c>
      <c r="F2080" s="3" t="s">
        <v>5637</v>
      </c>
      <c r="G2080" s="3" t="str">
        <f>IFERROR(__xludf.DUMMYFUNCTION("GOOGLETRANSLATE(D2080,""fr"",""es"")"),"sucio")</f>
        <v>sucio</v>
      </c>
    </row>
    <row r="2081">
      <c r="A2081" s="3">
        <v>2059.0</v>
      </c>
      <c r="B2081" s="3" t="s">
        <v>189</v>
      </c>
      <c r="C2081" s="3" t="s">
        <v>190</v>
      </c>
      <c r="D2081" s="3" t="s">
        <v>5638</v>
      </c>
      <c r="E2081" s="3" t="s">
        <v>5636</v>
      </c>
      <c r="F2081" s="3" t="s">
        <v>5637</v>
      </c>
      <c r="G2081" s="3" t="str">
        <f>IFERROR(__xludf.DUMMYFUNCTION("GOOGLETRANSLATE(D2081,""fr"",""es"")"),"sassais")</f>
        <v>sassais</v>
      </c>
    </row>
    <row r="2082">
      <c r="A2082" s="3">
        <v>2060.0</v>
      </c>
      <c r="B2082" s="3" t="s">
        <v>189</v>
      </c>
      <c r="C2082" s="3" t="s">
        <v>190</v>
      </c>
      <c r="D2082" s="3" t="s">
        <v>5639</v>
      </c>
      <c r="E2082" s="3" t="s">
        <v>5636</v>
      </c>
      <c r="F2082" s="3" t="s">
        <v>5637</v>
      </c>
      <c r="G2082" s="3" t="str">
        <f>IFERROR(__xludf.DUMMYFUNCTION("GOOGLETRANSLATE(D2082,""fr"",""es"")"),"sucio")</f>
        <v>sucio</v>
      </c>
    </row>
    <row r="2083">
      <c r="A2083" s="3">
        <v>2061.0</v>
      </c>
      <c r="B2083" s="3" t="s">
        <v>189</v>
      </c>
      <c r="C2083" s="3" t="s">
        <v>190</v>
      </c>
      <c r="D2083" s="3" t="s">
        <v>5640</v>
      </c>
      <c r="E2083" s="3" t="s">
        <v>5641</v>
      </c>
      <c r="F2083" s="3" t="s">
        <v>5634</v>
      </c>
      <c r="G2083" s="3" t="str">
        <f>IFERROR(__xludf.DUMMYFUNCTION("GOOGLETRANSLATE(D2083,""fr"",""es"")"),"salisco")</f>
        <v>salisco</v>
      </c>
    </row>
    <row r="2084">
      <c r="A2084" s="3">
        <v>2062.0</v>
      </c>
      <c r="B2084" s="3" t="s">
        <v>189</v>
      </c>
      <c r="C2084" s="3" t="s">
        <v>190</v>
      </c>
      <c r="D2084" s="3" t="s">
        <v>5642</v>
      </c>
      <c r="E2084" s="3" t="s">
        <v>5641</v>
      </c>
      <c r="F2084" s="3" t="s">
        <v>5634</v>
      </c>
      <c r="G2084" s="3" t="str">
        <f>IFERROR(__xludf.DUMMYFUNCTION("GOOGLETRANSLATE(D2084,""fr"",""es"")"),"sucio")</f>
        <v>sucio</v>
      </c>
    </row>
    <row r="2085">
      <c r="A2085" s="3">
        <v>2063.0</v>
      </c>
      <c r="B2085" s="3" t="s">
        <v>189</v>
      </c>
      <c r="C2085" s="3" t="s">
        <v>190</v>
      </c>
      <c r="D2085" s="3" t="s">
        <v>5643</v>
      </c>
      <c r="E2085" s="3" t="s">
        <v>5641</v>
      </c>
      <c r="F2085" s="3" t="s">
        <v>5634</v>
      </c>
      <c r="G2085" s="3" t="str">
        <f>IFERROR(__xludf.DUMMYFUNCTION("GOOGLETRANSLATE(D2085,""fr"",""es"")"),"pasión")</f>
        <v>pasión</v>
      </c>
    </row>
    <row r="2086">
      <c r="A2086" s="3">
        <v>2064.0</v>
      </c>
      <c r="B2086" s="3" t="s">
        <v>189</v>
      </c>
      <c r="C2086" s="3" t="s">
        <v>190</v>
      </c>
      <c r="D2086" s="3" t="s">
        <v>5644</v>
      </c>
      <c r="E2086" s="3" t="s">
        <v>5616</v>
      </c>
      <c r="F2086" s="3" t="s">
        <v>5615</v>
      </c>
      <c r="G2086" s="3" t="str">
        <f>IFERROR(__xludf.DUMMYFUNCTION("GOOGLETRANSLATE(D2086,""fr"",""es"")"),"sucio")</f>
        <v>sucio</v>
      </c>
    </row>
    <row r="2087">
      <c r="A2087" s="3">
        <v>2065.0</v>
      </c>
      <c r="B2087" s="3" t="s">
        <v>189</v>
      </c>
      <c r="C2087" s="3" t="s">
        <v>190</v>
      </c>
      <c r="D2087" s="3" t="s">
        <v>5645</v>
      </c>
      <c r="E2087" s="3" t="s">
        <v>5616</v>
      </c>
      <c r="F2087" s="3" t="s">
        <v>5615</v>
      </c>
      <c r="G2087" s="3" t="str">
        <f>IFERROR(__xludf.DUMMYFUNCTION("GOOGLETRANSLATE(D2087,""fr"",""es"")"),"sucio")</f>
        <v>sucio</v>
      </c>
    </row>
    <row r="2088">
      <c r="A2088" s="3">
        <v>2066.0</v>
      </c>
      <c r="B2088" s="3" t="s">
        <v>189</v>
      </c>
      <c r="C2088" s="3" t="s">
        <v>190</v>
      </c>
      <c r="D2088" s="3" t="s">
        <v>5646</v>
      </c>
      <c r="E2088" s="3" t="s">
        <v>1411</v>
      </c>
      <c r="F2088" s="3" t="s">
        <v>1412</v>
      </c>
      <c r="G2088" s="3" t="str">
        <f>IFERROR(__xludf.DUMMYFUNCTION("GOOGLETRANSLATE(D2088,""fr"",""es"")"),"Sala")</f>
        <v>Sala</v>
      </c>
      <c r="H2088" s="3" t="s">
        <v>5647</v>
      </c>
      <c r="I2088" s="3" t="s">
        <v>5648</v>
      </c>
      <c r="J2088" s="3" t="s">
        <v>5649</v>
      </c>
      <c r="K2088" s="3" t="s">
        <v>5650</v>
      </c>
      <c r="L2088" s="3" t="s">
        <v>5651</v>
      </c>
      <c r="M2088" s="3" t="s">
        <v>5652</v>
      </c>
      <c r="N2088" s="3" t="s">
        <v>5647</v>
      </c>
      <c r="O2088" s="3" t="s">
        <v>5653</v>
      </c>
      <c r="P2088" s="3" t="s">
        <v>5654</v>
      </c>
      <c r="Q2088" s="3" t="s">
        <v>5655</v>
      </c>
      <c r="R2088" s="3" t="s">
        <v>5647</v>
      </c>
      <c r="S2088" s="3" t="s">
        <v>5647</v>
      </c>
      <c r="T2088" s="3" t="s">
        <v>5656</v>
      </c>
      <c r="U2088" s="3" t="s">
        <v>5649</v>
      </c>
      <c r="V2088" s="3" t="s">
        <v>5655</v>
      </c>
      <c r="W2088" s="3" t="s">
        <v>5657</v>
      </c>
      <c r="X2088" s="3" t="s">
        <v>5647</v>
      </c>
      <c r="Y2088" s="3" t="s">
        <v>4389</v>
      </c>
      <c r="Z2088" s="3" t="s">
        <v>4392</v>
      </c>
      <c r="AA2088" s="3" t="s">
        <v>4393</v>
      </c>
      <c r="AB2088" s="3" t="s">
        <v>4394</v>
      </c>
      <c r="AC2088" s="3" t="s">
        <v>4395</v>
      </c>
      <c r="AD2088" s="3" t="s">
        <v>4396</v>
      </c>
      <c r="AE2088" s="3" t="s">
        <v>4397</v>
      </c>
      <c r="AF2088" s="3" t="s">
        <v>5649</v>
      </c>
      <c r="AG2088" s="3" t="s">
        <v>5658</v>
      </c>
      <c r="AH2088" s="3" t="s">
        <v>5647</v>
      </c>
      <c r="AI2088" s="3" t="s">
        <v>4389</v>
      </c>
      <c r="AJ2088" s="3" t="s">
        <v>5649</v>
      </c>
    </row>
    <row r="2089">
      <c r="A2089" s="3">
        <v>2067.0</v>
      </c>
      <c r="B2089" s="3" t="s">
        <v>189</v>
      </c>
      <c r="C2089" s="3" t="s">
        <v>190</v>
      </c>
      <c r="D2089" s="3" t="s">
        <v>5659</v>
      </c>
      <c r="E2089" s="3" t="s">
        <v>1411</v>
      </c>
      <c r="F2089" s="3" t="s">
        <v>1412</v>
      </c>
      <c r="G2089" s="3" t="str">
        <f>IFERROR(__xludf.DUMMYFUNCTION("GOOGLETRANSLATE(D2089,""fr"",""es"")"),"habitaciones")</f>
        <v>habitaciones</v>
      </c>
    </row>
    <row r="2090">
      <c r="A2090" s="3">
        <v>2068.0</v>
      </c>
      <c r="B2090" s="3" t="s">
        <v>189</v>
      </c>
      <c r="C2090" s="3" t="s">
        <v>190</v>
      </c>
      <c r="D2090" s="3" t="s">
        <v>5660</v>
      </c>
      <c r="E2090" s="3" t="s">
        <v>5661</v>
      </c>
      <c r="F2090" s="3" t="s">
        <v>5662</v>
      </c>
      <c r="G2090" s="3" t="str">
        <f>IFERROR(__xludf.DUMMYFUNCTION("GOOGLETRANSLATE(D2090,""fr"",""es"")"),"salón")</f>
        <v>salón</v>
      </c>
    </row>
    <row r="2091">
      <c r="A2091" s="3">
        <v>2069.0</v>
      </c>
      <c r="B2091" s="3" t="s">
        <v>189</v>
      </c>
      <c r="C2091" s="3" t="s">
        <v>190</v>
      </c>
      <c r="D2091" s="3" t="s">
        <v>5663</v>
      </c>
      <c r="E2091" s="3" t="s">
        <v>5661</v>
      </c>
      <c r="F2091" s="3" t="s">
        <v>5662</v>
      </c>
      <c r="G2091" s="3" t="str">
        <f>IFERROR(__xludf.DUMMYFUNCTION("GOOGLETRANSLATE(D2091,""fr"",""es"")"),"salones")</f>
        <v>salones</v>
      </c>
    </row>
    <row r="2092">
      <c r="A2092" s="3">
        <v>2070.0</v>
      </c>
      <c r="B2092" s="3" t="s">
        <v>189</v>
      </c>
      <c r="C2092" s="3" t="s">
        <v>190</v>
      </c>
      <c r="D2092" s="3" t="s">
        <v>5664</v>
      </c>
      <c r="E2092" s="3" t="s">
        <v>5665</v>
      </c>
      <c r="F2092" s="3" t="s">
        <v>5666</v>
      </c>
      <c r="G2092" s="3" t="str">
        <f>IFERROR(__xludf.DUMMYFUNCTION("GOOGLETRANSLATE(D2092,""fr"",""es"")"),"Se sentó")</f>
        <v>Se sentó</v>
      </c>
    </row>
    <row r="2093">
      <c r="A2093" s="3">
        <v>2071.0</v>
      </c>
      <c r="B2093" s="3" t="s">
        <v>189</v>
      </c>
      <c r="C2093" s="3" t="s">
        <v>190</v>
      </c>
      <c r="D2093" s="3" t="s">
        <v>5667</v>
      </c>
      <c r="E2093" s="3" t="s">
        <v>5668</v>
      </c>
      <c r="F2093" s="3" t="s">
        <v>5669</v>
      </c>
      <c r="G2093" s="3" t="str">
        <f>IFERROR(__xludf.DUMMYFUNCTION("GOOGLETRANSLATE(D2093,""fr"",""es"")"),"ebrio")</f>
        <v>ebrio</v>
      </c>
    </row>
    <row r="2094">
      <c r="A2094" s="3">
        <v>2072.0</v>
      </c>
      <c r="B2094" s="3" t="s">
        <v>189</v>
      </c>
      <c r="C2094" s="3" t="s">
        <v>190</v>
      </c>
      <c r="D2094" s="3" t="s">
        <v>5670</v>
      </c>
      <c r="E2094" s="3" t="s">
        <v>5671</v>
      </c>
      <c r="F2094" s="3" t="s">
        <v>5672</v>
      </c>
      <c r="G2094" s="3" t="str">
        <f>IFERROR(__xludf.DUMMYFUNCTION("GOOGLETRANSLATE(D2094,""fr"",""es"")"),"Saulai")</f>
        <v>Saulai</v>
      </c>
    </row>
    <row r="2095">
      <c r="A2095" s="3">
        <v>2073.0</v>
      </c>
      <c r="B2095" s="3" t="s">
        <v>189</v>
      </c>
      <c r="C2095" s="3" t="s">
        <v>190</v>
      </c>
      <c r="D2095" s="3" t="s">
        <v>5673</v>
      </c>
      <c r="E2095" s="3" t="s">
        <v>5671</v>
      </c>
      <c r="F2095" s="3" t="s">
        <v>5672</v>
      </c>
      <c r="G2095" s="3" t="str">
        <f>IFERROR(__xludf.DUMMYFUNCTION("GOOGLETRANSLATE(D2095,""fr"",""es"")"),"con cáscara")</f>
        <v>con cáscara</v>
      </c>
    </row>
    <row r="2096">
      <c r="A2096" s="3">
        <v>2074.0</v>
      </c>
      <c r="B2096" s="3" t="s">
        <v>189</v>
      </c>
      <c r="C2096" s="3" t="s">
        <v>190</v>
      </c>
      <c r="D2096" s="3" t="s">
        <v>5674</v>
      </c>
      <c r="E2096" s="3" t="s">
        <v>5671</v>
      </c>
      <c r="F2096" s="3" t="s">
        <v>5672</v>
      </c>
      <c r="G2096" s="3" t="str">
        <f>IFERROR(__xludf.DUMMYFUNCTION("GOOGLETRANSLATE(D2096,""fr"",""es"")"),"Saulais")</f>
        <v>Saulais</v>
      </c>
    </row>
    <row r="2097">
      <c r="A2097" s="3">
        <v>2075.0</v>
      </c>
      <c r="B2097" s="3" t="s">
        <v>189</v>
      </c>
      <c r="C2097" s="3" t="s">
        <v>190</v>
      </c>
      <c r="D2097" s="3" t="s">
        <v>5675</v>
      </c>
      <c r="E2097" s="3" t="s">
        <v>5671</v>
      </c>
      <c r="F2097" s="3" t="s">
        <v>5672</v>
      </c>
      <c r="G2097" s="3" t="str">
        <f>IFERROR(__xludf.DUMMYFUNCTION("GOOGLETRANSLATE(D2097,""fr"",""es"")"),"estaba borracho")</f>
        <v>estaba borracho</v>
      </c>
    </row>
    <row r="2098">
      <c r="A2098" s="3">
        <v>2076.0</v>
      </c>
      <c r="B2098" s="3" t="s">
        <v>189</v>
      </c>
      <c r="C2098" s="3" t="s">
        <v>190</v>
      </c>
      <c r="D2098" s="3" t="s">
        <v>5676</v>
      </c>
      <c r="E2098" s="3" t="s">
        <v>5677</v>
      </c>
      <c r="F2098" s="3" t="s">
        <v>5678</v>
      </c>
      <c r="G2098" s="3" t="str">
        <f>IFERROR(__xludf.DUMMYFUNCTION("GOOGLETRANSLATE(D2098,""fr"",""es"")"),"ebrio")</f>
        <v>ebrio</v>
      </c>
    </row>
    <row r="2099">
      <c r="A2099" s="3">
        <v>2077.0</v>
      </c>
      <c r="B2099" s="3" t="s">
        <v>189</v>
      </c>
      <c r="C2099" s="3" t="s">
        <v>190</v>
      </c>
      <c r="D2099" s="3" t="s">
        <v>5679</v>
      </c>
      <c r="E2099" s="3" t="s">
        <v>5680</v>
      </c>
      <c r="F2099" s="3" t="s">
        <v>5681</v>
      </c>
      <c r="G2099" s="3" t="str">
        <f>IFERROR(__xludf.DUMMYFUNCTION("GOOGLETRANSLATE(D2099,""fr"",""es"")"),"ebrio")</f>
        <v>ebrio</v>
      </c>
    </row>
    <row r="2100">
      <c r="A2100" s="3">
        <v>2078.0</v>
      </c>
      <c r="B2100" s="3" t="s">
        <v>189</v>
      </c>
      <c r="C2100" s="3" t="s">
        <v>190</v>
      </c>
      <c r="D2100" s="3" t="s">
        <v>5682</v>
      </c>
      <c r="E2100" s="3" t="s">
        <v>5680</v>
      </c>
      <c r="F2100" s="3" t="s">
        <v>5681</v>
      </c>
      <c r="G2100" s="3" t="str">
        <f>IFERROR(__xludf.DUMMYFUNCTION("GOOGLETRANSLATE(D2100,""fr"",""es"")"),"ebrio")</f>
        <v>ebrio</v>
      </c>
    </row>
    <row r="2101">
      <c r="A2101" s="3">
        <v>2079.0</v>
      </c>
      <c r="B2101" s="3" t="s">
        <v>189</v>
      </c>
      <c r="C2101" s="3" t="s">
        <v>190</v>
      </c>
      <c r="D2101" s="3" t="s">
        <v>5683</v>
      </c>
      <c r="E2101" s="3" t="s">
        <v>5680</v>
      </c>
      <c r="F2101" s="3" t="s">
        <v>5681</v>
      </c>
      <c r="G2101" s="3" t="str">
        <f>IFERROR(__xludf.DUMMYFUNCTION("GOOGLETRANSLATE(D2101,""fr"",""es"")"),"ebrio")</f>
        <v>ebrio</v>
      </c>
    </row>
    <row r="2102">
      <c r="A2102" s="3">
        <v>2080.0</v>
      </c>
      <c r="B2102" s="3" t="s">
        <v>189</v>
      </c>
      <c r="C2102" s="3" t="s">
        <v>190</v>
      </c>
      <c r="D2102" s="3" t="s">
        <v>5684</v>
      </c>
      <c r="E2102" s="3" t="s">
        <v>5685</v>
      </c>
      <c r="F2102" s="3" t="s">
        <v>5686</v>
      </c>
      <c r="G2102" s="3" t="str">
        <f>IFERROR(__xludf.DUMMYFUNCTION("GOOGLETRANSLATE(D2102,""fr"",""es"")"),"ebrio")</f>
        <v>ebrio</v>
      </c>
    </row>
    <row r="2103">
      <c r="A2103" s="3">
        <v>2081.0</v>
      </c>
      <c r="B2103" s="3" t="s">
        <v>189</v>
      </c>
      <c r="C2103" s="3" t="s">
        <v>190</v>
      </c>
      <c r="D2103" s="3" t="s">
        <v>5687</v>
      </c>
      <c r="E2103" s="3" t="s">
        <v>5685</v>
      </c>
      <c r="F2103" s="3" t="s">
        <v>5686</v>
      </c>
      <c r="G2103" s="3" t="str">
        <f>IFERROR(__xludf.DUMMYFUNCTION("GOOGLETRANSLATE(D2103,""fr"",""es"")"),"ebrio")</f>
        <v>ebrio</v>
      </c>
    </row>
    <row r="2104">
      <c r="A2104" s="3">
        <v>2082.0</v>
      </c>
      <c r="B2104" s="3" t="s">
        <v>189</v>
      </c>
      <c r="C2104" s="3" t="s">
        <v>190</v>
      </c>
      <c r="D2104" s="3" t="s">
        <v>5688</v>
      </c>
      <c r="E2104" s="3" t="s">
        <v>5685</v>
      </c>
      <c r="F2104" s="3" t="s">
        <v>5686</v>
      </c>
      <c r="G2104" s="3" t="str">
        <f>IFERROR(__xludf.DUMMYFUNCTION("GOOGLETRANSLATE(D2104,""fr"",""es"")"),"ebrio")</f>
        <v>ebrio</v>
      </c>
    </row>
    <row r="2105">
      <c r="A2105" s="3">
        <v>2083.0</v>
      </c>
      <c r="B2105" s="3" t="s">
        <v>189</v>
      </c>
      <c r="C2105" s="3" t="s">
        <v>190</v>
      </c>
      <c r="D2105" s="3" t="s">
        <v>5689</v>
      </c>
      <c r="E2105" s="3" t="s">
        <v>5668</v>
      </c>
      <c r="F2105" s="3" t="s">
        <v>5669</v>
      </c>
      <c r="G2105" s="3" t="str">
        <f>IFERROR(__xludf.DUMMYFUNCTION("GOOGLETRANSLATE(D2105,""fr"",""es"")"),"ebrio")</f>
        <v>ebrio</v>
      </c>
    </row>
    <row r="2106">
      <c r="A2106" s="3">
        <v>2084.0</v>
      </c>
      <c r="B2106" s="3" t="s">
        <v>189</v>
      </c>
      <c r="C2106" s="3" t="s">
        <v>190</v>
      </c>
      <c r="D2106" s="3" t="s">
        <v>5690</v>
      </c>
      <c r="E2106" s="3" t="s">
        <v>5691</v>
      </c>
      <c r="F2106" s="3" t="s">
        <v>5692</v>
      </c>
      <c r="G2106" s="3" t="str">
        <f>IFERROR(__xludf.DUMMYFUNCTION("GOOGLETRANSLATE(D2106,""fr"",""es"")"),"Sapai")</f>
        <v>Sapai</v>
      </c>
    </row>
    <row r="2107">
      <c r="A2107" s="3">
        <v>2085.0</v>
      </c>
      <c r="B2107" s="3" t="s">
        <v>189</v>
      </c>
      <c r="C2107" s="3" t="s">
        <v>190</v>
      </c>
      <c r="D2107" s="3" t="s">
        <v>5693</v>
      </c>
      <c r="E2107" s="3" t="s">
        <v>5691</v>
      </c>
      <c r="F2107" s="3" t="s">
        <v>5692</v>
      </c>
      <c r="G2107" s="3" t="str">
        <f>IFERROR(__xludf.DUMMYFUNCTION("GOOGLETRANSLATE(D2107,""fr"",""es"")"),"estaban en")</f>
        <v>estaban en</v>
      </c>
    </row>
    <row r="2108">
      <c r="A2108" s="3">
        <v>2086.0</v>
      </c>
      <c r="B2108" s="3" t="s">
        <v>189</v>
      </c>
      <c r="C2108" s="3" t="s">
        <v>190</v>
      </c>
      <c r="D2108" s="3" t="s">
        <v>5694</v>
      </c>
      <c r="E2108" s="3" t="s">
        <v>5691</v>
      </c>
      <c r="F2108" s="3" t="s">
        <v>5692</v>
      </c>
      <c r="G2108" s="3" t="str">
        <f>IFERROR(__xludf.DUMMYFUNCTION("GOOGLETRANSLATE(D2108,""fr"",""es"")"),"sapais")</f>
        <v>sapais</v>
      </c>
    </row>
    <row r="2109">
      <c r="A2109" s="3">
        <v>2087.0</v>
      </c>
      <c r="B2109" s="3" t="s">
        <v>189</v>
      </c>
      <c r="C2109" s="3" t="s">
        <v>190</v>
      </c>
      <c r="D2109" s="3" t="s">
        <v>5695</v>
      </c>
      <c r="E2109" s="3" t="s">
        <v>5691</v>
      </c>
      <c r="F2109" s="3" t="s">
        <v>5692</v>
      </c>
      <c r="G2109" s="3" t="str">
        <f>IFERROR(__xludf.DUMMYFUNCTION("GOOGLETRANSLATE(D2109,""fr"",""es"")"),"rascar")</f>
        <v>rascar</v>
      </c>
    </row>
    <row r="2110">
      <c r="A2110" s="3">
        <v>2088.0</v>
      </c>
      <c r="B2110" s="3" t="s">
        <v>189</v>
      </c>
      <c r="C2110" s="3" t="s">
        <v>190</v>
      </c>
      <c r="D2110" s="3" t="s">
        <v>5696</v>
      </c>
      <c r="E2110" s="3" t="s">
        <v>5697</v>
      </c>
      <c r="F2110" s="3" t="s">
        <v>5698</v>
      </c>
      <c r="G2110" s="3" t="str">
        <f>IFERROR(__xludf.DUMMYFUNCTION("GOOGLETRANSLATE(D2110,""fr"",""es"")"),"savia")</f>
        <v>savia</v>
      </c>
    </row>
    <row r="2111">
      <c r="A2111" s="3">
        <v>2089.0</v>
      </c>
      <c r="B2111" s="3" t="s">
        <v>189</v>
      </c>
      <c r="C2111" s="3" t="s">
        <v>190</v>
      </c>
      <c r="D2111" s="3" t="s">
        <v>5699</v>
      </c>
      <c r="E2111" s="3" t="s">
        <v>5700</v>
      </c>
      <c r="F2111" s="3" t="s">
        <v>5701</v>
      </c>
      <c r="G2111" s="3" t="str">
        <f>IFERROR(__xludf.DUMMYFUNCTION("GOOGLETRANSLATE(D2111,""fr"",""es"")"),"skasse")</f>
        <v>skasse</v>
      </c>
    </row>
    <row r="2112">
      <c r="A2112" s="3">
        <v>2090.0</v>
      </c>
      <c r="B2112" s="3" t="s">
        <v>189</v>
      </c>
      <c r="C2112" s="3" t="s">
        <v>190</v>
      </c>
      <c r="D2112" s="3" t="s">
        <v>5702</v>
      </c>
      <c r="E2112" s="3" t="s">
        <v>5700</v>
      </c>
      <c r="F2112" s="3" t="s">
        <v>5701</v>
      </c>
      <c r="G2112" s="3" t="str">
        <f>IFERROR(__xludf.DUMMYFUNCTION("GOOGLETRANSLATE(D2112,""fr"",""es"")"),"pan de molde")</f>
        <v>pan de molde</v>
      </c>
    </row>
    <row r="2113">
      <c r="A2113" s="3">
        <v>2091.0</v>
      </c>
      <c r="B2113" s="3" t="s">
        <v>189</v>
      </c>
      <c r="C2113" s="3" t="s">
        <v>190</v>
      </c>
      <c r="D2113" s="3" t="s">
        <v>5703</v>
      </c>
      <c r="E2113" s="3" t="s">
        <v>5700</v>
      </c>
      <c r="F2113" s="3" t="s">
        <v>5701</v>
      </c>
      <c r="G2113" s="3" t="str">
        <f>IFERROR(__xludf.DUMMYFUNCTION("GOOGLETRANSLATE(D2113,""fr"",""es"")"),"conejito")</f>
        <v>conejito</v>
      </c>
    </row>
    <row r="2114">
      <c r="A2114" s="3">
        <v>2092.0</v>
      </c>
      <c r="B2114" s="3" t="s">
        <v>189</v>
      </c>
      <c r="C2114" s="3" t="s">
        <v>190</v>
      </c>
      <c r="D2114" s="3" t="s">
        <v>5704</v>
      </c>
      <c r="E2114" s="3" t="s">
        <v>1426</v>
      </c>
      <c r="F2114" s="3" t="s">
        <v>1427</v>
      </c>
      <c r="G2114" s="3" t="str">
        <f>IFERROR(__xludf.DUMMYFUNCTION("GOOGLETRANSLATE(D2114,""fr"",""es"")"),"savia")</f>
        <v>savia</v>
      </c>
    </row>
    <row r="2115">
      <c r="A2115" s="3">
        <v>2093.0</v>
      </c>
      <c r="B2115" s="3" t="s">
        <v>189</v>
      </c>
      <c r="C2115" s="3" t="s">
        <v>190</v>
      </c>
      <c r="D2115" s="3" t="s">
        <v>5705</v>
      </c>
      <c r="E2115" s="3" t="s">
        <v>1426</v>
      </c>
      <c r="F2115" s="3" t="s">
        <v>1427</v>
      </c>
      <c r="G2115" s="3" t="str">
        <f>IFERROR(__xludf.DUMMYFUNCTION("GOOGLETRANSLATE(D2115,""fr"",""es"")"),"socavado")</f>
        <v>socavado</v>
      </c>
    </row>
    <row r="2116">
      <c r="A2116" s="3">
        <v>2094.0</v>
      </c>
      <c r="B2116" s="3" t="s">
        <v>189</v>
      </c>
      <c r="C2116" s="3" t="s">
        <v>190</v>
      </c>
      <c r="D2116" s="3" t="s">
        <v>5706</v>
      </c>
      <c r="E2116" s="3" t="s">
        <v>1426</v>
      </c>
      <c r="F2116" s="3" t="s">
        <v>1427</v>
      </c>
      <c r="G2116" s="3" t="str">
        <f>IFERROR(__xludf.DUMMYFUNCTION("GOOGLETRANSLATE(D2116,""fr"",""es"")"),"SAPS")</f>
        <v>SAPS</v>
      </c>
    </row>
    <row r="2117">
      <c r="A2117" s="3">
        <v>2095.0</v>
      </c>
      <c r="B2117" s="3" t="s">
        <v>189</v>
      </c>
      <c r="C2117" s="3" t="s">
        <v>190</v>
      </c>
      <c r="D2117" s="3" t="s">
        <v>5707</v>
      </c>
      <c r="E2117" s="3" t="s">
        <v>5708</v>
      </c>
      <c r="F2117" s="3" t="s">
        <v>5709</v>
      </c>
      <c r="G2117" s="3" t="str">
        <f>IFERROR(__xludf.DUMMYFUNCTION("GOOGLETRANSLATE(D2117,""fr"",""es"")"),"sapina")</f>
        <v>sapina</v>
      </c>
    </row>
    <row r="2118">
      <c r="A2118" s="3">
        <v>2096.0</v>
      </c>
      <c r="B2118" s="3" t="s">
        <v>189</v>
      </c>
      <c r="C2118" s="3" t="s">
        <v>190</v>
      </c>
      <c r="D2118" s="3" t="s">
        <v>5710</v>
      </c>
      <c r="E2118" s="3" t="s">
        <v>5708</v>
      </c>
      <c r="F2118" s="3" t="s">
        <v>5709</v>
      </c>
      <c r="G2118" s="3" t="str">
        <f>IFERROR(__xludf.DUMMYFUNCTION("GOOGLETRANSLATE(D2118,""fr"",""es"")"),"sapina")</f>
        <v>sapina</v>
      </c>
    </row>
    <row r="2119">
      <c r="A2119" s="3">
        <v>2097.0</v>
      </c>
      <c r="B2119" s="3" t="s">
        <v>189</v>
      </c>
      <c r="C2119" s="3" t="s">
        <v>190</v>
      </c>
      <c r="D2119" s="3" t="s">
        <v>5711</v>
      </c>
      <c r="E2119" s="3" t="s">
        <v>5493</v>
      </c>
      <c r="F2119" s="3" t="s">
        <v>5494</v>
      </c>
      <c r="G2119" s="3" t="str">
        <f>IFERROR(__xludf.DUMMYFUNCTION("GOOGLETRANSLATE(D2119,""fr"",""es"")"),"saquai")</f>
        <v>saquai</v>
      </c>
    </row>
    <row r="2120">
      <c r="A2120" s="3">
        <v>2098.0</v>
      </c>
      <c r="B2120" s="3" t="s">
        <v>189</v>
      </c>
      <c r="C2120" s="3" t="s">
        <v>190</v>
      </c>
      <c r="D2120" s="3" t="s">
        <v>5712</v>
      </c>
      <c r="E2120" s="3" t="s">
        <v>5493</v>
      </c>
      <c r="F2120" s="3" t="s">
        <v>5494</v>
      </c>
      <c r="G2120" s="3" t="str">
        <f>IFERROR(__xludf.DUMMYFUNCTION("GOOGLETRANSLATE(D2120,""fr"",""es"")"),"vela")</f>
        <v>vela</v>
      </c>
    </row>
    <row r="2121">
      <c r="A2121" s="3">
        <v>2099.0</v>
      </c>
      <c r="B2121" s="3" t="s">
        <v>189</v>
      </c>
      <c r="C2121" s="3" t="s">
        <v>190</v>
      </c>
      <c r="D2121" s="3" t="s">
        <v>5713</v>
      </c>
      <c r="E2121" s="3" t="s">
        <v>5493</v>
      </c>
      <c r="F2121" s="3" t="s">
        <v>5494</v>
      </c>
      <c r="G2121" s="3" t="str">
        <f>IFERROR(__xludf.DUMMYFUNCTION("GOOGLETRANSLATE(D2121,""fr"",""es"")"),"saquais")</f>
        <v>saquais</v>
      </c>
    </row>
    <row r="2122">
      <c r="A2122" s="3">
        <v>2100.0</v>
      </c>
      <c r="B2122" s="3" t="s">
        <v>189</v>
      </c>
      <c r="C2122" s="3" t="s">
        <v>190</v>
      </c>
      <c r="D2122" s="3" t="s">
        <v>5714</v>
      </c>
      <c r="E2122" s="3" t="s">
        <v>5493</v>
      </c>
      <c r="F2122" s="3" t="s">
        <v>5494</v>
      </c>
      <c r="G2122" s="3" t="str">
        <f>IFERROR(__xludf.DUMMYFUNCTION("GOOGLETRANSLATE(D2122,""fr"",""es"")"),"saqué")</f>
        <v>saqué</v>
      </c>
    </row>
    <row r="2123">
      <c r="A2123" s="3">
        <v>2101.0</v>
      </c>
      <c r="B2123" s="3" t="s">
        <v>189</v>
      </c>
      <c r="C2123" s="3" t="s">
        <v>190</v>
      </c>
      <c r="D2123" s="3" t="s">
        <v>5715</v>
      </c>
      <c r="E2123" s="3" t="s">
        <v>5499</v>
      </c>
      <c r="F2123" s="3" t="s">
        <v>5500</v>
      </c>
      <c r="G2123" s="3" t="str">
        <f>IFERROR(__xludf.DUMMYFUNCTION("GOOGLETRANSLATE(D2123,""fr"",""es"")"),"bolsa")</f>
        <v>bolsa</v>
      </c>
    </row>
    <row r="2124">
      <c r="A2124" s="3">
        <v>2102.0</v>
      </c>
      <c r="B2124" s="3" t="s">
        <v>189</v>
      </c>
      <c r="C2124" s="3" t="s">
        <v>190</v>
      </c>
      <c r="D2124" s="3" t="s">
        <v>5716</v>
      </c>
      <c r="E2124" s="3" t="s">
        <v>5502</v>
      </c>
      <c r="F2124" s="3" t="s">
        <v>5503</v>
      </c>
      <c r="G2124" s="3" t="str">
        <f>IFERROR(__xludf.DUMMYFUNCTION("GOOGLETRANSLATE(D2124,""fr"",""es"")"),"bolsa")</f>
        <v>bolsa</v>
      </c>
    </row>
    <row r="2125">
      <c r="A2125" s="3">
        <v>2103.0</v>
      </c>
      <c r="B2125" s="3" t="s">
        <v>189</v>
      </c>
      <c r="C2125" s="3" t="s">
        <v>190</v>
      </c>
      <c r="D2125" s="3" t="s">
        <v>5717</v>
      </c>
      <c r="E2125" s="3" t="s">
        <v>5502</v>
      </c>
      <c r="F2125" s="3" t="s">
        <v>5503</v>
      </c>
      <c r="G2125" s="3" t="str">
        <f>IFERROR(__xludf.DUMMYFUNCTION("GOOGLETRANSLATE(D2125,""fr"",""es"")"),"bolsa")</f>
        <v>bolsa</v>
      </c>
    </row>
    <row r="2126">
      <c r="A2126" s="3">
        <v>2104.0</v>
      </c>
      <c r="B2126" s="3" t="s">
        <v>189</v>
      </c>
      <c r="C2126" s="3" t="s">
        <v>190</v>
      </c>
      <c r="D2126" s="3" t="s">
        <v>5718</v>
      </c>
      <c r="E2126" s="3" t="s">
        <v>5502</v>
      </c>
      <c r="F2126" s="3" t="s">
        <v>5503</v>
      </c>
      <c r="G2126" s="3" t="str">
        <f>IFERROR(__xludf.DUMMYFUNCTION("GOOGLETRANSLATE(D2126,""fr"",""es"")"),"saquaso")</f>
        <v>saquaso</v>
      </c>
    </row>
    <row r="2127">
      <c r="A2127" s="3">
        <v>2105.0</v>
      </c>
      <c r="B2127" s="3" t="s">
        <v>189</v>
      </c>
      <c r="C2127" s="3" t="s">
        <v>190</v>
      </c>
      <c r="D2127" s="3" t="s">
        <v>5719</v>
      </c>
      <c r="E2127" s="3" t="s">
        <v>5460</v>
      </c>
      <c r="F2127" s="3" t="s">
        <v>5461</v>
      </c>
      <c r="G2127" s="3" t="str">
        <f>IFERROR(__xludf.DUMMYFUNCTION("GOOGLETRANSLATE(D2127,""fr"",""es"")"),"tedioso")</f>
        <v>tedioso</v>
      </c>
    </row>
    <row r="2128">
      <c r="A2128" s="3">
        <v>2106.0</v>
      </c>
      <c r="B2128" s="3" t="s">
        <v>189</v>
      </c>
      <c r="C2128" s="3" t="s">
        <v>190</v>
      </c>
      <c r="D2128" s="3" t="s">
        <v>5720</v>
      </c>
      <c r="E2128" s="3" t="s">
        <v>5460</v>
      </c>
      <c r="F2128" s="3" t="s">
        <v>5461</v>
      </c>
      <c r="G2128" s="3" t="str">
        <f>IFERROR(__xludf.DUMMYFUNCTION("GOOGLETRANSLATE(D2128,""fr"",""es"")"),"ahorrar")</f>
        <v>ahorrar</v>
      </c>
    </row>
    <row r="2129">
      <c r="A2129" s="3">
        <v>2107.0</v>
      </c>
      <c r="B2129" s="3" t="s">
        <v>189</v>
      </c>
      <c r="C2129" s="3" t="s">
        <v>190</v>
      </c>
      <c r="D2129" s="3" t="s">
        <v>5721</v>
      </c>
      <c r="E2129" s="3" t="s">
        <v>5460</v>
      </c>
      <c r="F2129" s="3" t="s">
        <v>5461</v>
      </c>
      <c r="G2129" s="3" t="str">
        <f>IFERROR(__xludf.DUMMYFUNCTION("GOOGLETRANSLATE(D2129,""fr"",""es"")"),"soda")</f>
        <v>soda</v>
      </c>
    </row>
    <row r="2130">
      <c r="A2130" s="3">
        <v>2108.0</v>
      </c>
      <c r="B2130" s="3" t="s">
        <v>189</v>
      </c>
      <c r="C2130" s="3" t="s">
        <v>190</v>
      </c>
      <c r="D2130" s="3" t="s">
        <v>1452</v>
      </c>
      <c r="E2130" s="3" t="s">
        <v>1451</v>
      </c>
      <c r="F2130" s="3" t="s">
        <v>1452</v>
      </c>
      <c r="G2130" s="3" t="str">
        <f>IFERROR(__xludf.DUMMYFUNCTION("GOOGLETRANSLATE(D2130,""fr"",""es"")"),"SAS")</f>
        <v>SAS</v>
      </c>
      <c r="H2130" s="3" t="s">
        <v>5722</v>
      </c>
      <c r="I2130" s="3" t="s">
        <v>5723</v>
      </c>
      <c r="J2130" s="3" t="s">
        <v>5724</v>
      </c>
      <c r="K2130" s="3" t="s">
        <v>5725</v>
      </c>
    </row>
    <row r="2131">
      <c r="A2131" s="3">
        <v>2109.0</v>
      </c>
      <c r="B2131" s="3" t="s">
        <v>189</v>
      </c>
      <c r="C2131" s="3" t="s">
        <v>190</v>
      </c>
      <c r="D2131" s="3" t="s">
        <v>5726</v>
      </c>
      <c r="E2131" s="3" t="s">
        <v>5727</v>
      </c>
      <c r="F2131" s="3" t="s">
        <v>5728</v>
      </c>
      <c r="G2131" s="3" t="str">
        <f>IFERROR(__xludf.DUMMYFUNCTION("GOOGLETRANSLATE(D2131,""fr"",""es"")"),"satánico")</f>
        <v>satánico</v>
      </c>
      <c r="H2131" s="3" t="s">
        <v>5729</v>
      </c>
      <c r="I2131" s="3" t="s">
        <v>5730</v>
      </c>
      <c r="J2131" s="3" t="s">
        <v>5731</v>
      </c>
      <c r="K2131" s="3" t="s">
        <v>5732</v>
      </c>
      <c r="L2131" s="3" t="s">
        <v>5733</v>
      </c>
      <c r="M2131" s="3" t="s">
        <v>5734</v>
      </c>
      <c r="N2131" s="3" t="s">
        <v>5735</v>
      </c>
      <c r="O2131" s="3" t="s">
        <v>5736</v>
      </c>
    </row>
    <row r="2132">
      <c r="A2132" s="3">
        <v>2110.0</v>
      </c>
      <c r="B2132" s="3" t="s">
        <v>189</v>
      </c>
      <c r="C2132" s="3" t="s">
        <v>190</v>
      </c>
      <c r="D2132" s="3" t="s">
        <v>5737</v>
      </c>
      <c r="E2132" s="3" t="s">
        <v>5727</v>
      </c>
      <c r="F2132" s="3" t="s">
        <v>5728</v>
      </c>
      <c r="G2132" s="3" t="str">
        <f>IFERROR(__xludf.DUMMYFUNCTION("GOOGLETRANSLATE(D2132,""fr"",""es"")"),"satánico")</f>
        <v>satánico</v>
      </c>
    </row>
    <row r="2133">
      <c r="A2133" s="3">
        <v>2111.0</v>
      </c>
      <c r="B2133" s="3" t="s">
        <v>189</v>
      </c>
      <c r="C2133" s="3" t="s">
        <v>190</v>
      </c>
      <c r="D2133" s="3" t="s">
        <v>5738</v>
      </c>
      <c r="E2133" s="3" t="s">
        <v>5739</v>
      </c>
      <c r="F2133" s="3" t="s">
        <v>5740</v>
      </c>
      <c r="G2133" s="3" t="str">
        <f>IFERROR(__xludf.DUMMYFUNCTION("GOOGLETRANSLATE(D2133,""fr"",""es"")"),"satanismo")</f>
        <v>satanismo</v>
      </c>
      <c r="H2133" s="3" t="s">
        <v>5741</v>
      </c>
      <c r="I2133" s="3" t="s">
        <v>5742</v>
      </c>
      <c r="J2133" s="3" t="s">
        <v>5743</v>
      </c>
      <c r="K2133" s="3" t="s">
        <v>5741</v>
      </c>
      <c r="L2133" s="3" t="s">
        <v>5742</v>
      </c>
      <c r="M2133" s="3" t="s">
        <v>5743</v>
      </c>
    </row>
    <row r="2134">
      <c r="A2134" s="3">
        <v>2112.0</v>
      </c>
      <c r="B2134" s="3" t="s">
        <v>189</v>
      </c>
      <c r="C2134" s="3" t="s">
        <v>190</v>
      </c>
      <c r="D2134" s="3" t="s">
        <v>5744</v>
      </c>
      <c r="E2134" s="3" t="s">
        <v>5739</v>
      </c>
      <c r="F2134" s="3" t="s">
        <v>5740</v>
      </c>
      <c r="G2134" s="3" t="str">
        <f>IFERROR(__xludf.DUMMYFUNCTION("GOOGLETRANSLATE(D2134,""fr"",""es"")"),"Satanismos")</f>
        <v>Satanismos</v>
      </c>
    </row>
    <row r="2135">
      <c r="A2135" s="3">
        <v>2113.0</v>
      </c>
      <c r="B2135" s="3" t="s">
        <v>189</v>
      </c>
      <c r="C2135" s="3" t="s">
        <v>190</v>
      </c>
      <c r="D2135" s="3" t="s">
        <v>5745</v>
      </c>
      <c r="E2135" s="3" t="s">
        <v>1418</v>
      </c>
      <c r="F2135" s="3" t="s">
        <v>1419</v>
      </c>
      <c r="G2135" s="3" t="str">
        <f>IFERROR(__xludf.DUMMYFUNCTION("GOOGLETRANSLATE(D2135,""fr"",""es"")"),"escenario")</f>
        <v>escenario</v>
      </c>
      <c r="H2135" s="3" t="s">
        <v>5746</v>
      </c>
      <c r="I2135" s="3" t="s">
        <v>5747</v>
      </c>
      <c r="J2135" s="3" t="s">
        <v>2117</v>
      </c>
      <c r="K2135" s="3" t="s">
        <v>5748</v>
      </c>
      <c r="L2135" s="3" t="s">
        <v>5749</v>
      </c>
      <c r="M2135" s="3" t="s">
        <v>2117</v>
      </c>
      <c r="N2135" s="3" t="s">
        <v>5746</v>
      </c>
      <c r="O2135" s="3" t="s">
        <v>5746</v>
      </c>
      <c r="P2135" s="3" t="s">
        <v>5750</v>
      </c>
      <c r="Q2135" s="3" t="s">
        <v>2117</v>
      </c>
      <c r="R2135" s="3" t="s">
        <v>2140</v>
      </c>
      <c r="S2135" s="3" t="s">
        <v>5746</v>
      </c>
      <c r="T2135" s="3" t="s">
        <v>2117</v>
      </c>
      <c r="U2135" s="3" t="s">
        <v>2117</v>
      </c>
      <c r="V2135" s="3" t="s">
        <v>5751</v>
      </c>
      <c r="W2135" s="3" t="s">
        <v>2117</v>
      </c>
      <c r="X2135" s="3" t="s">
        <v>2117</v>
      </c>
      <c r="Y2135" s="3" t="s">
        <v>5752</v>
      </c>
      <c r="Z2135" s="3" t="s">
        <v>2117</v>
      </c>
      <c r="AA2135" s="3" t="s">
        <v>5753</v>
      </c>
      <c r="AB2135" s="3" t="s">
        <v>5754</v>
      </c>
      <c r="AC2135" s="3" t="s">
        <v>2117</v>
      </c>
      <c r="AD2135" s="3" t="s">
        <v>5755</v>
      </c>
    </row>
    <row r="2136">
      <c r="A2136" s="3">
        <v>2114.0</v>
      </c>
      <c r="B2136" s="3" t="s">
        <v>189</v>
      </c>
      <c r="C2136" s="3" t="s">
        <v>190</v>
      </c>
      <c r="D2136" s="3" t="s">
        <v>5756</v>
      </c>
      <c r="E2136" s="3" t="s">
        <v>1418</v>
      </c>
      <c r="F2136" s="3" t="s">
        <v>1419</v>
      </c>
      <c r="G2136" s="3" t="str">
        <f>IFERROR(__xludf.DUMMYFUNCTION("GOOGLETRANSLATE(D2136,""fr"",""es"")"),"escena")</f>
        <v>escena</v>
      </c>
    </row>
    <row r="2137">
      <c r="A2137" s="3">
        <v>2115.0</v>
      </c>
      <c r="B2137" s="3" t="s">
        <v>189</v>
      </c>
      <c r="C2137" s="3" t="s">
        <v>190</v>
      </c>
      <c r="D2137" s="3" t="s">
        <v>5757</v>
      </c>
      <c r="E2137" s="3" t="s">
        <v>5758</v>
      </c>
      <c r="F2137" s="3" t="s">
        <v>5759</v>
      </c>
      <c r="G2137" s="3" t="str">
        <f>IFERROR(__xludf.DUMMYFUNCTION("GOOGLETRANSLATE(D2137,""fr"",""es"")"),"cisma")</f>
        <v>cisma</v>
      </c>
      <c r="H2137" s="3" t="s">
        <v>5760</v>
      </c>
      <c r="I2137" s="3" t="s">
        <v>5761</v>
      </c>
    </row>
    <row r="2138">
      <c r="A2138" s="3">
        <v>2116.0</v>
      </c>
      <c r="B2138" s="3" t="s">
        <v>189</v>
      </c>
      <c r="C2138" s="3" t="s">
        <v>190</v>
      </c>
      <c r="D2138" s="3" t="s">
        <v>5762</v>
      </c>
      <c r="E2138" s="3" t="s">
        <v>5758</v>
      </c>
      <c r="F2138" s="3" t="s">
        <v>5759</v>
      </c>
      <c r="G2138" s="3" t="str">
        <f>IFERROR(__xludf.DUMMYFUNCTION("GOOGLETRANSLATE(D2138,""fr"",""es"")"),"cismas")</f>
        <v>cismas</v>
      </c>
    </row>
    <row r="2139">
      <c r="A2139" s="3">
        <v>2117.0</v>
      </c>
      <c r="B2139" s="3" t="s">
        <v>189</v>
      </c>
      <c r="C2139" s="3" t="s">
        <v>190</v>
      </c>
      <c r="D2139" s="3" t="s">
        <v>5763</v>
      </c>
      <c r="E2139" s="3" t="s">
        <v>5758</v>
      </c>
      <c r="F2139" s="3" t="s">
        <v>5759</v>
      </c>
      <c r="G2139" s="3" t="str">
        <f>IFERROR(__xludf.DUMMYFUNCTION("GOOGLETRANSLATE(D2139,""fr"",""es"")"),"esquisto")</f>
        <v>esquisto</v>
      </c>
      <c r="H2139" s="3" t="s">
        <v>5764</v>
      </c>
      <c r="I2139" s="3" t="s">
        <v>5765</v>
      </c>
    </row>
    <row r="2140">
      <c r="A2140" s="3">
        <v>2118.0</v>
      </c>
      <c r="B2140" s="3" t="s">
        <v>189</v>
      </c>
      <c r="C2140" s="3" t="s">
        <v>190</v>
      </c>
      <c r="D2140" s="3" t="s">
        <v>5766</v>
      </c>
      <c r="E2140" s="3" t="s">
        <v>5758</v>
      </c>
      <c r="F2140" s="3" t="s">
        <v>5759</v>
      </c>
      <c r="G2140" s="3" t="str">
        <f>IFERROR(__xludf.DUMMYFUNCTION("GOOGLETRANSLATE(D2140,""fr"",""es"")"),"esquisto")</f>
        <v>esquisto</v>
      </c>
    </row>
    <row r="2141">
      <c r="A2141" s="3">
        <v>2119.0</v>
      </c>
      <c r="B2141" s="3" t="s">
        <v>189</v>
      </c>
      <c r="C2141" s="3" t="s">
        <v>190</v>
      </c>
      <c r="D2141" s="3" t="s">
        <v>5767</v>
      </c>
      <c r="E2141" s="3" t="s">
        <v>5768</v>
      </c>
      <c r="F2141" s="3" t="s">
        <v>5769</v>
      </c>
      <c r="G2141" s="3" t="str">
        <f>IFERROR(__xludf.DUMMYFUNCTION("GOOGLETRANSLATE(D2141,""fr"",""es"")"),"Recta")</f>
        <v>Recta</v>
      </c>
    </row>
    <row r="2142">
      <c r="A2142" s="3">
        <v>2120.0</v>
      </c>
      <c r="B2142" s="3" t="s">
        <v>189</v>
      </c>
      <c r="C2142" s="3" t="s">
        <v>190</v>
      </c>
      <c r="D2142" s="3" t="s">
        <v>5770</v>
      </c>
      <c r="E2142" s="3" t="s">
        <v>1909</v>
      </c>
      <c r="F2142" s="3" t="s">
        <v>1910</v>
      </c>
      <c r="G2142" s="3" t="str">
        <f>IFERROR(__xludf.DUMMYFUNCTION("GOOGLETRANSLATE(D2142,""fr"",""es"")"),"sierra")</f>
        <v>sierra</v>
      </c>
      <c r="H2142" s="3" t="s">
        <v>5771</v>
      </c>
      <c r="I2142" s="3" t="s">
        <v>5772</v>
      </c>
      <c r="J2142" s="3" t="s">
        <v>5773</v>
      </c>
      <c r="K2142" s="3" t="s">
        <v>5774</v>
      </c>
      <c r="L2142" s="3" t="s">
        <v>5775</v>
      </c>
      <c r="M2142" s="3" t="s">
        <v>5776</v>
      </c>
      <c r="N2142" s="3" t="s">
        <v>5777</v>
      </c>
      <c r="O2142" s="3" t="s">
        <v>5776</v>
      </c>
      <c r="P2142" s="3" t="s">
        <v>5778</v>
      </c>
      <c r="Q2142" s="3" t="s">
        <v>5779</v>
      </c>
      <c r="R2142" s="3" t="s">
        <v>5776</v>
      </c>
      <c r="S2142" s="3" t="s">
        <v>5780</v>
      </c>
    </row>
    <row r="2143">
      <c r="A2143" s="3">
        <v>2121.0</v>
      </c>
      <c r="B2143" s="3" t="s">
        <v>189</v>
      </c>
      <c r="C2143" s="3" t="s">
        <v>190</v>
      </c>
      <c r="D2143" s="3" t="s">
        <v>5781</v>
      </c>
      <c r="E2143" s="3" t="s">
        <v>1909</v>
      </c>
      <c r="F2143" s="3" t="s">
        <v>1910</v>
      </c>
      <c r="G2143" s="3" t="str">
        <f>IFERROR(__xludf.DUMMYFUNCTION("GOOGLETRANSLATE(D2143,""fr"",""es"")"),"científico")</f>
        <v>científico</v>
      </c>
    </row>
    <row r="2144">
      <c r="A2144" s="3">
        <v>2122.0</v>
      </c>
      <c r="B2144" s="3" t="s">
        <v>189</v>
      </c>
      <c r="C2144" s="3" t="s">
        <v>190</v>
      </c>
      <c r="D2144" s="3" t="s">
        <v>5782</v>
      </c>
      <c r="E2144" s="3" t="s">
        <v>1909</v>
      </c>
      <c r="F2144" s="3" t="s">
        <v>1910</v>
      </c>
      <c r="G2144" s="3" t="str">
        <f>IFERROR(__xludf.DUMMYFUNCTION("GOOGLETRANSLATE(D2144,""fr"",""es"")"),"sierras")</f>
        <v>sierras</v>
      </c>
    </row>
    <row r="2145">
      <c r="A2145" s="3">
        <v>2123.0</v>
      </c>
      <c r="B2145" s="3" t="s">
        <v>189</v>
      </c>
      <c r="C2145" s="3" t="s">
        <v>190</v>
      </c>
      <c r="D2145" s="3" t="s">
        <v>5456</v>
      </c>
      <c r="E2145" s="3" t="s">
        <v>5460</v>
      </c>
      <c r="F2145" s="3" t="s">
        <v>5461</v>
      </c>
      <c r="G2145" s="3" t="str">
        <f>IFERROR(__xludf.DUMMYFUNCTION("GOOGLETRANSLATE(D2145,""fr"",""es"")"),"seco")</f>
        <v>seco</v>
      </c>
      <c r="H2145" s="3" t="s">
        <v>5783</v>
      </c>
      <c r="I2145" s="3" t="s">
        <v>5784</v>
      </c>
      <c r="J2145" s="3" t="s">
        <v>5783</v>
      </c>
      <c r="K2145" s="3" t="s">
        <v>5784</v>
      </c>
      <c r="L2145" s="3" t="s">
        <v>5783</v>
      </c>
      <c r="M2145" s="3" t="s">
        <v>5785</v>
      </c>
      <c r="N2145" s="3" t="s">
        <v>5783</v>
      </c>
      <c r="O2145" s="3" t="s">
        <v>5783</v>
      </c>
      <c r="P2145" s="3" t="s">
        <v>5783</v>
      </c>
      <c r="Q2145" s="3" t="s">
        <v>5783</v>
      </c>
      <c r="R2145" s="3" t="s">
        <v>5786</v>
      </c>
      <c r="S2145" s="3" t="s">
        <v>5787</v>
      </c>
      <c r="T2145" s="3" t="s">
        <v>5788</v>
      </c>
      <c r="U2145" s="3" t="s">
        <v>5783</v>
      </c>
      <c r="V2145" s="3" t="s">
        <v>5783</v>
      </c>
      <c r="W2145" s="3" t="s">
        <v>5783</v>
      </c>
      <c r="X2145" s="3" t="s">
        <v>5783</v>
      </c>
      <c r="Y2145" s="3" t="s">
        <v>5783</v>
      </c>
      <c r="Z2145" s="3" t="s">
        <v>5789</v>
      </c>
      <c r="AA2145" s="3" t="s">
        <v>5783</v>
      </c>
      <c r="AB2145" s="3" t="s">
        <v>5783</v>
      </c>
      <c r="AC2145" s="3" t="s">
        <v>5790</v>
      </c>
      <c r="AD2145" s="3" t="s">
        <v>5791</v>
      </c>
      <c r="AE2145" s="3" t="s">
        <v>5792</v>
      </c>
      <c r="AF2145" s="3" t="s">
        <v>5793</v>
      </c>
      <c r="AG2145" s="3" t="s">
        <v>5794</v>
      </c>
      <c r="AH2145" s="3" t="s">
        <v>5795</v>
      </c>
      <c r="AI2145" s="3" t="s">
        <v>5796</v>
      </c>
      <c r="AJ2145" s="3" t="s">
        <v>5797</v>
      </c>
      <c r="AK2145" s="3" t="s">
        <v>5798</v>
      </c>
      <c r="AL2145" s="3" t="s">
        <v>5783</v>
      </c>
      <c r="AM2145" s="3" t="s">
        <v>5783</v>
      </c>
      <c r="AN2145" s="3" t="s">
        <v>5783</v>
      </c>
      <c r="AO2145" s="3" t="s">
        <v>5783</v>
      </c>
      <c r="AP2145" s="3" t="s">
        <v>5799</v>
      </c>
      <c r="AQ2145" s="3" t="s">
        <v>5800</v>
      </c>
      <c r="AR2145" s="3" t="s">
        <v>5801</v>
      </c>
      <c r="AS2145" s="3" t="s">
        <v>5802</v>
      </c>
    </row>
    <row r="2146">
      <c r="A2146" s="3">
        <v>2124.0</v>
      </c>
      <c r="B2146" s="3" t="s">
        <v>189</v>
      </c>
      <c r="C2146" s="3" t="s">
        <v>190</v>
      </c>
      <c r="D2146" s="3" t="s">
        <v>5803</v>
      </c>
      <c r="E2146" s="3" t="s">
        <v>5484</v>
      </c>
      <c r="F2146" s="3" t="s">
        <v>5485</v>
      </c>
      <c r="G2146" s="3" t="str">
        <f>IFERROR(__xludf.DUMMYFUNCTION("GOOGLETRANSLATE(D2146,""fr"",""es"")"),"seco")</f>
        <v>seco</v>
      </c>
      <c r="H2146" s="3" t="s">
        <v>5783</v>
      </c>
    </row>
    <row r="2147">
      <c r="A2147" s="3">
        <v>2125.0</v>
      </c>
      <c r="B2147" s="3" t="s">
        <v>189</v>
      </c>
      <c r="C2147" s="3" t="s">
        <v>190</v>
      </c>
      <c r="D2147" s="3" t="s">
        <v>5804</v>
      </c>
      <c r="E2147" s="3" t="s">
        <v>5484</v>
      </c>
      <c r="F2147" s="3" t="s">
        <v>5485</v>
      </c>
      <c r="G2147" s="3" t="str">
        <f>IFERROR(__xludf.DUMMYFUNCTION("GOOGLETRANSLATE(D2147,""fr"",""es"")"),"seco")</f>
        <v>seco</v>
      </c>
    </row>
    <row r="2148">
      <c r="A2148" s="3">
        <v>2126.0</v>
      </c>
      <c r="B2148" s="3" t="s">
        <v>189</v>
      </c>
      <c r="C2148" s="3" t="s">
        <v>190</v>
      </c>
      <c r="D2148" s="3" t="s">
        <v>5805</v>
      </c>
      <c r="E2148" s="3" t="s">
        <v>5484</v>
      </c>
      <c r="F2148" s="3" t="s">
        <v>5485</v>
      </c>
      <c r="G2148" s="3" t="str">
        <f>IFERROR(__xludf.DUMMYFUNCTION("GOOGLETRANSLATE(D2148,""fr"",""es"")"),"seco")</f>
        <v>seco</v>
      </c>
    </row>
    <row r="2149">
      <c r="A2149" s="3">
        <v>2127.0</v>
      </c>
      <c r="B2149" s="3" t="s">
        <v>189</v>
      </c>
      <c r="C2149" s="3" t="s">
        <v>190</v>
      </c>
      <c r="D2149" s="3" t="s">
        <v>5806</v>
      </c>
      <c r="E2149" s="3" t="s">
        <v>5460</v>
      </c>
      <c r="F2149" s="3" t="s">
        <v>5461</v>
      </c>
      <c r="G2149" s="3" t="str">
        <f>IFERROR(__xludf.DUMMYFUNCTION("GOOGLETRANSLATE(D2149,""fr"",""es"")"),"seco")</f>
        <v>seco</v>
      </c>
    </row>
    <row r="2150">
      <c r="A2150" s="3">
        <v>2128.0</v>
      </c>
      <c r="B2150" s="3" t="s">
        <v>189</v>
      </c>
      <c r="C2150" s="3" t="s">
        <v>190</v>
      </c>
      <c r="D2150" s="3" t="s">
        <v>5807</v>
      </c>
      <c r="E2150" s="3" t="s">
        <v>5460</v>
      </c>
      <c r="F2150" s="3" t="s">
        <v>5461</v>
      </c>
      <c r="G2150" s="3" t="str">
        <f>IFERROR(__xludf.DUMMYFUNCTION("GOOGLETRANSLATE(D2150,""fr"",""es"")"),"secta")</f>
        <v>secta</v>
      </c>
      <c r="H2150" s="3" t="s">
        <v>5808</v>
      </c>
      <c r="I2150" s="3" t="s">
        <v>5809</v>
      </c>
      <c r="J2150" s="3" t="s">
        <v>5810</v>
      </c>
      <c r="K2150" s="3" t="s">
        <v>5811</v>
      </c>
      <c r="L2150" s="3" t="s">
        <v>5812</v>
      </c>
      <c r="M2150" s="3" t="s">
        <v>5813</v>
      </c>
      <c r="N2150" s="3" t="s">
        <v>5814</v>
      </c>
      <c r="O2150" s="3" t="s">
        <v>5815</v>
      </c>
      <c r="P2150" s="3" t="s">
        <v>5816</v>
      </c>
      <c r="Q2150" s="3" t="s">
        <v>5812</v>
      </c>
      <c r="R2150" s="3" t="s">
        <v>5817</v>
      </c>
      <c r="S2150" s="3" t="s">
        <v>5814</v>
      </c>
    </row>
    <row r="2151">
      <c r="A2151" s="3">
        <v>2129.0</v>
      </c>
      <c r="B2151" s="3" t="s">
        <v>189</v>
      </c>
      <c r="C2151" s="3" t="s">
        <v>190</v>
      </c>
      <c r="D2151" s="3" t="s">
        <v>5818</v>
      </c>
      <c r="E2151" s="3" t="s">
        <v>5460</v>
      </c>
      <c r="F2151" s="3" t="s">
        <v>5461</v>
      </c>
      <c r="G2151" s="3" t="str">
        <f>IFERROR(__xludf.DUMMYFUNCTION("GOOGLETRANSLATE(D2151,""fr"",""es"")"),"sectas")</f>
        <v>sectas</v>
      </c>
    </row>
    <row r="2152">
      <c r="A2152" s="3">
        <v>2130.0</v>
      </c>
      <c r="B2152" s="3" t="s">
        <v>189</v>
      </c>
      <c r="C2152" s="3" t="s">
        <v>190</v>
      </c>
      <c r="D2152" s="3" t="s">
        <v>5819</v>
      </c>
      <c r="E2152" s="3" t="s">
        <v>5484</v>
      </c>
      <c r="F2152" s="3" t="s">
        <v>5485</v>
      </c>
      <c r="G2152" s="3" t="str">
        <f>IFERROR(__xludf.DUMMYFUNCTION("GOOGLETRANSLATE(D2152,""fr"",""es"")"),"calamar")</f>
        <v>calamar</v>
      </c>
      <c r="H2152" s="3" t="s">
        <v>5820</v>
      </c>
      <c r="I2152" s="3" t="s">
        <v>5821</v>
      </c>
      <c r="J2152" s="3" t="s">
        <v>5822</v>
      </c>
      <c r="K2152" s="3" t="s">
        <v>5819</v>
      </c>
    </row>
    <row r="2153">
      <c r="A2153" s="3">
        <v>2131.0</v>
      </c>
      <c r="B2153" s="3" t="s">
        <v>189</v>
      </c>
      <c r="C2153" s="3" t="s">
        <v>190</v>
      </c>
      <c r="D2153" s="3" t="s">
        <v>5823</v>
      </c>
      <c r="E2153" s="3" t="s">
        <v>5484</v>
      </c>
      <c r="F2153" s="3" t="s">
        <v>5485</v>
      </c>
      <c r="G2153" s="3" t="str">
        <f>IFERROR(__xludf.DUMMYFUNCTION("GOOGLETRANSLATE(D2153,""fr"",""es"")"),"calamar")</f>
        <v>calamar</v>
      </c>
      <c r="H2153" s="3" t="s">
        <v>5821</v>
      </c>
      <c r="I2153" s="3" t="s">
        <v>5822</v>
      </c>
    </row>
    <row r="2154">
      <c r="A2154" s="3">
        <v>2132.0</v>
      </c>
      <c r="B2154" s="3" t="s">
        <v>189</v>
      </c>
      <c r="C2154" s="3" t="s">
        <v>190</v>
      </c>
      <c r="D2154" s="3" t="s">
        <v>5824</v>
      </c>
      <c r="E2154" s="3" t="s">
        <v>1418</v>
      </c>
      <c r="F2154" s="3" t="s">
        <v>1419</v>
      </c>
      <c r="G2154" s="3" t="str">
        <f>IFERROR(__xludf.DUMMYFUNCTION("GOOGLETRANSLATE(D2154,""fr"",""es"")"),"Jábega")</f>
        <v>Jábega</v>
      </c>
      <c r="H2154" s="3" t="s">
        <v>5825</v>
      </c>
      <c r="I2154" s="3" t="s">
        <v>5825</v>
      </c>
      <c r="J2154" s="3" t="s">
        <v>5824</v>
      </c>
      <c r="K2154" s="3" t="s">
        <v>5826</v>
      </c>
      <c r="L2154" s="3" t="s">
        <v>5824</v>
      </c>
      <c r="M2154" s="3" t="s">
        <v>5826</v>
      </c>
    </row>
    <row r="2155">
      <c r="A2155" s="3">
        <v>2133.0</v>
      </c>
      <c r="B2155" s="3" t="s">
        <v>189</v>
      </c>
      <c r="C2155" s="3" t="s">
        <v>190</v>
      </c>
      <c r="D2155" s="3" t="s">
        <v>5825</v>
      </c>
      <c r="E2155" s="3" t="s">
        <v>5827</v>
      </c>
      <c r="F2155" s="3" t="s">
        <v>5828</v>
      </c>
      <c r="G2155" s="3" t="str">
        <f>IFERROR(__xludf.DUMMYFUNCTION("GOOGLETRANSLATE(D2155,""fr"",""es"")"),"Jábega")</f>
        <v>Jábega</v>
      </c>
      <c r="H2155" s="3" t="s">
        <v>5825</v>
      </c>
      <c r="I2155" s="3" t="s">
        <v>5825</v>
      </c>
      <c r="J2155" s="3" t="s">
        <v>5824</v>
      </c>
      <c r="K2155" s="3" t="s">
        <v>5826</v>
      </c>
      <c r="L2155" s="3" t="s">
        <v>5824</v>
      </c>
      <c r="M2155" s="3" t="s">
        <v>5826</v>
      </c>
    </row>
    <row r="2156">
      <c r="A2156" s="3">
        <v>2134.0</v>
      </c>
      <c r="B2156" s="3" t="s">
        <v>189</v>
      </c>
      <c r="C2156" s="3" t="s">
        <v>190</v>
      </c>
      <c r="D2156" s="3" t="s">
        <v>5829</v>
      </c>
      <c r="E2156" s="3" t="s">
        <v>5827</v>
      </c>
      <c r="F2156" s="3" t="s">
        <v>5828</v>
      </c>
      <c r="G2156" s="3" t="str">
        <f>IFERROR(__xludf.DUMMYFUNCTION("GOOGLETRANSLATE(D2156,""fr"",""es"")"),"gamas")</f>
        <v>gamas</v>
      </c>
    </row>
    <row r="2157">
      <c r="A2157" s="3">
        <v>2135.0</v>
      </c>
      <c r="B2157" s="3" t="s">
        <v>189</v>
      </c>
      <c r="C2157" s="3" t="s">
        <v>190</v>
      </c>
      <c r="D2157" s="3" t="s">
        <v>5830</v>
      </c>
      <c r="E2157" s="3" t="s">
        <v>1411</v>
      </c>
      <c r="F2157" s="3" t="s">
        <v>1412</v>
      </c>
      <c r="G2157" s="3" t="str">
        <f>IFERROR(__xludf.DUMMYFUNCTION("GOOGLETRANSLATE(D2157,""fr"",""es"")"),"sal")</f>
        <v>sal</v>
      </c>
      <c r="H2157" s="3" t="s">
        <v>5831</v>
      </c>
      <c r="I2157" s="3" t="s">
        <v>5831</v>
      </c>
      <c r="J2157" s="3" t="s">
        <v>5831</v>
      </c>
      <c r="K2157" s="3" t="s">
        <v>5831</v>
      </c>
      <c r="L2157" s="3" t="s">
        <v>5831</v>
      </c>
      <c r="M2157" s="3" t="s">
        <v>5832</v>
      </c>
      <c r="N2157" s="3" t="s">
        <v>5831</v>
      </c>
      <c r="O2157" s="3" t="s">
        <v>5833</v>
      </c>
      <c r="P2157" s="3" t="s">
        <v>5834</v>
      </c>
      <c r="Q2157" s="3" t="s">
        <v>5835</v>
      </c>
      <c r="R2157" s="3" t="s">
        <v>5836</v>
      </c>
      <c r="S2157" s="3" t="s">
        <v>5831</v>
      </c>
      <c r="T2157" s="3" t="s">
        <v>5837</v>
      </c>
      <c r="U2157" s="3" t="s">
        <v>5838</v>
      </c>
      <c r="V2157" s="3" t="s">
        <v>5831</v>
      </c>
    </row>
    <row r="2158">
      <c r="A2158" s="3">
        <v>2136.0</v>
      </c>
      <c r="B2158" s="3" t="s">
        <v>189</v>
      </c>
      <c r="C2158" s="3" t="s">
        <v>190</v>
      </c>
      <c r="D2158" s="3" t="s">
        <v>5839</v>
      </c>
      <c r="E2158" s="3" t="s">
        <v>5579</v>
      </c>
      <c r="F2158" s="3" t="s">
        <v>5580</v>
      </c>
      <c r="G2158" s="3" t="str">
        <f>IFERROR(__xludf.DUMMYFUNCTION("GOOGLETRANSLATE(D2158,""fr"",""es"")"),"sisai")</f>
        <v>sisai</v>
      </c>
    </row>
    <row r="2159">
      <c r="A2159" s="3">
        <v>2137.0</v>
      </c>
      <c r="B2159" s="3" t="s">
        <v>189</v>
      </c>
      <c r="C2159" s="3" t="s">
        <v>190</v>
      </c>
      <c r="D2159" s="3" t="s">
        <v>5840</v>
      </c>
      <c r="E2159" s="3" t="s">
        <v>5579</v>
      </c>
      <c r="F2159" s="3" t="s">
        <v>5580</v>
      </c>
      <c r="G2159" s="3" t="str">
        <f>IFERROR(__xludf.DUMMYFUNCTION("GOOGLETRANSLATE(D2159,""fr"",""es"")"),"servido")</f>
        <v>servido</v>
      </c>
    </row>
    <row r="2160">
      <c r="A2160" s="3">
        <v>2138.0</v>
      </c>
      <c r="B2160" s="3" t="s">
        <v>189</v>
      </c>
      <c r="C2160" s="3" t="s">
        <v>190</v>
      </c>
      <c r="D2160" s="3" t="s">
        <v>5841</v>
      </c>
      <c r="E2160" s="3" t="s">
        <v>5579</v>
      </c>
      <c r="F2160" s="3" t="s">
        <v>5580</v>
      </c>
      <c r="G2160" s="3" t="str">
        <f>IFERROR(__xludf.DUMMYFUNCTION("GOOGLETRANSLATE(D2160,""fr"",""es"")"),"salina")</f>
        <v>salina</v>
      </c>
    </row>
    <row r="2161">
      <c r="A2161" s="3">
        <v>2139.0</v>
      </c>
      <c r="B2161" s="3" t="s">
        <v>189</v>
      </c>
      <c r="C2161" s="3" t="s">
        <v>190</v>
      </c>
      <c r="D2161" s="3" t="s">
        <v>5842</v>
      </c>
      <c r="E2161" s="3" t="s">
        <v>5579</v>
      </c>
      <c r="F2161" s="3" t="s">
        <v>5580</v>
      </c>
      <c r="G2161" s="3" t="str">
        <f>IFERROR(__xludf.DUMMYFUNCTION("GOOGLETRANSLATE(D2161,""fr"",""es"")"),"Selección")</f>
        <v>Selección</v>
      </c>
    </row>
    <row r="2162">
      <c r="A2162" s="3">
        <v>2140.0</v>
      </c>
      <c r="B2162" s="3" t="s">
        <v>189</v>
      </c>
      <c r="C2162" s="3" t="s">
        <v>190</v>
      </c>
      <c r="D2162" s="3" t="s">
        <v>5843</v>
      </c>
      <c r="E2162" s="3" t="s">
        <v>5588</v>
      </c>
      <c r="F2162" s="3" t="s">
        <v>5589</v>
      </c>
      <c r="G2162" s="3" t="str">
        <f>IFERROR(__xludf.DUMMYFUNCTION("GOOGLETRANSLATE(D2162,""fr"",""es"")"),"precioso")</f>
        <v>precioso</v>
      </c>
    </row>
    <row r="2163">
      <c r="A2163" s="3">
        <v>2141.0</v>
      </c>
      <c r="B2163" s="3" t="s">
        <v>189</v>
      </c>
      <c r="C2163" s="3" t="s">
        <v>190</v>
      </c>
      <c r="D2163" s="3" t="s">
        <v>5844</v>
      </c>
      <c r="E2163" s="3" t="s">
        <v>5568</v>
      </c>
      <c r="F2163" s="3" t="s">
        <v>5569</v>
      </c>
      <c r="G2163" s="3" t="str">
        <f>IFERROR(__xludf.DUMMYFUNCTION("GOOGLETRANSLATE(D2163,""fr"",""es"")"),"sedorass")</f>
        <v>sedorass</v>
      </c>
    </row>
    <row r="2164">
      <c r="A2164" s="3">
        <v>2142.0</v>
      </c>
      <c r="B2164" s="3" t="s">
        <v>189</v>
      </c>
      <c r="C2164" s="3" t="s">
        <v>190</v>
      </c>
      <c r="D2164" s="3" t="s">
        <v>5845</v>
      </c>
      <c r="E2164" s="3" t="s">
        <v>5568</v>
      </c>
      <c r="F2164" s="3" t="s">
        <v>5569</v>
      </c>
      <c r="G2164" s="3" t="str">
        <f>IFERROR(__xludf.DUMMYFUNCTION("GOOGLETRANSLATE(D2164,""fr"",""es"")"),"sillas")</f>
        <v>sillas</v>
      </c>
    </row>
    <row r="2165">
      <c r="A2165" s="3">
        <v>2143.0</v>
      </c>
      <c r="B2165" s="3" t="s">
        <v>189</v>
      </c>
      <c r="C2165" s="3" t="s">
        <v>190</v>
      </c>
      <c r="D2165" s="3" t="s">
        <v>5846</v>
      </c>
      <c r="E2165" s="3" t="s">
        <v>5568</v>
      </c>
      <c r="F2165" s="3" t="s">
        <v>5569</v>
      </c>
      <c r="G2165" s="3" t="str">
        <f>IFERROR(__xludf.DUMMYFUNCTION("GOOGLETRANSLATE(D2165,""fr"",""es"")"),"setass")</f>
        <v>setass</v>
      </c>
    </row>
    <row r="2166">
      <c r="A2166" s="3">
        <v>2144.0</v>
      </c>
      <c r="B2166" s="3" t="s">
        <v>189</v>
      </c>
      <c r="C2166" s="3" t="s">
        <v>190</v>
      </c>
      <c r="D2166" s="3" t="s">
        <v>5847</v>
      </c>
      <c r="E2166" s="3" t="s">
        <v>1411</v>
      </c>
      <c r="F2166" s="3" t="s">
        <v>1412</v>
      </c>
      <c r="G2166" s="3" t="str">
        <f>IFERROR(__xludf.DUMMYFUNCTION("GOOGLETRANSLATE(D2166,""fr"",""es"")"),"sillín")</f>
        <v>sillín</v>
      </c>
      <c r="H2166" s="3" t="s">
        <v>5848</v>
      </c>
      <c r="I2166" s="3" t="s">
        <v>5849</v>
      </c>
      <c r="J2166" s="3" t="s">
        <v>5850</v>
      </c>
      <c r="K2166" s="3" t="s">
        <v>5849</v>
      </c>
      <c r="L2166" s="3" t="s">
        <v>5849</v>
      </c>
      <c r="M2166" s="3" t="s">
        <v>5849</v>
      </c>
      <c r="N2166" s="3" t="s">
        <v>5851</v>
      </c>
      <c r="O2166" s="3" t="s">
        <v>5849</v>
      </c>
      <c r="P2166" s="3" t="s">
        <v>5849</v>
      </c>
      <c r="Q2166" s="3" t="s">
        <v>5849</v>
      </c>
      <c r="R2166" s="3" t="s">
        <v>5852</v>
      </c>
      <c r="S2166" s="3" t="s">
        <v>5849</v>
      </c>
      <c r="T2166" s="3" t="s">
        <v>5853</v>
      </c>
      <c r="U2166" s="3" t="s">
        <v>5849</v>
      </c>
    </row>
    <row r="2167">
      <c r="A2167" s="3">
        <v>2145.0</v>
      </c>
      <c r="B2167" s="3" t="s">
        <v>189</v>
      </c>
      <c r="C2167" s="3" t="s">
        <v>190</v>
      </c>
      <c r="D2167" s="3" t="s">
        <v>5854</v>
      </c>
      <c r="E2167" s="3" t="s">
        <v>1411</v>
      </c>
      <c r="F2167" s="3" t="s">
        <v>1412</v>
      </c>
      <c r="G2167" s="3" t="str">
        <f>IFERROR(__xludf.DUMMYFUNCTION("GOOGLETRANSLATE(D2167,""fr"",""es"")"),"configurar")</f>
        <v>configurar</v>
      </c>
    </row>
    <row r="2168">
      <c r="A2168" s="3">
        <v>2146.0</v>
      </c>
      <c r="B2168" s="3" t="s">
        <v>189</v>
      </c>
      <c r="C2168" s="3" t="s">
        <v>190</v>
      </c>
      <c r="D2168" s="3" t="s">
        <v>5855</v>
      </c>
      <c r="E2168" s="3" t="s">
        <v>1411</v>
      </c>
      <c r="F2168" s="3" t="s">
        <v>1412</v>
      </c>
      <c r="G2168" s="3" t="str">
        <f>IFERROR(__xludf.DUMMYFUNCTION("GOOGLETRANSLATE(D2168,""fr"",""es"")"),"heces")</f>
        <v>heces</v>
      </c>
    </row>
    <row r="2169">
      <c r="A2169" s="3">
        <v>2147.0</v>
      </c>
      <c r="B2169" s="3" t="s">
        <v>189</v>
      </c>
      <c r="C2169" s="3" t="s">
        <v>190</v>
      </c>
      <c r="D2169" s="3" t="s">
        <v>5856</v>
      </c>
      <c r="E2169" s="3" t="s">
        <v>1411</v>
      </c>
      <c r="F2169" s="3" t="s">
        <v>1412</v>
      </c>
      <c r="G2169" s="3" t="str">
        <f>IFERROR(__xludf.DUMMYFUNCTION("GOOGLETRANSLATE(D2169,""fr"",""es"")"),"sales")</f>
        <v>sales</v>
      </c>
    </row>
    <row r="2170">
      <c r="A2170" s="3">
        <v>2148.0</v>
      </c>
      <c r="B2170" s="3" t="s">
        <v>189</v>
      </c>
      <c r="C2170" s="3" t="s">
        <v>190</v>
      </c>
      <c r="D2170" s="3" t="s">
        <v>5857</v>
      </c>
      <c r="E2170" s="3" t="s">
        <v>5665</v>
      </c>
      <c r="F2170" s="3" t="s">
        <v>5666</v>
      </c>
      <c r="G2170" s="3" t="str">
        <f>IFERROR(__xludf.DUMMYFUNCTION("GOOGLETRANSLATE(D2170,""fr"",""es"")"),"Sem")</f>
        <v>Sem</v>
      </c>
      <c r="H2170" s="3" t="s">
        <v>5858</v>
      </c>
    </row>
    <row r="2171">
      <c r="A2171" s="3">
        <v>2149.0</v>
      </c>
      <c r="B2171" s="3" t="s">
        <v>189</v>
      </c>
      <c r="C2171" s="3" t="s">
        <v>190</v>
      </c>
      <c r="D2171" s="3" t="s">
        <v>5859</v>
      </c>
      <c r="E2171" s="3" t="s">
        <v>5665</v>
      </c>
      <c r="F2171" s="3" t="s">
        <v>5666</v>
      </c>
      <c r="G2171" s="3" t="str">
        <f>IFERROR(__xludf.DUMMYFUNCTION("GOOGLETRANSLATE(D2171,""fr"",""es"")"),"sembrar")</f>
        <v>sembrar</v>
      </c>
    </row>
    <row r="2172">
      <c r="A2172" s="3">
        <v>2150.0</v>
      </c>
      <c r="B2172" s="3" t="s">
        <v>189</v>
      </c>
      <c r="C2172" s="3" t="s">
        <v>190</v>
      </c>
      <c r="D2172" s="3" t="s">
        <v>5860</v>
      </c>
      <c r="E2172" s="3" t="s">
        <v>5665</v>
      </c>
      <c r="F2172" s="3" t="s">
        <v>5666</v>
      </c>
      <c r="G2172" s="3" t="str">
        <f>IFERROR(__xludf.DUMMYFUNCTION("GOOGLETRANSLATE(D2172,""fr"",""es"")"),"sèves")</f>
        <v>sèves</v>
      </c>
    </row>
    <row r="2173">
      <c r="A2173" s="3">
        <v>2151.0</v>
      </c>
      <c r="B2173" s="3" t="s">
        <v>189</v>
      </c>
      <c r="C2173" s="3" t="s">
        <v>190</v>
      </c>
      <c r="D2173" s="3" t="s">
        <v>5861</v>
      </c>
      <c r="E2173" s="3" t="s">
        <v>1418</v>
      </c>
      <c r="F2173" s="3" t="s">
        <v>1419</v>
      </c>
      <c r="G2173" s="3" t="str">
        <f>IFERROR(__xludf.DUMMYFUNCTION("GOOGLETRANSLATE(D2173,""fr"",""es"")"),"senne")</f>
        <v>senne</v>
      </c>
    </row>
    <row r="2174">
      <c r="A2174" s="3">
        <v>2152.0</v>
      </c>
      <c r="B2174" s="3" t="s">
        <v>189</v>
      </c>
      <c r="C2174" s="3" t="s">
        <v>190</v>
      </c>
      <c r="D2174" s="3" t="s">
        <v>5862</v>
      </c>
      <c r="E2174" s="3" t="s">
        <v>1418</v>
      </c>
      <c r="F2174" s="3" t="s">
        <v>1419</v>
      </c>
      <c r="G2174" s="3" t="str">
        <f>IFERROR(__xludf.DUMMYFUNCTION("GOOGLETRANSLATE(D2174,""fr"",""es"")"),"sennes")</f>
        <v>sennes</v>
      </c>
    </row>
    <row r="2175">
      <c r="A2175" s="3">
        <v>2153.0</v>
      </c>
      <c r="B2175" s="3" t="s">
        <v>189</v>
      </c>
      <c r="C2175" s="3" t="s">
        <v>190</v>
      </c>
      <c r="D2175" s="3" t="s">
        <v>5863</v>
      </c>
      <c r="E2175" s="3" t="s">
        <v>5864</v>
      </c>
      <c r="F2175" s="3" t="s">
        <v>5865</v>
      </c>
      <c r="G2175" s="3" t="str">
        <f>IFERROR(__xludf.DUMMYFUNCTION("GOOGLETRANSLATE(D2175,""fr"",""es"")"),"Seychelles")</f>
        <v>Seychelles</v>
      </c>
      <c r="H2175" s="3" t="s">
        <v>5863</v>
      </c>
      <c r="I2175" s="3" t="s">
        <v>5866</v>
      </c>
      <c r="J2175" s="3" t="s">
        <v>5863</v>
      </c>
      <c r="K2175" s="3" t="s">
        <v>5867</v>
      </c>
    </row>
    <row r="2176">
      <c r="A2176" s="3">
        <v>2154.0</v>
      </c>
      <c r="B2176" s="3" t="s">
        <v>189</v>
      </c>
      <c r="C2176" s="3" t="s">
        <v>190</v>
      </c>
      <c r="D2176" s="3" t="s">
        <v>5868</v>
      </c>
      <c r="E2176" s="3" t="s">
        <v>5869</v>
      </c>
      <c r="F2176" s="3" t="s">
        <v>5870</v>
      </c>
      <c r="G2176" s="3" t="str">
        <f>IFERROR(__xludf.DUMMYFUNCTION("GOOGLETRANSLATE(D2176,""fr"",""es"")"),"sotai")</f>
        <v>sotai</v>
      </c>
    </row>
    <row r="2177">
      <c r="A2177" s="3">
        <v>2155.0</v>
      </c>
      <c r="B2177" s="3" t="s">
        <v>189</v>
      </c>
      <c r="C2177" s="3" t="s">
        <v>190</v>
      </c>
      <c r="D2177" s="3" t="s">
        <v>5871</v>
      </c>
      <c r="E2177" s="3" t="s">
        <v>5869</v>
      </c>
      <c r="F2177" s="3" t="s">
        <v>5870</v>
      </c>
      <c r="G2177" s="3" t="str">
        <f>IFERROR(__xludf.DUMMYFUNCTION("GOOGLETRANSLATE(D2177,""fr"",""es"")"),"estaban disparando")</f>
        <v>estaban disparando</v>
      </c>
    </row>
    <row r="2178">
      <c r="A2178" s="3">
        <v>2156.0</v>
      </c>
      <c r="B2178" s="3" t="s">
        <v>189</v>
      </c>
      <c r="C2178" s="3" t="s">
        <v>190</v>
      </c>
      <c r="D2178" s="3" t="s">
        <v>5872</v>
      </c>
      <c r="E2178" s="3" t="s">
        <v>5869</v>
      </c>
      <c r="F2178" s="3" t="s">
        <v>5870</v>
      </c>
      <c r="G2178" s="3" t="str">
        <f>IFERROR(__xludf.DUMMYFUNCTION("GOOGLETRANSLATE(D2178,""fr"",""es"")"),"tiroteo")</f>
        <v>tiroteo</v>
      </c>
    </row>
    <row r="2179">
      <c r="A2179" s="3">
        <v>2157.0</v>
      </c>
      <c r="B2179" s="3" t="s">
        <v>189</v>
      </c>
      <c r="C2179" s="3" t="s">
        <v>190</v>
      </c>
      <c r="D2179" s="3" t="s">
        <v>5873</v>
      </c>
      <c r="E2179" s="3" t="s">
        <v>5869</v>
      </c>
      <c r="F2179" s="3" t="s">
        <v>5870</v>
      </c>
      <c r="G2179" s="3" t="str">
        <f>IFERROR(__xludf.DUMMYFUNCTION("GOOGLETRANSLATE(D2179,""fr"",""es"")"),"Disparo")</f>
        <v>Disparo</v>
      </c>
    </row>
    <row r="2180">
      <c r="A2180" s="3">
        <v>2158.0</v>
      </c>
      <c r="B2180" s="3" t="s">
        <v>189</v>
      </c>
      <c r="C2180" s="3" t="s">
        <v>190</v>
      </c>
      <c r="D2180" s="3" t="s">
        <v>5874</v>
      </c>
      <c r="E2180" s="3" t="s">
        <v>5875</v>
      </c>
      <c r="F2180" s="3" t="s">
        <v>5876</v>
      </c>
      <c r="G2180" s="3" t="str">
        <f>IFERROR(__xludf.DUMMYFUNCTION("GOOGLETRANSLATE(D2180,""fr"",""es"")"),"disparar")</f>
        <v>disparar</v>
      </c>
    </row>
    <row r="2181">
      <c r="A2181" s="3">
        <v>2159.0</v>
      </c>
      <c r="B2181" s="3" t="s">
        <v>189</v>
      </c>
      <c r="C2181" s="3" t="s">
        <v>190</v>
      </c>
      <c r="D2181" s="3" t="s">
        <v>5877</v>
      </c>
      <c r="E2181" s="3" t="s">
        <v>5878</v>
      </c>
      <c r="F2181" s="3" t="s">
        <v>5879</v>
      </c>
      <c r="G2181" s="3" t="str">
        <f>IFERROR(__xludf.DUMMYFUNCTION("GOOGLETRANSLATE(D2181,""fr"",""es"")"),"shootasse")</f>
        <v>shootasse</v>
      </c>
    </row>
    <row r="2182">
      <c r="A2182" s="3">
        <v>2160.0</v>
      </c>
      <c r="B2182" s="3" t="s">
        <v>189</v>
      </c>
      <c r="C2182" s="3" t="s">
        <v>190</v>
      </c>
      <c r="D2182" s="3" t="s">
        <v>5880</v>
      </c>
      <c r="E2182" s="3" t="s">
        <v>5878</v>
      </c>
      <c r="F2182" s="3" t="s">
        <v>5879</v>
      </c>
      <c r="G2182" s="3" t="str">
        <f>IFERROR(__xludf.DUMMYFUNCTION("GOOGLETRANSLATE(D2182,""fr"",""es"")"),"Disparo")</f>
        <v>Disparo</v>
      </c>
    </row>
    <row r="2183">
      <c r="A2183" s="3">
        <v>2161.0</v>
      </c>
      <c r="B2183" s="3" t="s">
        <v>189</v>
      </c>
      <c r="C2183" s="3" t="s">
        <v>190</v>
      </c>
      <c r="D2183" s="3" t="s">
        <v>5881</v>
      </c>
      <c r="E2183" s="3" t="s">
        <v>5878</v>
      </c>
      <c r="F2183" s="3" t="s">
        <v>5879</v>
      </c>
      <c r="G2183" s="3" t="str">
        <f>IFERROR(__xludf.DUMMYFUNCTION("GOOGLETRANSLATE(D2183,""fr"",""es"")"),"shootasse")</f>
        <v>shootasse</v>
      </c>
    </row>
    <row r="2184">
      <c r="A2184" s="3">
        <v>2162.0</v>
      </c>
      <c r="B2184" s="3" t="s">
        <v>189</v>
      </c>
      <c r="C2184" s="3" t="s">
        <v>190</v>
      </c>
      <c r="D2184" s="3" t="s">
        <v>1910</v>
      </c>
      <c r="E2184" s="3" t="s">
        <v>1909</v>
      </c>
      <c r="F2184" s="3" t="s">
        <v>1910</v>
      </c>
      <c r="G2184" s="3" t="str">
        <f>IFERROR(__xludf.DUMMYFUNCTION("GOOGLETRANSLATE(D2184,""fr"",""es"")"),"si")</f>
        <v>si</v>
      </c>
      <c r="H2184" s="3" t="s">
        <v>5882</v>
      </c>
      <c r="I2184" s="3" t="s">
        <v>5883</v>
      </c>
      <c r="J2184" s="3" t="s">
        <v>5884</v>
      </c>
      <c r="K2184" s="3" t="s">
        <v>5885</v>
      </c>
      <c r="L2184" s="3" t="s">
        <v>5886</v>
      </c>
      <c r="M2184" s="3" t="s">
        <v>5887</v>
      </c>
      <c r="N2184" s="3" t="s">
        <v>5888</v>
      </c>
      <c r="O2184" s="3" t="s">
        <v>5889</v>
      </c>
      <c r="P2184" s="3" t="s">
        <v>5890</v>
      </c>
      <c r="Q2184" s="3" t="s">
        <v>5891</v>
      </c>
      <c r="R2184" s="3" t="s">
        <v>5892</v>
      </c>
      <c r="S2184" s="3" t="s">
        <v>5893</v>
      </c>
    </row>
    <row r="2185">
      <c r="A2185" s="3">
        <v>2163.0</v>
      </c>
      <c r="B2185" s="3" t="s">
        <v>189</v>
      </c>
      <c r="C2185" s="3" t="s">
        <v>190</v>
      </c>
      <c r="D2185" s="3" t="s">
        <v>5894</v>
      </c>
      <c r="E2185" s="3" t="s">
        <v>2227</v>
      </c>
      <c r="F2185" s="3" t="s">
        <v>2228</v>
      </c>
      <c r="G2185" s="3" t="str">
        <f>IFERROR(__xludf.DUMMYFUNCTION("GOOGLETRANSLATE(D2185,""fr"",""es"")"),"sic")</f>
        <v>sic</v>
      </c>
      <c r="H2185" s="3" t="s">
        <v>5894</v>
      </c>
    </row>
    <row r="2186">
      <c r="A2186" s="3">
        <v>2164.0</v>
      </c>
      <c r="B2186" s="3" t="s">
        <v>189</v>
      </c>
      <c r="C2186" s="3" t="s">
        <v>190</v>
      </c>
      <c r="D2186" s="3" t="s">
        <v>5895</v>
      </c>
      <c r="E2186" s="3" t="s">
        <v>5896</v>
      </c>
      <c r="F2186" s="3" t="s">
        <v>5897</v>
      </c>
      <c r="G2186" s="3" t="str">
        <f>IFERROR(__xludf.DUMMYFUNCTION("GOOGLETRANSLATE(D2186,""fr"",""es"")"),"Sicilia")</f>
        <v>Sicilia</v>
      </c>
      <c r="H2186" s="3" t="s">
        <v>5898</v>
      </c>
      <c r="I2186" s="3" t="s">
        <v>5899</v>
      </c>
      <c r="J2186" s="3" t="s">
        <v>5898</v>
      </c>
      <c r="K2186" s="3" t="s">
        <v>5899</v>
      </c>
    </row>
    <row r="2187">
      <c r="A2187" s="3">
        <v>2165.0</v>
      </c>
      <c r="B2187" s="3" t="s">
        <v>189</v>
      </c>
      <c r="C2187" s="3" t="s">
        <v>190</v>
      </c>
      <c r="D2187" s="3" t="s">
        <v>5900</v>
      </c>
      <c r="E2187" s="3" t="s">
        <v>5901</v>
      </c>
      <c r="F2187" s="3" t="s">
        <v>5902</v>
      </c>
      <c r="G2187" s="3" t="str">
        <f>IFERROR(__xludf.DUMMYFUNCTION("GOOGLETRANSLATE(D2187,""fr"",""es"")"),"señal")</f>
        <v>señal</v>
      </c>
    </row>
    <row r="2188">
      <c r="A2188" s="3">
        <v>2166.0</v>
      </c>
      <c r="B2188" s="3" t="s">
        <v>189</v>
      </c>
      <c r="C2188" s="3" t="s">
        <v>190</v>
      </c>
      <c r="D2188" s="3" t="s">
        <v>5903</v>
      </c>
      <c r="E2188" s="3" t="s">
        <v>5901</v>
      </c>
      <c r="F2188" s="3" t="s">
        <v>5902</v>
      </c>
      <c r="G2188" s="3" t="str">
        <f>IFERROR(__xludf.DUMMYFUNCTION("GOOGLETRANSLATE(D2188,""fr"",""es"")"),"firmado")</f>
        <v>firmado</v>
      </c>
    </row>
    <row r="2189">
      <c r="A2189" s="3">
        <v>2167.0</v>
      </c>
      <c r="B2189" s="3" t="s">
        <v>189</v>
      </c>
      <c r="C2189" s="3" t="s">
        <v>190</v>
      </c>
      <c r="D2189" s="3" t="s">
        <v>5904</v>
      </c>
      <c r="E2189" s="3" t="s">
        <v>5901</v>
      </c>
      <c r="F2189" s="3" t="s">
        <v>5902</v>
      </c>
      <c r="G2189" s="3" t="str">
        <f>IFERROR(__xludf.DUMMYFUNCTION("GOOGLETRANSLATE(D2189,""fr"",""es"")"),"señal")</f>
        <v>señal</v>
      </c>
    </row>
    <row r="2190">
      <c r="A2190" s="3">
        <v>2168.0</v>
      </c>
      <c r="B2190" s="3" t="s">
        <v>189</v>
      </c>
      <c r="C2190" s="3" t="s">
        <v>190</v>
      </c>
      <c r="D2190" s="3" t="s">
        <v>5905</v>
      </c>
      <c r="E2190" s="3" t="s">
        <v>5901</v>
      </c>
      <c r="F2190" s="3" t="s">
        <v>5902</v>
      </c>
      <c r="G2190" s="3" t="str">
        <f>IFERROR(__xludf.DUMMYFUNCTION("GOOGLETRANSLATE(D2190,""fr"",""es"")"),"firmado")</f>
        <v>firmado</v>
      </c>
    </row>
    <row r="2191">
      <c r="A2191" s="3">
        <v>2169.0</v>
      </c>
      <c r="B2191" s="3" t="s">
        <v>189</v>
      </c>
      <c r="C2191" s="3" t="s">
        <v>190</v>
      </c>
      <c r="D2191" s="3" t="s">
        <v>5906</v>
      </c>
      <c r="E2191" s="3" t="s">
        <v>5907</v>
      </c>
      <c r="F2191" s="3" t="s">
        <v>5908</v>
      </c>
      <c r="G2191" s="3" t="str">
        <f>IFERROR(__xludf.DUMMYFUNCTION("GOOGLETRANSLATE(D2191,""fr"",""es"")"),"señal")</f>
        <v>señal</v>
      </c>
      <c r="H2191" s="3" t="s">
        <v>5909</v>
      </c>
      <c r="I2191" s="3" t="s">
        <v>5906</v>
      </c>
      <c r="J2191" s="3" t="s">
        <v>5910</v>
      </c>
      <c r="K2191" s="3" t="s">
        <v>5911</v>
      </c>
      <c r="L2191" s="3" t="s">
        <v>5906</v>
      </c>
      <c r="M2191" s="3" t="s">
        <v>5912</v>
      </c>
      <c r="N2191" s="3" t="s">
        <v>5906</v>
      </c>
      <c r="O2191" s="3" t="s">
        <v>5913</v>
      </c>
      <c r="P2191" s="3" t="s">
        <v>5909</v>
      </c>
      <c r="Q2191" s="3" t="s">
        <v>5909</v>
      </c>
      <c r="R2191" s="3" t="s">
        <v>5906</v>
      </c>
      <c r="S2191" s="3" t="s">
        <v>5906</v>
      </c>
    </row>
    <row r="2192">
      <c r="A2192" s="3">
        <v>2170.0</v>
      </c>
      <c r="B2192" s="3" t="s">
        <v>189</v>
      </c>
      <c r="C2192" s="3" t="s">
        <v>190</v>
      </c>
      <c r="D2192" s="3" t="s">
        <v>5914</v>
      </c>
      <c r="E2192" s="3" t="s">
        <v>5915</v>
      </c>
      <c r="F2192" s="3" t="s">
        <v>5916</v>
      </c>
      <c r="G2192" s="3" t="str">
        <f>IFERROR(__xludf.DUMMYFUNCTION("GOOGLETRANSLATE(D2192,""fr"",""es"")"),"señalado")</f>
        <v>señalado</v>
      </c>
    </row>
    <row r="2193">
      <c r="A2193" s="3">
        <v>2171.0</v>
      </c>
      <c r="B2193" s="3" t="s">
        <v>189</v>
      </c>
      <c r="C2193" s="3" t="s">
        <v>190</v>
      </c>
      <c r="D2193" s="3" t="s">
        <v>5917</v>
      </c>
      <c r="E2193" s="3" t="s">
        <v>5915</v>
      </c>
      <c r="F2193" s="3" t="s">
        <v>5916</v>
      </c>
      <c r="G2193" s="3" t="str">
        <f>IFERROR(__xludf.DUMMYFUNCTION("GOOGLETRANSLATE(D2193,""fr"",""es"")"),"firmado")</f>
        <v>firmado</v>
      </c>
    </row>
    <row r="2194">
      <c r="A2194" s="3">
        <v>2172.0</v>
      </c>
      <c r="B2194" s="3" t="s">
        <v>189</v>
      </c>
      <c r="C2194" s="3" t="s">
        <v>190</v>
      </c>
      <c r="D2194" s="3" t="s">
        <v>5918</v>
      </c>
      <c r="E2194" s="3" t="s">
        <v>5915</v>
      </c>
      <c r="F2194" s="3" t="s">
        <v>5916</v>
      </c>
      <c r="G2194" s="3" t="str">
        <f>IFERROR(__xludf.DUMMYFUNCTION("GOOGLETRANSLATE(D2194,""fr"",""es"")"),"señal")</f>
        <v>señal</v>
      </c>
    </row>
    <row r="2195">
      <c r="A2195" s="3">
        <v>2173.0</v>
      </c>
      <c r="B2195" s="3" t="s">
        <v>189</v>
      </c>
      <c r="C2195" s="3" t="s">
        <v>190</v>
      </c>
      <c r="D2195" s="3" t="s">
        <v>5919</v>
      </c>
      <c r="E2195" s="3" t="s">
        <v>5915</v>
      </c>
      <c r="F2195" s="3" t="s">
        <v>5916</v>
      </c>
      <c r="G2195" s="3" t="str">
        <f>IFERROR(__xludf.DUMMYFUNCTION("GOOGLETRANSLATE(D2195,""fr"",""es"")"),"firmado")</f>
        <v>firmado</v>
      </c>
    </row>
    <row r="2196">
      <c r="A2196" s="3">
        <v>2174.0</v>
      </c>
      <c r="B2196" s="3" t="s">
        <v>189</v>
      </c>
      <c r="C2196" s="3" t="s">
        <v>190</v>
      </c>
      <c r="D2196" s="3" t="s">
        <v>5920</v>
      </c>
      <c r="E2196" s="3" t="s">
        <v>5921</v>
      </c>
      <c r="F2196" s="3" t="s">
        <v>5922</v>
      </c>
      <c r="G2196" s="3" t="str">
        <f>IFERROR(__xludf.DUMMYFUNCTION("GOOGLETRANSLATE(D2196,""fr"",""es"")"),"señal")</f>
        <v>señal</v>
      </c>
    </row>
    <row r="2197">
      <c r="A2197" s="3">
        <v>2175.0</v>
      </c>
      <c r="B2197" s="3" t="s">
        <v>189</v>
      </c>
      <c r="C2197" s="3" t="s">
        <v>190</v>
      </c>
      <c r="D2197" s="3" t="s">
        <v>5923</v>
      </c>
      <c r="E2197" s="3" t="s">
        <v>5924</v>
      </c>
      <c r="F2197" s="3" t="s">
        <v>5925</v>
      </c>
      <c r="G2197" s="3" t="str">
        <f>IFERROR(__xludf.DUMMYFUNCTION("GOOGLETRANSLATE(D2197,""fr"",""es"")"),"señal")</f>
        <v>señal</v>
      </c>
    </row>
    <row r="2198">
      <c r="A2198" s="3">
        <v>2176.0</v>
      </c>
      <c r="B2198" s="3" t="s">
        <v>189</v>
      </c>
      <c r="C2198" s="3" t="s">
        <v>190</v>
      </c>
      <c r="D2198" s="3" t="s">
        <v>5926</v>
      </c>
      <c r="E2198" s="3" t="s">
        <v>5924</v>
      </c>
      <c r="F2198" s="3" t="s">
        <v>5925</v>
      </c>
      <c r="G2198" s="3" t="str">
        <f>IFERROR(__xludf.DUMMYFUNCTION("GOOGLETRANSLATE(D2198,""fr"",""es"")"),"señal")</f>
        <v>señal</v>
      </c>
    </row>
    <row r="2199">
      <c r="A2199" s="3">
        <v>2177.0</v>
      </c>
      <c r="B2199" s="3" t="s">
        <v>189</v>
      </c>
      <c r="C2199" s="3" t="s">
        <v>190</v>
      </c>
      <c r="D2199" s="3" t="s">
        <v>5927</v>
      </c>
      <c r="E2199" s="3" t="s">
        <v>5924</v>
      </c>
      <c r="F2199" s="3" t="s">
        <v>5925</v>
      </c>
      <c r="G2199" s="3" t="str">
        <f>IFERROR(__xludf.DUMMYFUNCTION("GOOGLETRANSLATE(D2199,""fr"",""es"")"),"señal")</f>
        <v>señal</v>
      </c>
    </row>
    <row r="2200">
      <c r="A2200" s="3">
        <v>2178.0</v>
      </c>
      <c r="B2200" s="3" t="s">
        <v>189</v>
      </c>
      <c r="C2200" s="3" t="s">
        <v>190</v>
      </c>
      <c r="D2200" s="3" t="s">
        <v>5928</v>
      </c>
      <c r="E2200" s="3" t="s">
        <v>5907</v>
      </c>
      <c r="F2200" s="3" t="s">
        <v>5908</v>
      </c>
      <c r="G2200" s="3" t="str">
        <f>IFERROR(__xludf.DUMMYFUNCTION("GOOGLETRANSLATE(D2200,""fr"",""es"")"),"reporte")</f>
        <v>reporte</v>
      </c>
    </row>
    <row r="2201">
      <c r="A2201" s="3">
        <v>2179.0</v>
      </c>
      <c r="B2201" s="3" t="s">
        <v>189</v>
      </c>
      <c r="C2201" s="3" t="s">
        <v>190</v>
      </c>
      <c r="D2201" s="3" t="s">
        <v>5929</v>
      </c>
      <c r="E2201" s="3" t="s">
        <v>5907</v>
      </c>
      <c r="F2201" s="3" t="s">
        <v>5908</v>
      </c>
      <c r="G2201" s="3" t="str">
        <f>IFERROR(__xludf.DUMMYFUNCTION("GOOGLETRANSLATE(D2201,""fr"",""es"")"),"reporte")</f>
        <v>reporte</v>
      </c>
    </row>
    <row r="2202">
      <c r="A2202" s="3">
        <v>2180.0</v>
      </c>
      <c r="B2202" s="3" t="s">
        <v>189</v>
      </c>
      <c r="C2202" s="3" t="s">
        <v>190</v>
      </c>
      <c r="D2202" s="3" t="s">
        <v>5930</v>
      </c>
      <c r="E2202" s="3" t="s">
        <v>5907</v>
      </c>
      <c r="F2202" s="3" t="s">
        <v>5908</v>
      </c>
      <c r="G2202" s="3" t="str">
        <f>IFERROR(__xludf.DUMMYFUNCTION("GOOGLETRANSLATE(D2202,""fr"",""es"")"),"informes")</f>
        <v>informes</v>
      </c>
    </row>
    <row r="2203">
      <c r="A2203" s="3">
        <v>2181.0</v>
      </c>
      <c r="B2203" s="3" t="s">
        <v>189</v>
      </c>
      <c r="C2203" s="3" t="s">
        <v>190</v>
      </c>
      <c r="D2203" s="3" t="s">
        <v>5931</v>
      </c>
      <c r="E2203" s="3" t="s">
        <v>5932</v>
      </c>
      <c r="F2203" s="3" t="s">
        <v>5933</v>
      </c>
      <c r="G2203" s="3" t="str">
        <f>IFERROR(__xludf.DUMMYFUNCTION("GOOGLETRANSLATE(D2203,""fr"",""es"")"),"señal")</f>
        <v>señal</v>
      </c>
    </row>
    <row r="2204">
      <c r="A2204" s="3">
        <v>2182.0</v>
      </c>
      <c r="B2204" s="3" t="s">
        <v>189</v>
      </c>
      <c r="C2204" s="3" t="s">
        <v>190</v>
      </c>
      <c r="D2204" s="3" t="s">
        <v>5934</v>
      </c>
      <c r="E2204" s="3" t="s">
        <v>5935</v>
      </c>
      <c r="F2204" s="3" t="s">
        <v>5936</v>
      </c>
      <c r="G2204" s="3" t="str">
        <f>IFERROR(__xludf.DUMMYFUNCTION("GOOGLETRANSLATE(D2204,""fr"",""es"")"),"señalización")</f>
        <v>señalización</v>
      </c>
    </row>
    <row r="2205">
      <c r="A2205" s="3">
        <v>2183.0</v>
      </c>
      <c r="B2205" s="3" t="s">
        <v>189</v>
      </c>
      <c r="C2205" s="3" t="s">
        <v>190</v>
      </c>
      <c r="D2205" s="3" t="s">
        <v>5937</v>
      </c>
      <c r="E2205" s="3" t="s">
        <v>5935</v>
      </c>
      <c r="F2205" s="3" t="s">
        <v>5936</v>
      </c>
      <c r="G2205" s="3" t="str">
        <f>IFERROR(__xludf.DUMMYFUNCTION("GOOGLETRANSLATE(D2205,""fr"",""es"")"),"señal")</f>
        <v>señal</v>
      </c>
    </row>
    <row r="2206">
      <c r="A2206" s="3">
        <v>2184.0</v>
      </c>
      <c r="B2206" s="3" t="s">
        <v>189</v>
      </c>
      <c r="C2206" s="3" t="s">
        <v>190</v>
      </c>
      <c r="D2206" s="3" t="s">
        <v>5938</v>
      </c>
      <c r="E2206" s="3" t="s">
        <v>5935</v>
      </c>
      <c r="F2206" s="3" t="s">
        <v>5936</v>
      </c>
      <c r="G2206" s="3" t="str">
        <f>IFERROR(__xludf.DUMMYFUNCTION("GOOGLETRANSLATE(D2206,""fr"",""es"")"),"señal")</f>
        <v>señal</v>
      </c>
    </row>
    <row r="2207">
      <c r="A2207" s="3">
        <v>2185.0</v>
      </c>
      <c r="B2207" s="3" t="s">
        <v>189</v>
      </c>
      <c r="C2207" s="3" t="s">
        <v>190</v>
      </c>
      <c r="D2207" s="3" t="s">
        <v>5939</v>
      </c>
      <c r="E2207" s="3" t="s">
        <v>2243</v>
      </c>
      <c r="F2207" s="3" t="s">
        <v>2244</v>
      </c>
      <c r="G2207" s="3" t="str">
        <f>IFERROR(__xludf.DUMMYFUNCTION("GOOGLETRANSLATE(D2207,""fr"",""es"")"),"signo")</f>
        <v>signo</v>
      </c>
      <c r="H2207" s="3" t="s">
        <v>5909</v>
      </c>
      <c r="I2207" s="3" t="s">
        <v>5940</v>
      </c>
      <c r="J2207" s="3" t="s">
        <v>5906</v>
      </c>
      <c r="K2207" s="3" t="s">
        <v>5913</v>
      </c>
      <c r="L2207" s="3" t="s">
        <v>5909</v>
      </c>
      <c r="M2207" s="3" t="s">
        <v>5909</v>
      </c>
      <c r="N2207" s="3" t="s">
        <v>5940</v>
      </c>
      <c r="O2207" s="3" t="s">
        <v>5909</v>
      </c>
      <c r="P2207" s="3" t="s">
        <v>5909</v>
      </c>
      <c r="Q2207" s="3" t="s">
        <v>5941</v>
      </c>
      <c r="R2207" s="3" t="s">
        <v>5942</v>
      </c>
      <c r="S2207" s="3" t="s">
        <v>5909</v>
      </c>
      <c r="T2207" s="3" t="s">
        <v>5943</v>
      </c>
      <c r="U2207" s="3" t="s">
        <v>5944</v>
      </c>
      <c r="V2207" s="3" t="s">
        <v>5945</v>
      </c>
      <c r="W2207" s="3" t="s">
        <v>5906</v>
      </c>
      <c r="X2207" s="3" t="s">
        <v>5946</v>
      </c>
      <c r="Y2207" s="3" t="s">
        <v>5909</v>
      </c>
      <c r="Z2207" s="3" t="s">
        <v>5909</v>
      </c>
    </row>
    <row r="2208">
      <c r="A2208" s="3">
        <v>2186.0</v>
      </c>
      <c r="B2208" s="3" t="s">
        <v>189</v>
      </c>
      <c r="C2208" s="3" t="s">
        <v>190</v>
      </c>
      <c r="D2208" s="3" t="s">
        <v>5947</v>
      </c>
      <c r="E2208" s="3" t="s">
        <v>2243</v>
      </c>
      <c r="F2208" s="3" t="s">
        <v>2244</v>
      </c>
      <c r="G2208" s="3" t="str">
        <f>IFERROR(__xludf.DUMMYFUNCTION("GOOGLETRANSLATE(D2208,""fr"",""es"")"),"señal")</f>
        <v>señal</v>
      </c>
    </row>
    <row r="2209">
      <c r="A2209" s="3">
        <v>2187.0</v>
      </c>
      <c r="B2209" s="3" t="s">
        <v>189</v>
      </c>
      <c r="C2209" s="3" t="s">
        <v>190</v>
      </c>
      <c r="D2209" s="3" t="s">
        <v>5948</v>
      </c>
      <c r="E2209" s="3" t="s">
        <v>2243</v>
      </c>
      <c r="F2209" s="3" t="s">
        <v>2244</v>
      </c>
      <c r="G2209" s="3" t="str">
        <f>IFERROR(__xludf.DUMMYFUNCTION("GOOGLETRANSLATE(D2209,""fr"",""es"")"),"señales")</f>
        <v>señales</v>
      </c>
    </row>
    <row r="2210">
      <c r="A2210" s="3">
        <v>2188.0</v>
      </c>
      <c r="B2210" s="3" t="s">
        <v>189</v>
      </c>
      <c r="C2210" s="3" t="s">
        <v>190</v>
      </c>
      <c r="D2210" s="3" t="s">
        <v>5949</v>
      </c>
      <c r="E2210" s="3" t="s">
        <v>5901</v>
      </c>
      <c r="F2210" s="3" t="s">
        <v>5902</v>
      </c>
      <c r="G2210" s="3" t="str">
        <f>IFERROR(__xludf.DUMMYFUNCTION("GOOGLETRANSLATE(D2210,""fr"",""es"")"),"marcador")</f>
        <v>marcador</v>
      </c>
      <c r="H2210" s="3" t="s">
        <v>5950</v>
      </c>
      <c r="I2210" s="3" t="s">
        <v>5951</v>
      </c>
    </row>
    <row r="2211">
      <c r="A2211" s="3">
        <v>2189.0</v>
      </c>
      <c r="B2211" s="3" t="s">
        <v>189</v>
      </c>
      <c r="C2211" s="3" t="s">
        <v>190</v>
      </c>
      <c r="D2211" s="3" t="s">
        <v>5952</v>
      </c>
      <c r="E2211" s="3" t="s">
        <v>5901</v>
      </c>
      <c r="F2211" s="3" t="s">
        <v>5902</v>
      </c>
      <c r="G2211" s="3" t="str">
        <f>IFERROR(__xludf.DUMMYFUNCTION("GOOGLETRANSLATE(D2211,""fr"",""es"")"),"marcadores")</f>
        <v>marcadores</v>
      </c>
    </row>
    <row r="2212">
      <c r="A2212" s="3">
        <v>2190.0</v>
      </c>
      <c r="B2212" s="3" t="s">
        <v>189</v>
      </c>
      <c r="C2212" s="3" t="s">
        <v>190</v>
      </c>
      <c r="D2212" s="3" t="s">
        <v>5953</v>
      </c>
      <c r="E2212" s="3" t="s">
        <v>2227</v>
      </c>
      <c r="F2212" s="3" t="s">
        <v>2228</v>
      </c>
      <c r="G2212" s="3" t="str">
        <f>IFERROR(__xludf.DUMMYFUNCTION("GOOGLETRANSLATE(D2212,""fr"",""es"")"),"sij")</f>
        <v>sij</v>
      </c>
    </row>
    <row r="2213">
      <c r="A2213" s="3">
        <v>2191.0</v>
      </c>
      <c r="B2213" s="3" t="s">
        <v>189</v>
      </c>
      <c r="C2213" s="3" t="s">
        <v>190</v>
      </c>
      <c r="D2213" s="3" t="s">
        <v>1913</v>
      </c>
      <c r="E2213" s="3" t="s">
        <v>1912</v>
      </c>
      <c r="F2213" s="3" t="s">
        <v>1913</v>
      </c>
      <c r="G2213" s="3" t="str">
        <f>IFERROR(__xludf.DUMMYFUNCTION("GOOGLETRANSLATE(D2213,""fr"",""es"")"),"Sil")</f>
        <v>Sil</v>
      </c>
    </row>
    <row r="2214">
      <c r="A2214" s="3">
        <v>2192.0</v>
      </c>
      <c r="B2214" s="3" t="s">
        <v>189</v>
      </c>
      <c r="C2214" s="3" t="s">
        <v>190</v>
      </c>
      <c r="D2214" s="3" t="s">
        <v>5954</v>
      </c>
      <c r="E2214" s="3" t="s">
        <v>1923</v>
      </c>
      <c r="F2214" s="3" t="s">
        <v>1924</v>
      </c>
      <c r="G2214" s="3" t="str">
        <f>IFERROR(__xludf.DUMMYFUNCTION("GOOGLETRANSLATE(D2214,""fr"",""es"")"),"sílice")</f>
        <v>sílice</v>
      </c>
      <c r="H2214" s="3" t="s">
        <v>5955</v>
      </c>
      <c r="I2214" s="3" t="s">
        <v>5956</v>
      </c>
      <c r="J2214" s="3" t="s">
        <v>5957</v>
      </c>
    </row>
    <row r="2215">
      <c r="A2215" s="3">
        <v>2193.0</v>
      </c>
      <c r="B2215" s="3" t="s">
        <v>189</v>
      </c>
      <c r="C2215" s="3" t="s">
        <v>190</v>
      </c>
      <c r="D2215" s="3" t="s">
        <v>5958</v>
      </c>
      <c r="E2215" s="3" t="s">
        <v>1912</v>
      </c>
      <c r="F2215" s="3" t="s">
        <v>1913</v>
      </c>
      <c r="G2215" s="3" t="str">
        <f>IFERROR(__xludf.DUMMYFUNCTION("GOOGLETRANSLATE(D2215,""fr"",""es"")"),"si ellos")</f>
        <v>si ellos</v>
      </c>
    </row>
    <row r="2216">
      <c r="A2216" s="3">
        <v>2194.0</v>
      </c>
      <c r="B2216" s="3" t="s">
        <v>189</v>
      </c>
      <c r="C2216" s="3" t="s">
        <v>190</v>
      </c>
      <c r="D2216" s="3" t="s">
        <v>5959</v>
      </c>
      <c r="E2216" s="3" t="s">
        <v>5960</v>
      </c>
      <c r="F2216" s="3" t="s">
        <v>5959</v>
      </c>
      <c r="G2216" s="3" t="str">
        <f>IFERROR(__xludf.DUMMYFUNCTION("GOOGLETRANSLATE(D2216,""fr"",""es"")"),"imitación")</f>
        <v>imitación</v>
      </c>
    </row>
    <row r="2217">
      <c r="A2217" s="3">
        <v>2195.0</v>
      </c>
      <c r="B2217" s="3" t="s">
        <v>189</v>
      </c>
      <c r="C2217" s="3" t="s">
        <v>190</v>
      </c>
      <c r="D2217" s="3" t="s">
        <v>5961</v>
      </c>
      <c r="E2217" s="3" t="s">
        <v>5960</v>
      </c>
      <c r="F2217" s="3" t="s">
        <v>5959</v>
      </c>
      <c r="G2217" s="3" t="str">
        <f>IFERROR(__xludf.DUMMYFUNCTION("GOOGLETRANSLATE(D2217,""fr"",""es"")"),"similares")</f>
        <v>similares</v>
      </c>
    </row>
    <row r="2218">
      <c r="A2218" s="3">
        <v>2196.0</v>
      </c>
      <c r="B2218" s="3" t="s">
        <v>189</v>
      </c>
      <c r="C2218" s="3" t="s">
        <v>190</v>
      </c>
      <c r="D2218" s="3" t="s">
        <v>5962</v>
      </c>
      <c r="E2218" s="3" t="s">
        <v>5963</v>
      </c>
      <c r="F2218" s="3" t="s">
        <v>5964</v>
      </c>
      <c r="G2218" s="3" t="str">
        <f>IFERROR(__xludf.DUMMYFUNCTION("GOOGLETRANSLATE(D2218,""fr"",""es"")"),"simún")</f>
        <v>simún</v>
      </c>
      <c r="H2218" s="3" t="s">
        <v>5965</v>
      </c>
      <c r="I2218" s="3" t="s">
        <v>5966</v>
      </c>
      <c r="J2218" s="3" t="s">
        <v>5967</v>
      </c>
    </row>
    <row r="2219">
      <c r="A2219" s="3">
        <v>2197.0</v>
      </c>
      <c r="B2219" s="3" t="s">
        <v>189</v>
      </c>
      <c r="C2219" s="3" t="s">
        <v>190</v>
      </c>
      <c r="D2219" s="3" t="s">
        <v>5968</v>
      </c>
      <c r="E2219" s="3" t="s">
        <v>5963</v>
      </c>
      <c r="F2219" s="3" t="s">
        <v>5964</v>
      </c>
      <c r="G2219" s="3" t="str">
        <f>IFERROR(__xludf.DUMMYFUNCTION("GOOGLETRANSLATE(D2219,""fr"",""es"")"),"Simouns")</f>
        <v>Simouns</v>
      </c>
    </row>
    <row r="2220">
      <c r="A2220" s="3">
        <v>2198.0</v>
      </c>
      <c r="B2220" s="3" t="s">
        <v>189</v>
      </c>
      <c r="C2220" s="3" t="s">
        <v>190</v>
      </c>
      <c r="D2220" s="3" t="s">
        <v>5969</v>
      </c>
      <c r="E2220" s="3" t="s">
        <v>5970</v>
      </c>
      <c r="F2220" s="3" t="s">
        <v>5971</v>
      </c>
      <c r="G2220" s="3" t="str">
        <f>IFERROR(__xludf.DUMMYFUNCTION("GOOGLETRANSLATE(D2220,""fr"",""es"")"),"Sinaí")</f>
        <v>Sinaí</v>
      </c>
      <c r="H2220" s="3" t="s">
        <v>5972</v>
      </c>
      <c r="I2220" s="3" t="s">
        <v>5973</v>
      </c>
      <c r="J2220" s="3" t="s">
        <v>5972</v>
      </c>
      <c r="K2220" s="3" t="s">
        <v>5974</v>
      </c>
      <c r="L2220" s="3" t="s">
        <v>5972</v>
      </c>
      <c r="M2220" s="3" t="s">
        <v>5975</v>
      </c>
    </row>
    <row r="2221">
      <c r="A2221" s="3">
        <v>2199.0</v>
      </c>
      <c r="B2221" s="3" t="s">
        <v>189</v>
      </c>
      <c r="C2221" s="3" t="s">
        <v>190</v>
      </c>
      <c r="D2221" s="3" t="s">
        <v>5976</v>
      </c>
      <c r="E2221" s="3" t="s">
        <v>2260</v>
      </c>
      <c r="F2221" s="3" t="s">
        <v>2261</v>
      </c>
      <c r="G2221" s="3" t="str">
        <f>IFERROR(__xludf.DUMMYFUNCTION("GOOGLETRANSLATE(D2221,""fr"",""es"")"),"siniestro")</f>
        <v>siniestro</v>
      </c>
      <c r="H2221" s="3" t="s">
        <v>2625</v>
      </c>
      <c r="I2221" s="3" t="s">
        <v>2626</v>
      </c>
      <c r="J2221" s="3" t="s">
        <v>2627</v>
      </c>
      <c r="K2221" s="3" t="s">
        <v>2628</v>
      </c>
      <c r="L2221" s="3" t="s">
        <v>2629</v>
      </c>
      <c r="M2221" s="3" t="s">
        <v>2630</v>
      </c>
      <c r="N2221" s="3" t="s">
        <v>2631</v>
      </c>
      <c r="O2221" s="3" t="s">
        <v>2632</v>
      </c>
      <c r="P2221" s="3" t="s">
        <v>5977</v>
      </c>
      <c r="Q2221" s="3" t="s">
        <v>5978</v>
      </c>
      <c r="R2221" s="3" t="s">
        <v>5979</v>
      </c>
      <c r="S2221" s="3" t="s">
        <v>5980</v>
      </c>
      <c r="T2221" s="3" t="s">
        <v>5981</v>
      </c>
      <c r="U2221" s="3" t="s">
        <v>5982</v>
      </c>
      <c r="V2221" s="3" t="s">
        <v>5326</v>
      </c>
      <c r="W2221" s="3" t="s">
        <v>5983</v>
      </c>
      <c r="X2221" s="3" t="s">
        <v>5984</v>
      </c>
      <c r="Y2221" s="3" t="s">
        <v>5985</v>
      </c>
      <c r="Z2221" s="3" t="s">
        <v>4427</v>
      </c>
      <c r="AA2221" s="3" t="s">
        <v>5986</v>
      </c>
    </row>
    <row r="2222">
      <c r="A2222" s="3">
        <v>2200.0</v>
      </c>
      <c r="B2222" s="3" t="s">
        <v>189</v>
      </c>
      <c r="C2222" s="3" t="s">
        <v>190</v>
      </c>
      <c r="D2222" s="3" t="s">
        <v>5987</v>
      </c>
      <c r="E2222" s="3" t="s">
        <v>2260</v>
      </c>
      <c r="F2222" s="3" t="s">
        <v>2261</v>
      </c>
      <c r="G2222" s="3" t="str">
        <f>IFERROR(__xludf.DUMMYFUNCTION("GOOGLETRANSLATE(D2222,""fr"",""es"")"),"reclamación (es")</f>
        <v>reclamación (es</v>
      </c>
    </row>
    <row r="2223">
      <c r="A2223" s="3">
        <v>2201.0</v>
      </c>
      <c r="B2223" s="3" t="s">
        <v>189</v>
      </c>
      <c r="C2223" s="3" t="s">
        <v>190</v>
      </c>
      <c r="D2223" s="3" t="s">
        <v>5988</v>
      </c>
      <c r="E2223" s="3" t="s">
        <v>1909</v>
      </c>
      <c r="F2223" s="3" t="s">
        <v>1910</v>
      </c>
      <c r="G2223" s="3" t="str">
        <f>IFERROR(__xludf.DUMMYFUNCTION("GOOGLETRANSLATE(D2223,""fr"",""es"")"),"hermana")</f>
        <v>hermana</v>
      </c>
      <c r="H2223" s="3" t="s">
        <v>5989</v>
      </c>
      <c r="I2223" s="3" t="s">
        <v>5990</v>
      </c>
      <c r="J2223" s="3" t="s">
        <v>5991</v>
      </c>
      <c r="K2223" s="3" t="s">
        <v>5992</v>
      </c>
      <c r="L2223" s="3" t="s">
        <v>5993</v>
      </c>
      <c r="M2223" s="3" t="s">
        <v>5988</v>
      </c>
    </row>
    <row r="2224">
      <c r="A2224" s="3">
        <v>2202.0</v>
      </c>
      <c r="B2224" s="3" t="s">
        <v>189</v>
      </c>
      <c r="C2224" s="3" t="s">
        <v>190</v>
      </c>
      <c r="D2224" s="3" t="s">
        <v>5994</v>
      </c>
      <c r="E2224" s="3" t="s">
        <v>5668</v>
      </c>
      <c r="F2224" s="3" t="s">
        <v>5669</v>
      </c>
      <c r="G2224" s="3" t="str">
        <f>IFERROR(__xludf.DUMMYFUNCTION("GOOGLETRANSLATE(D2224,""fr"",""es"")"),"sopa")</f>
        <v>sopa</v>
      </c>
      <c r="H2224" s="3" t="s">
        <v>5995</v>
      </c>
    </row>
    <row r="2225">
      <c r="A2225" s="3">
        <v>2203.0</v>
      </c>
      <c r="B2225" s="3" t="s">
        <v>189</v>
      </c>
      <c r="C2225" s="3" t="s">
        <v>190</v>
      </c>
      <c r="D2225" s="3" t="s">
        <v>5996</v>
      </c>
      <c r="E2225" s="3" t="s">
        <v>5997</v>
      </c>
      <c r="F2225" s="3" t="s">
        <v>5998</v>
      </c>
      <c r="G2225" s="3" t="str">
        <f>IFERROR(__xludf.DUMMYFUNCTION("GOOGLETRANSLATE(D2225,""fr"",""es"")"),"tocón")</f>
        <v>tocón</v>
      </c>
      <c r="H2225" s="3" t="s">
        <v>5999</v>
      </c>
      <c r="I2225" s="3" t="s">
        <v>6000</v>
      </c>
      <c r="J2225" s="3" t="s">
        <v>6001</v>
      </c>
      <c r="K2225" s="3" t="s">
        <v>6002</v>
      </c>
      <c r="L2225" s="3" t="s">
        <v>6003</v>
      </c>
      <c r="M2225" s="3" t="s">
        <v>6004</v>
      </c>
      <c r="N2225" s="3" t="s">
        <v>6005</v>
      </c>
    </row>
    <row r="2226">
      <c r="A2226" s="3">
        <v>2204.0</v>
      </c>
      <c r="B2226" s="3" t="s">
        <v>189</v>
      </c>
      <c r="C2226" s="3" t="s">
        <v>190</v>
      </c>
      <c r="D2226" s="3" t="s">
        <v>6006</v>
      </c>
      <c r="E2226" s="3" t="s">
        <v>5997</v>
      </c>
      <c r="F2226" s="3" t="s">
        <v>5998</v>
      </c>
      <c r="G2226" s="3" t="str">
        <f>IFERROR(__xludf.DUMMYFUNCTION("GOOGLETRANSLATE(D2226,""fr"",""es"")"),"presiones")</f>
        <v>presiones</v>
      </c>
    </row>
    <row r="2227">
      <c r="A2227" s="3">
        <v>2205.0</v>
      </c>
      <c r="B2227" s="3" t="s">
        <v>189</v>
      </c>
      <c r="C2227" s="3" t="s">
        <v>190</v>
      </c>
      <c r="D2227" s="3" t="s">
        <v>6007</v>
      </c>
      <c r="E2227" s="3" t="s">
        <v>6008</v>
      </c>
      <c r="F2227" s="3" t="s">
        <v>6009</v>
      </c>
      <c r="G2227" s="3" t="str">
        <f>IFERROR(__xludf.DUMMYFUNCTION("GOOGLETRANSLATE(D2227,""fr"",""es"")"),"preocuparse")</f>
        <v>preocuparse</v>
      </c>
      <c r="H2227" s="3" t="s">
        <v>6010</v>
      </c>
      <c r="I2227" s="3" t="s">
        <v>6011</v>
      </c>
      <c r="J2227" s="3" t="s">
        <v>6012</v>
      </c>
      <c r="K2227" s="3" t="s">
        <v>6010</v>
      </c>
      <c r="L2227" s="3" t="s">
        <v>6013</v>
      </c>
      <c r="M2227" s="3" t="s">
        <v>6014</v>
      </c>
      <c r="N2227" s="3" t="s">
        <v>6015</v>
      </c>
      <c r="O2227" s="3" t="s">
        <v>6010</v>
      </c>
      <c r="P2227" s="3" t="s">
        <v>3336</v>
      </c>
      <c r="Q2227" s="3" t="s">
        <v>6016</v>
      </c>
      <c r="R2227" s="3" t="s">
        <v>6017</v>
      </c>
      <c r="S2227" s="3" t="s">
        <v>6018</v>
      </c>
      <c r="T2227" s="3" t="s">
        <v>6019</v>
      </c>
      <c r="U2227" s="3" t="s">
        <v>6020</v>
      </c>
    </row>
    <row r="2228">
      <c r="A2228" s="3">
        <v>2206.0</v>
      </c>
      <c r="B2228" s="3" t="s">
        <v>189</v>
      </c>
      <c r="C2228" s="3" t="s">
        <v>190</v>
      </c>
      <c r="D2228" s="3" t="s">
        <v>6021</v>
      </c>
      <c r="E2228" s="3" t="s">
        <v>6008</v>
      </c>
      <c r="F2228" s="3" t="s">
        <v>6009</v>
      </c>
      <c r="G2228" s="3" t="str">
        <f>IFERROR(__xludf.DUMMYFUNCTION("GOOGLETRANSLATE(D2228,""fr"",""es"")"),"inquietud")</f>
        <v>inquietud</v>
      </c>
    </row>
    <row r="2229">
      <c r="A2229" s="3">
        <v>2207.0</v>
      </c>
      <c r="B2229" s="3" t="s">
        <v>189</v>
      </c>
      <c r="C2229" s="3" t="s">
        <v>190</v>
      </c>
      <c r="D2229" s="3" t="s">
        <v>6022</v>
      </c>
      <c r="E2229" s="3" t="s">
        <v>6008</v>
      </c>
      <c r="F2229" s="3" t="s">
        <v>6009</v>
      </c>
      <c r="G2229" s="3" t="str">
        <f>IFERROR(__xludf.DUMMYFUNCTION("GOOGLETRANSLATE(D2229,""fr"",""es"")"),"soucante")</f>
        <v>soucante</v>
      </c>
    </row>
    <row r="2230">
      <c r="A2230" s="3">
        <v>2208.0</v>
      </c>
      <c r="B2230" s="3" t="s">
        <v>189</v>
      </c>
      <c r="C2230" s="3" t="s">
        <v>190</v>
      </c>
      <c r="D2230" s="3" t="s">
        <v>6023</v>
      </c>
      <c r="E2230" s="3" t="s">
        <v>6008</v>
      </c>
      <c r="F2230" s="3" t="s">
        <v>6009</v>
      </c>
      <c r="G2230" s="3" t="str">
        <f>IFERROR(__xludf.DUMMYFUNCTION("GOOGLETRANSLATE(D2230,""fr"",""es"")"),"inquietud")</f>
        <v>inquietud</v>
      </c>
    </row>
    <row r="2231">
      <c r="A2231" s="3">
        <v>2209.0</v>
      </c>
      <c r="B2231" s="3" t="s">
        <v>189</v>
      </c>
      <c r="C2231" s="3" t="s">
        <v>190</v>
      </c>
      <c r="D2231" s="3" t="s">
        <v>6024</v>
      </c>
      <c r="E2231" s="3" t="s">
        <v>6008</v>
      </c>
      <c r="F2231" s="3" t="s">
        <v>6009</v>
      </c>
      <c r="G2231" s="3" t="str">
        <f>IFERROR(__xludf.DUMMYFUNCTION("GOOGLETRANSLATE(D2231,""fr"",""es"")"),"preocuparse")</f>
        <v>preocuparse</v>
      </c>
      <c r="H2231" s="3" t="s">
        <v>6025</v>
      </c>
    </row>
    <row r="2232">
      <c r="A2232" s="3">
        <v>2210.0</v>
      </c>
      <c r="B2232" s="3" t="s">
        <v>189</v>
      </c>
      <c r="C2232" s="3" t="s">
        <v>190</v>
      </c>
      <c r="D2232" s="3" t="s">
        <v>6026</v>
      </c>
      <c r="E2232" s="3" t="s">
        <v>6027</v>
      </c>
      <c r="F2232" s="3" t="s">
        <v>6028</v>
      </c>
      <c r="G2232" s="3" t="str">
        <f>IFERROR(__xludf.DUMMYFUNCTION("GOOGLETRANSLATE(D2232,""fr"",""es"")"),"platillo")</f>
        <v>platillo</v>
      </c>
      <c r="H2232" s="3" t="s">
        <v>6029</v>
      </c>
      <c r="I2232" s="3" t="s">
        <v>6030</v>
      </c>
      <c r="J2232" s="3" t="s">
        <v>4805</v>
      </c>
      <c r="K2232" s="3" t="s">
        <v>6031</v>
      </c>
      <c r="L2232" s="3" t="s">
        <v>6032</v>
      </c>
      <c r="M2232" s="3" t="s">
        <v>6030</v>
      </c>
      <c r="N2232" s="3" t="s">
        <v>6030</v>
      </c>
      <c r="O2232" s="3" t="s">
        <v>6033</v>
      </c>
      <c r="P2232" s="3" t="s">
        <v>6034</v>
      </c>
      <c r="Q2232" s="3" t="s">
        <v>6030</v>
      </c>
    </row>
    <row r="2233">
      <c r="A2233" s="3">
        <v>2211.0</v>
      </c>
      <c r="B2233" s="3" t="s">
        <v>189</v>
      </c>
      <c r="C2233" s="3" t="s">
        <v>190</v>
      </c>
      <c r="D2233" s="3" t="s">
        <v>6035</v>
      </c>
      <c r="E2233" s="3" t="s">
        <v>6027</v>
      </c>
      <c r="F2233" s="3" t="s">
        <v>6028</v>
      </c>
      <c r="G2233" s="3" t="str">
        <f>IFERROR(__xludf.DUMMYFUNCTION("GOOGLETRANSLATE(D2233,""fr"",""es"")"),"platillo")</f>
        <v>platillo</v>
      </c>
    </row>
    <row r="2234">
      <c r="A2234" s="3">
        <v>2212.0</v>
      </c>
      <c r="B2234" s="3" t="s">
        <v>189</v>
      </c>
      <c r="C2234" s="3" t="s">
        <v>190</v>
      </c>
      <c r="D2234" s="3" t="s">
        <v>6036</v>
      </c>
      <c r="E2234" s="3" t="s">
        <v>6037</v>
      </c>
      <c r="F2234" s="3" t="s">
        <v>6038</v>
      </c>
      <c r="G2234" s="3" t="str">
        <f>IFERROR(__xludf.DUMMYFUNCTION("GOOGLETRANSLATE(D2234,""fr"",""es"")"),"souilla")</f>
        <v>souilla</v>
      </c>
    </row>
    <row r="2235">
      <c r="A2235" s="3">
        <v>2213.0</v>
      </c>
      <c r="B2235" s="3" t="s">
        <v>189</v>
      </c>
      <c r="C2235" s="3" t="s">
        <v>190</v>
      </c>
      <c r="D2235" s="3" t="s">
        <v>6039</v>
      </c>
      <c r="E2235" s="3" t="s">
        <v>6037</v>
      </c>
      <c r="F2235" s="3" t="s">
        <v>6038</v>
      </c>
      <c r="G2235" s="3" t="str">
        <f>IFERROR(__xludf.DUMMYFUNCTION("GOOGLETRANSLATE(D2235,""fr"",""es"")"),"sucio")</f>
        <v>sucio</v>
      </c>
    </row>
    <row r="2236">
      <c r="A2236" s="3">
        <v>2214.0</v>
      </c>
      <c r="B2236" s="3" t="s">
        <v>189</v>
      </c>
      <c r="C2236" s="3" t="s">
        <v>190</v>
      </c>
      <c r="D2236" s="3" t="s">
        <v>6040</v>
      </c>
      <c r="E2236" s="3" t="s">
        <v>6037</v>
      </c>
      <c r="F2236" s="3" t="s">
        <v>6038</v>
      </c>
      <c r="G2236" s="3" t="str">
        <f>IFERROR(__xludf.DUMMYFUNCTION("GOOGLETRANSLATE(D2236,""fr"",""es"")"),"souillais")</f>
        <v>souillais</v>
      </c>
    </row>
    <row r="2237">
      <c r="A2237" s="3">
        <v>2215.0</v>
      </c>
      <c r="B2237" s="3" t="s">
        <v>189</v>
      </c>
      <c r="C2237" s="3" t="s">
        <v>190</v>
      </c>
      <c r="D2237" s="3" t="s">
        <v>6041</v>
      </c>
      <c r="E2237" s="3" t="s">
        <v>6037</v>
      </c>
      <c r="F2237" s="3" t="s">
        <v>6038</v>
      </c>
      <c r="G2237" s="3" t="str">
        <f>IFERROR(__xludf.DUMMYFUNCTION("GOOGLETRANSLATE(D2237,""fr"",""es"")"),"sucio")</f>
        <v>sucio</v>
      </c>
    </row>
    <row r="2238">
      <c r="A2238" s="3">
        <v>2216.0</v>
      </c>
      <c r="B2238" s="3" t="s">
        <v>189</v>
      </c>
      <c r="C2238" s="3" t="s">
        <v>190</v>
      </c>
      <c r="D2238" s="3" t="s">
        <v>6042</v>
      </c>
      <c r="E2238" s="3" t="s">
        <v>6043</v>
      </c>
      <c r="F2238" s="3" t="s">
        <v>6044</v>
      </c>
      <c r="G2238" s="3" t="str">
        <f>IFERROR(__xludf.DUMMYFUNCTION("GOOGLETRANSLATE(D2238,""fr"",""es"")"),"alma")</f>
        <v>alma</v>
      </c>
    </row>
    <row r="2239">
      <c r="A2239" s="3">
        <v>2217.0</v>
      </c>
      <c r="B2239" s="3" t="s">
        <v>189</v>
      </c>
      <c r="C2239" s="3" t="s">
        <v>190</v>
      </c>
      <c r="D2239" s="3" t="s">
        <v>6045</v>
      </c>
      <c r="E2239" s="3" t="s">
        <v>6046</v>
      </c>
      <c r="F2239" s="3" t="s">
        <v>6047</v>
      </c>
      <c r="G2239" s="3" t="str">
        <f>IFERROR(__xludf.DUMMYFUNCTION("GOOGLETRANSLATE(D2239,""fr"",""es"")"),"zalamería")</f>
        <v>zalamería</v>
      </c>
    </row>
    <row r="2240">
      <c r="A2240" s="3">
        <v>2218.0</v>
      </c>
      <c r="B2240" s="3" t="s">
        <v>189</v>
      </c>
      <c r="C2240" s="3" t="s">
        <v>190</v>
      </c>
      <c r="D2240" s="3" t="s">
        <v>6048</v>
      </c>
      <c r="E2240" s="3" t="s">
        <v>6046</v>
      </c>
      <c r="F2240" s="3" t="s">
        <v>6047</v>
      </c>
      <c r="G2240" s="3" t="str">
        <f>IFERROR(__xludf.DUMMYFUNCTION("GOOGLETRANSLATE(D2240,""fr"",""es"")"),"desactivar")</f>
        <v>desactivar</v>
      </c>
    </row>
    <row r="2241">
      <c r="A2241" s="3">
        <v>2219.0</v>
      </c>
      <c r="B2241" s="3" t="s">
        <v>189</v>
      </c>
      <c r="C2241" s="3" t="s">
        <v>190</v>
      </c>
      <c r="D2241" s="3" t="s">
        <v>6049</v>
      </c>
      <c r="E2241" s="3" t="s">
        <v>6046</v>
      </c>
      <c r="F2241" s="3" t="s">
        <v>6047</v>
      </c>
      <c r="G2241" s="3" t="str">
        <f>IFERROR(__xludf.DUMMYFUNCTION("GOOGLETRANSLATE(D2241,""fr"",""es"")"),"souillasses")</f>
        <v>souillasses</v>
      </c>
    </row>
    <row r="2242">
      <c r="A2242" s="3">
        <v>2220.0</v>
      </c>
      <c r="B2242" s="3" t="s">
        <v>189</v>
      </c>
      <c r="C2242" s="3" t="s">
        <v>190</v>
      </c>
      <c r="D2242" s="3" t="s">
        <v>6050</v>
      </c>
      <c r="E2242" s="3" t="s">
        <v>6051</v>
      </c>
      <c r="F2242" s="3" t="s">
        <v>6052</v>
      </c>
      <c r="G2242" s="3" t="str">
        <f>IFERROR(__xludf.DUMMYFUNCTION("GOOGLETRANSLATE(D2242,""fr"",""es"")"),"desfiladero")</f>
        <v>desfiladero</v>
      </c>
    </row>
    <row r="2243">
      <c r="A2243" s="3">
        <v>2221.0</v>
      </c>
      <c r="B2243" s="3" t="s">
        <v>189</v>
      </c>
      <c r="C2243" s="3" t="s">
        <v>190</v>
      </c>
      <c r="D2243" s="3" t="s">
        <v>6053</v>
      </c>
      <c r="E2243" s="3" t="s">
        <v>6051</v>
      </c>
      <c r="F2243" s="3" t="s">
        <v>6052</v>
      </c>
      <c r="G2243" s="3" t="str">
        <f>IFERROR(__xludf.DUMMYFUNCTION("GOOGLETRANSLATE(D2243,""fr"",""es"")"),"desfiladero")</f>
        <v>desfiladero</v>
      </c>
    </row>
    <row r="2244">
      <c r="A2244" s="3">
        <v>2222.0</v>
      </c>
      <c r="B2244" s="3" t="s">
        <v>189</v>
      </c>
      <c r="C2244" s="3" t="s">
        <v>190</v>
      </c>
      <c r="D2244" s="3" t="s">
        <v>6054</v>
      </c>
      <c r="E2244" s="3" t="s">
        <v>6051</v>
      </c>
      <c r="F2244" s="3" t="s">
        <v>6052</v>
      </c>
      <c r="G2244" s="3" t="str">
        <f>IFERROR(__xludf.DUMMYFUNCTION("GOOGLETRANSLATE(D2244,""fr"",""es"")"),"souches")</f>
        <v>souches</v>
      </c>
    </row>
    <row r="2245">
      <c r="A2245" s="3">
        <v>2223.0</v>
      </c>
      <c r="B2245" s="3" t="s">
        <v>189</v>
      </c>
      <c r="C2245" s="3" t="s">
        <v>190</v>
      </c>
      <c r="D2245" s="3" t="s">
        <v>6055</v>
      </c>
      <c r="E2245" s="3" t="s">
        <v>6056</v>
      </c>
      <c r="F2245" s="3" t="s">
        <v>6057</v>
      </c>
      <c r="G2245" s="3" t="str">
        <f>IFERROR(__xludf.DUMMYFUNCTION("GOOGLETRANSLATE(D2245,""fr"",""es"")"),"alero")</f>
        <v>alero</v>
      </c>
    </row>
    <row r="2246">
      <c r="A2246" s="3">
        <v>2224.0</v>
      </c>
      <c r="B2246" s="3" t="s">
        <v>189</v>
      </c>
      <c r="C2246" s="3" t="s">
        <v>190</v>
      </c>
      <c r="D2246" s="3" t="s">
        <v>6058</v>
      </c>
      <c r="E2246" s="3" t="s">
        <v>6056</v>
      </c>
      <c r="F2246" s="3" t="s">
        <v>6057</v>
      </c>
      <c r="G2246" s="3" t="str">
        <f>IFERROR(__xludf.DUMMYFUNCTION("GOOGLETRANSLATE(D2246,""fr"",""es"")"),"zocas")</f>
        <v>zocas</v>
      </c>
    </row>
    <row r="2247">
      <c r="A2247" s="3">
        <v>2225.0</v>
      </c>
      <c r="B2247" s="3" t="s">
        <v>189</v>
      </c>
      <c r="C2247" s="3" t="s">
        <v>190</v>
      </c>
      <c r="D2247" s="3" t="s">
        <v>6059</v>
      </c>
      <c r="E2247" s="3" t="s">
        <v>5668</v>
      </c>
      <c r="F2247" s="3" t="s">
        <v>5669</v>
      </c>
      <c r="G2247" s="3" t="str">
        <f>IFERROR(__xludf.DUMMYFUNCTION("GOOGLETRANSLATE(D2247,""fr"",""es"")"),"ebrio")</f>
        <v>ebrio</v>
      </c>
    </row>
    <row r="2248">
      <c r="A2248" s="3">
        <v>2226.0</v>
      </c>
      <c r="B2248" s="3" t="s">
        <v>189</v>
      </c>
      <c r="C2248" s="3" t="s">
        <v>190</v>
      </c>
      <c r="D2248" s="3" t="s">
        <v>525</v>
      </c>
      <c r="E2248" s="3" t="s">
        <v>5685</v>
      </c>
      <c r="F2248" s="3" t="s">
        <v>5686</v>
      </c>
      <c r="G2248" s="3" t="str">
        <f>IFERROR(__xludf.DUMMYFUNCTION("GOOGLETRANSLATE(D2248,""fr"",""es"")"),"ebrio")</f>
        <v>ebrio</v>
      </c>
    </row>
    <row r="2249">
      <c r="A2249" s="3">
        <v>2227.0</v>
      </c>
      <c r="B2249" s="3" t="s">
        <v>189</v>
      </c>
      <c r="C2249" s="3" t="s">
        <v>190</v>
      </c>
      <c r="D2249" s="3" t="s">
        <v>6060</v>
      </c>
      <c r="E2249" s="3" t="s">
        <v>5671</v>
      </c>
      <c r="F2249" s="3" t="s">
        <v>5672</v>
      </c>
      <c r="G2249" s="3" t="str">
        <f>IFERROR(__xludf.DUMMYFUNCTION("GOOGLETRANSLATE(D2249,""fr"",""es"")"),"ebrio")</f>
        <v>ebrio</v>
      </c>
    </row>
    <row r="2250">
      <c r="A2250" s="3">
        <v>2228.0</v>
      </c>
      <c r="B2250" s="3" t="s">
        <v>189</v>
      </c>
      <c r="C2250" s="3" t="s">
        <v>190</v>
      </c>
      <c r="D2250" s="3" t="s">
        <v>6061</v>
      </c>
      <c r="E2250" s="3" t="s">
        <v>5671</v>
      </c>
      <c r="F2250" s="3" t="s">
        <v>5672</v>
      </c>
      <c r="G2250" s="3" t="str">
        <f>IFERROR(__xludf.DUMMYFUNCTION("GOOGLETRANSLATE(D2250,""fr"",""es"")"),"estaban borrachos")</f>
        <v>estaban borrachos</v>
      </c>
    </row>
    <row r="2251">
      <c r="A2251" s="3">
        <v>2229.0</v>
      </c>
      <c r="B2251" s="3" t="s">
        <v>189</v>
      </c>
      <c r="C2251" s="3" t="s">
        <v>190</v>
      </c>
      <c r="D2251" s="3" t="s">
        <v>6062</v>
      </c>
      <c r="E2251" s="3" t="s">
        <v>5671</v>
      </c>
      <c r="F2251" s="3" t="s">
        <v>5672</v>
      </c>
      <c r="G2251" s="3" t="str">
        <f>IFERROR(__xludf.DUMMYFUNCTION("GOOGLETRANSLATE(D2251,""fr"",""es"")"),"ebrio")</f>
        <v>ebrio</v>
      </c>
    </row>
    <row r="2252">
      <c r="A2252" s="3">
        <v>2230.0</v>
      </c>
      <c r="B2252" s="3" t="s">
        <v>189</v>
      </c>
      <c r="C2252" s="3" t="s">
        <v>190</v>
      </c>
      <c r="D2252" s="3" t="s">
        <v>6063</v>
      </c>
      <c r="E2252" s="3" t="s">
        <v>5671</v>
      </c>
      <c r="F2252" s="3" t="s">
        <v>5672</v>
      </c>
      <c r="G2252" s="3" t="str">
        <f>IFERROR(__xludf.DUMMYFUNCTION("GOOGLETRANSLATE(D2252,""fr"",""es"")"),"Oye")</f>
        <v>Oye</v>
      </c>
    </row>
    <row r="2253">
      <c r="A2253" s="3">
        <v>2231.0</v>
      </c>
      <c r="B2253" s="3" t="s">
        <v>189</v>
      </c>
      <c r="C2253" s="3" t="s">
        <v>190</v>
      </c>
      <c r="D2253" s="3" t="s">
        <v>6064</v>
      </c>
      <c r="E2253" s="3" t="s">
        <v>5677</v>
      </c>
      <c r="F2253" s="3" t="s">
        <v>5678</v>
      </c>
      <c r="G2253" s="3" t="str">
        <f>IFERROR(__xludf.DUMMYFUNCTION("GOOGLETRANSLATE(D2253,""fr"",""es"")"),"ebrio")</f>
        <v>ebrio</v>
      </c>
    </row>
    <row r="2254">
      <c r="A2254" s="3">
        <v>2232.0</v>
      </c>
      <c r="B2254" s="3" t="s">
        <v>189</v>
      </c>
      <c r="C2254" s="3" t="s">
        <v>190</v>
      </c>
      <c r="D2254" s="3" t="s">
        <v>6065</v>
      </c>
      <c r="E2254" s="3" t="s">
        <v>5680</v>
      </c>
      <c r="F2254" s="3" t="s">
        <v>5681</v>
      </c>
      <c r="G2254" s="3" t="str">
        <f>IFERROR(__xludf.DUMMYFUNCTION("GOOGLETRANSLATE(D2254,""fr"",""es"")"),"ebrio")</f>
        <v>ebrio</v>
      </c>
    </row>
    <row r="2255">
      <c r="A2255" s="3">
        <v>2233.0</v>
      </c>
      <c r="B2255" s="3" t="s">
        <v>189</v>
      </c>
      <c r="C2255" s="3" t="s">
        <v>190</v>
      </c>
      <c r="D2255" s="3" t="s">
        <v>6066</v>
      </c>
      <c r="E2255" s="3" t="s">
        <v>5680</v>
      </c>
      <c r="F2255" s="3" t="s">
        <v>5681</v>
      </c>
      <c r="G2255" s="3" t="str">
        <f>IFERROR(__xludf.DUMMYFUNCTION("GOOGLETRANSLATE(D2255,""fr"",""es"")"),"ebrio")</f>
        <v>ebrio</v>
      </c>
    </row>
    <row r="2256">
      <c r="A2256" s="3">
        <v>2234.0</v>
      </c>
      <c r="B2256" s="3" t="s">
        <v>189</v>
      </c>
      <c r="C2256" s="3" t="s">
        <v>190</v>
      </c>
      <c r="D2256" s="3" t="s">
        <v>6067</v>
      </c>
      <c r="E2256" s="3" t="s">
        <v>5680</v>
      </c>
      <c r="F2256" s="3" t="s">
        <v>5681</v>
      </c>
      <c r="G2256" s="3" t="str">
        <f>IFERROR(__xludf.DUMMYFUNCTION("GOOGLETRANSLATE(D2256,""fr"",""es"")"),"embriaguez")</f>
        <v>embriaguez</v>
      </c>
    </row>
    <row r="2257">
      <c r="A2257" s="3">
        <v>2235.0</v>
      </c>
      <c r="B2257" s="3" t="s">
        <v>189</v>
      </c>
      <c r="C2257" s="3" t="s">
        <v>190</v>
      </c>
      <c r="D2257" s="3" t="s">
        <v>6068</v>
      </c>
      <c r="E2257" s="3" t="s">
        <v>5685</v>
      </c>
      <c r="F2257" s="3" t="s">
        <v>5686</v>
      </c>
      <c r="G2257" s="3" t="str">
        <f>IFERROR(__xludf.DUMMYFUNCTION("GOOGLETRANSLATE(D2257,""fr"",""es"")"),"ebrio")</f>
        <v>ebrio</v>
      </c>
    </row>
    <row r="2258">
      <c r="A2258" s="3">
        <v>2236.0</v>
      </c>
      <c r="B2258" s="3" t="s">
        <v>189</v>
      </c>
      <c r="C2258" s="3" t="s">
        <v>190</v>
      </c>
      <c r="D2258" s="3" t="s">
        <v>6069</v>
      </c>
      <c r="E2258" s="3" t="s">
        <v>5685</v>
      </c>
      <c r="F2258" s="3" t="s">
        <v>5686</v>
      </c>
      <c r="G2258" s="3" t="str">
        <f>IFERROR(__xludf.DUMMYFUNCTION("GOOGLETRANSLATE(D2258,""fr"",""es"")"),"ebrio")</f>
        <v>ebrio</v>
      </c>
    </row>
    <row r="2259">
      <c r="A2259" s="3">
        <v>2237.0</v>
      </c>
      <c r="B2259" s="3" t="s">
        <v>189</v>
      </c>
      <c r="C2259" s="3" t="s">
        <v>190</v>
      </c>
      <c r="D2259" s="3" t="s">
        <v>6070</v>
      </c>
      <c r="E2259" s="3" t="s">
        <v>5685</v>
      </c>
      <c r="F2259" s="3" t="s">
        <v>5686</v>
      </c>
      <c r="G2259" s="3" t="str">
        <f>IFERROR(__xludf.DUMMYFUNCTION("GOOGLETRANSLATE(D2259,""fr"",""es"")"),"ebrio")</f>
        <v>ebrio</v>
      </c>
    </row>
    <row r="2260">
      <c r="A2260" s="3">
        <v>2238.0</v>
      </c>
      <c r="B2260" s="3" t="s">
        <v>189</v>
      </c>
      <c r="C2260" s="3" t="s">
        <v>190</v>
      </c>
      <c r="D2260" s="3" t="s">
        <v>6071</v>
      </c>
      <c r="E2260" s="3" t="s">
        <v>6072</v>
      </c>
      <c r="F2260" s="3" t="s">
        <v>6073</v>
      </c>
      <c r="G2260" s="3" t="str">
        <f>IFERROR(__xludf.DUMMYFUNCTION("GOOGLETRANSLATE(D2260,""fr"",""es"")"),"subrayada")</f>
        <v>subrayada</v>
      </c>
    </row>
    <row r="2261">
      <c r="A2261" s="3">
        <v>2239.0</v>
      </c>
      <c r="B2261" s="3" t="s">
        <v>189</v>
      </c>
      <c r="C2261" s="3" t="s">
        <v>190</v>
      </c>
      <c r="D2261" s="3" t="s">
        <v>6074</v>
      </c>
      <c r="E2261" s="3" t="s">
        <v>6072</v>
      </c>
      <c r="F2261" s="3" t="s">
        <v>6073</v>
      </c>
      <c r="G2261" s="3" t="str">
        <f>IFERROR(__xludf.DUMMYFUNCTION("GOOGLETRANSLATE(D2261,""fr"",""es"")"),"subrayada")</f>
        <v>subrayada</v>
      </c>
    </row>
    <row r="2262">
      <c r="A2262" s="3">
        <v>2240.0</v>
      </c>
      <c r="B2262" s="3" t="s">
        <v>189</v>
      </c>
      <c r="C2262" s="3" t="s">
        <v>190</v>
      </c>
      <c r="D2262" s="3" t="s">
        <v>6075</v>
      </c>
      <c r="E2262" s="3" t="s">
        <v>6072</v>
      </c>
      <c r="F2262" s="3" t="s">
        <v>6073</v>
      </c>
      <c r="G2262" s="3" t="str">
        <f>IFERROR(__xludf.DUMMYFUNCTION("GOOGLETRANSLATE(D2262,""fr"",""es"")"),"subrayada")</f>
        <v>subrayada</v>
      </c>
    </row>
    <row r="2263">
      <c r="A2263" s="3">
        <v>2241.0</v>
      </c>
      <c r="B2263" s="3" t="s">
        <v>189</v>
      </c>
      <c r="C2263" s="3" t="s">
        <v>190</v>
      </c>
      <c r="D2263" s="3" t="s">
        <v>6076</v>
      </c>
      <c r="E2263" s="3" t="s">
        <v>6072</v>
      </c>
      <c r="F2263" s="3" t="s">
        <v>6073</v>
      </c>
      <c r="G2263" s="3" t="str">
        <f>IFERROR(__xludf.DUMMYFUNCTION("GOOGLETRANSLATE(D2263,""fr"",""es"")"),"subrayada")</f>
        <v>subrayada</v>
      </c>
    </row>
    <row r="2264">
      <c r="A2264" s="3">
        <v>2242.0</v>
      </c>
      <c r="B2264" s="3" t="s">
        <v>189</v>
      </c>
      <c r="C2264" s="3" t="s">
        <v>190</v>
      </c>
      <c r="D2264" s="3" t="s">
        <v>6077</v>
      </c>
      <c r="E2264" s="3" t="s">
        <v>6078</v>
      </c>
      <c r="F2264" s="3" t="s">
        <v>6079</v>
      </c>
      <c r="G2264" s="3" t="str">
        <f>IFERROR(__xludf.DUMMYFUNCTION("GOOGLETRANSLATE(D2264,""fr"",""es"")"),"señalado")</f>
        <v>señalado</v>
      </c>
    </row>
    <row r="2265">
      <c r="A2265" s="3">
        <v>2243.0</v>
      </c>
      <c r="B2265" s="3" t="s">
        <v>189</v>
      </c>
      <c r="C2265" s="3" t="s">
        <v>190</v>
      </c>
      <c r="D2265" s="3" t="s">
        <v>6080</v>
      </c>
      <c r="E2265" s="3" t="s">
        <v>6081</v>
      </c>
      <c r="F2265" s="3" t="s">
        <v>6082</v>
      </c>
      <c r="G2265" s="3" t="str">
        <f>IFERROR(__xludf.DUMMYFUNCTION("GOOGLETRANSLATE(D2265,""fr"",""es"")"),"subrayada")</f>
        <v>subrayada</v>
      </c>
    </row>
    <row r="2266">
      <c r="A2266" s="3">
        <v>2244.0</v>
      </c>
      <c r="B2266" s="3" t="s">
        <v>189</v>
      </c>
      <c r="C2266" s="3" t="s">
        <v>190</v>
      </c>
      <c r="D2266" s="3" t="s">
        <v>6083</v>
      </c>
      <c r="E2266" s="3" t="s">
        <v>6081</v>
      </c>
      <c r="F2266" s="3" t="s">
        <v>6082</v>
      </c>
      <c r="G2266" s="3" t="str">
        <f>IFERROR(__xludf.DUMMYFUNCTION("GOOGLETRANSLATE(D2266,""fr"",""es"")"),"subrayar")</f>
        <v>subrayar</v>
      </c>
    </row>
    <row r="2267">
      <c r="A2267" s="3">
        <v>2245.0</v>
      </c>
      <c r="B2267" s="3" t="s">
        <v>189</v>
      </c>
      <c r="C2267" s="3" t="s">
        <v>190</v>
      </c>
      <c r="D2267" s="3" t="s">
        <v>6084</v>
      </c>
      <c r="E2267" s="3" t="s">
        <v>6081</v>
      </c>
      <c r="F2267" s="3" t="s">
        <v>6082</v>
      </c>
      <c r="G2267" s="3" t="str">
        <f>IFERROR(__xludf.DUMMYFUNCTION("GOOGLETRANSLATE(D2267,""fr"",""es"")"),"bajo tierra")</f>
        <v>bajo tierra</v>
      </c>
    </row>
    <row r="2268">
      <c r="A2268" s="3">
        <v>2246.0</v>
      </c>
      <c r="B2268" s="3" t="s">
        <v>189</v>
      </c>
      <c r="C2268" s="3" t="s">
        <v>190</v>
      </c>
      <c r="D2268" s="3" t="s">
        <v>6085</v>
      </c>
      <c r="E2268" s="3" t="s">
        <v>6086</v>
      </c>
      <c r="F2268" s="3" t="s">
        <v>6087</v>
      </c>
      <c r="G2268" s="3" t="str">
        <f>IFERROR(__xludf.DUMMYFUNCTION("GOOGLETRANSLATE(D2268,""fr"",""es"")"),"destacado")</f>
        <v>destacado</v>
      </c>
    </row>
    <row r="2269">
      <c r="A2269" s="3">
        <v>2247.0</v>
      </c>
      <c r="B2269" s="3" t="s">
        <v>189</v>
      </c>
      <c r="C2269" s="3" t="s">
        <v>190</v>
      </c>
      <c r="D2269" s="3" t="s">
        <v>6088</v>
      </c>
      <c r="E2269" s="3" t="s">
        <v>6086</v>
      </c>
      <c r="F2269" s="3" t="s">
        <v>6087</v>
      </c>
      <c r="G2269" s="3" t="str">
        <f>IFERROR(__xludf.DUMMYFUNCTION("GOOGLETRANSLATE(D2269,""fr"",""es"")"),"subrayar")</f>
        <v>subrayar</v>
      </c>
    </row>
    <row r="2270">
      <c r="A2270" s="3">
        <v>2248.0</v>
      </c>
      <c r="B2270" s="3" t="s">
        <v>189</v>
      </c>
      <c r="C2270" s="3" t="s">
        <v>190</v>
      </c>
      <c r="D2270" s="3" t="s">
        <v>6089</v>
      </c>
      <c r="E2270" s="3" t="s">
        <v>6086</v>
      </c>
      <c r="F2270" s="3" t="s">
        <v>6087</v>
      </c>
      <c r="G2270" s="3" t="str">
        <f>IFERROR(__xludf.DUMMYFUNCTION("GOOGLETRANSLATE(D2270,""fr"",""es"")"),"subrayar")</f>
        <v>subrayar</v>
      </c>
    </row>
    <row r="2271">
      <c r="A2271" s="3">
        <v>2249.0</v>
      </c>
      <c r="B2271" s="3" t="s">
        <v>189</v>
      </c>
      <c r="C2271" s="3" t="s">
        <v>190</v>
      </c>
      <c r="D2271" s="3" t="s">
        <v>6090</v>
      </c>
      <c r="E2271" s="3" t="s">
        <v>5668</v>
      </c>
      <c r="F2271" s="3" t="s">
        <v>5669</v>
      </c>
      <c r="G2271" s="3" t="str">
        <f>IFERROR(__xludf.DUMMYFUNCTION("GOOGLETRANSLATE(D2271,""fr"",""es"")"),"ebrio")</f>
        <v>ebrio</v>
      </c>
    </row>
    <row r="2272">
      <c r="A2272" s="3">
        <v>2250.0</v>
      </c>
      <c r="B2272" s="3" t="s">
        <v>189</v>
      </c>
      <c r="C2272" s="3" t="s">
        <v>190</v>
      </c>
      <c r="D2272" s="3" t="s">
        <v>6091</v>
      </c>
      <c r="E2272" s="3" t="s">
        <v>6092</v>
      </c>
      <c r="F2272" s="3" t="s">
        <v>6093</v>
      </c>
      <c r="G2272" s="3" t="str">
        <f>IFERROR(__xludf.DUMMYFUNCTION("GOOGLETRANSLATE(D2272,""fr"",""es"")"),"tema")</f>
        <v>tema</v>
      </c>
    </row>
    <row r="2273">
      <c r="A2273" s="3">
        <v>2251.0</v>
      </c>
      <c r="B2273" s="3" t="s">
        <v>189</v>
      </c>
      <c r="C2273" s="3" t="s">
        <v>190</v>
      </c>
      <c r="D2273" s="3" t="s">
        <v>6094</v>
      </c>
      <c r="E2273" s="3" t="s">
        <v>6092</v>
      </c>
      <c r="F2273" s="3" t="s">
        <v>6093</v>
      </c>
      <c r="G2273" s="3" t="str">
        <f>IFERROR(__xludf.DUMMYFUNCTION("GOOGLETRANSLATE(D2273,""fr"",""es"")"),"subsidios")</f>
        <v>subsidios</v>
      </c>
    </row>
    <row r="2274">
      <c r="A2274" s="3">
        <v>2252.0</v>
      </c>
      <c r="B2274" s="3" t="s">
        <v>189</v>
      </c>
      <c r="C2274" s="3" t="s">
        <v>190</v>
      </c>
      <c r="D2274" s="3" t="s">
        <v>6095</v>
      </c>
      <c r="E2274" s="3" t="s">
        <v>6096</v>
      </c>
      <c r="F2274" s="3" t="s">
        <v>6097</v>
      </c>
      <c r="G2274" s="3" t="str">
        <f>IFERROR(__xludf.DUMMYFUNCTION("GOOGLETRANSLATE(D2274,""fr"",""es"")"),"presentada")</f>
        <v>presentada</v>
      </c>
    </row>
    <row r="2275">
      <c r="A2275" s="3">
        <v>2253.0</v>
      </c>
      <c r="B2275" s="3" t="s">
        <v>189</v>
      </c>
      <c r="C2275" s="3" t="s">
        <v>190</v>
      </c>
      <c r="D2275" s="3" t="s">
        <v>6098</v>
      </c>
      <c r="E2275" s="3" t="s">
        <v>6096</v>
      </c>
      <c r="F2275" s="3" t="s">
        <v>6097</v>
      </c>
      <c r="G2275" s="3" t="str">
        <f>IFERROR(__xludf.DUMMYFUNCTION("GOOGLETRANSLATE(D2275,""fr"",""es"")"),"presentada")</f>
        <v>presentada</v>
      </c>
    </row>
    <row r="2276">
      <c r="A2276" s="3">
        <v>2254.0</v>
      </c>
      <c r="B2276" s="3" t="s">
        <v>189</v>
      </c>
      <c r="C2276" s="3" t="s">
        <v>190</v>
      </c>
      <c r="D2276" s="3" t="s">
        <v>6099</v>
      </c>
      <c r="E2276" s="3" t="s">
        <v>6096</v>
      </c>
      <c r="F2276" s="3" t="s">
        <v>6097</v>
      </c>
      <c r="G2276" s="3" t="str">
        <f>IFERROR(__xludf.DUMMYFUNCTION("GOOGLETRANSLATE(D2276,""fr"",""es"")"),"presentada")</f>
        <v>presentada</v>
      </c>
    </row>
    <row r="2277">
      <c r="A2277" s="3">
        <v>2255.0</v>
      </c>
      <c r="B2277" s="3" t="s">
        <v>189</v>
      </c>
      <c r="C2277" s="3" t="s">
        <v>190</v>
      </c>
      <c r="D2277" s="3" t="s">
        <v>6100</v>
      </c>
      <c r="E2277" s="3" t="s">
        <v>6101</v>
      </c>
      <c r="F2277" s="3" t="s">
        <v>6102</v>
      </c>
      <c r="G2277" s="3" t="str">
        <f>IFERROR(__xludf.DUMMYFUNCTION("GOOGLETRANSLATE(D2277,""fr"",""es"")"),"imponente")</f>
        <v>imponente</v>
      </c>
    </row>
    <row r="2278">
      <c r="A2278" s="3">
        <v>2256.0</v>
      </c>
      <c r="B2278" s="3" t="s">
        <v>189</v>
      </c>
      <c r="C2278" s="3" t="s">
        <v>190</v>
      </c>
      <c r="D2278" s="3" t="s">
        <v>6103</v>
      </c>
      <c r="E2278" s="3" t="s">
        <v>6104</v>
      </c>
      <c r="F2278" s="3" t="s">
        <v>6105</v>
      </c>
      <c r="G2278" s="3" t="str">
        <f>IFERROR(__xludf.DUMMYFUNCTION("GOOGLETRANSLATE(D2278,""fr"",""es"")"),"presentada")</f>
        <v>presentada</v>
      </c>
    </row>
    <row r="2279">
      <c r="A2279" s="3">
        <v>2257.0</v>
      </c>
      <c r="B2279" s="3" t="s">
        <v>189</v>
      </c>
      <c r="C2279" s="3" t="s">
        <v>190</v>
      </c>
      <c r="D2279" s="3" t="s">
        <v>6106</v>
      </c>
      <c r="E2279" s="3" t="s">
        <v>6107</v>
      </c>
      <c r="F2279" s="3" t="s">
        <v>6108</v>
      </c>
      <c r="G2279" s="3" t="str">
        <f>IFERROR(__xludf.DUMMYFUNCTION("GOOGLETRANSLATE(D2279,""fr"",""es"")"),"soumisse")</f>
        <v>soumisse</v>
      </c>
    </row>
    <row r="2280">
      <c r="A2280" s="3">
        <v>2258.0</v>
      </c>
      <c r="B2280" s="3" t="s">
        <v>189</v>
      </c>
      <c r="C2280" s="3" t="s">
        <v>190</v>
      </c>
      <c r="D2280" s="3" t="s">
        <v>6109</v>
      </c>
      <c r="E2280" s="3" t="s">
        <v>6107</v>
      </c>
      <c r="F2280" s="3" t="s">
        <v>6108</v>
      </c>
      <c r="G2280" s="3" t="str">
        <f>IFERROR(__xludf.DUMMYFUNCTION("GOOGLETRANSLATE(D2280,""fr"",""es"")"),"soumisse")</f>
        <v>soumisse</v>
      </c>
    </row>
    <row r="2281">
      <c r="A2281" s="3">
        <v>2259.0</v>
      </c>
      <c r="B2281" s="3" t="s">
        <v>189</v>
      </c>
      <c r="C2281" s="3" t="s">
        <v>190</v>
      </c>
      <c r="D2281" s="3" t="s">
        <v>6110</v>
      </c>
      <c r="E2281" s="3" t="s">
        <v>6107</v>
      </c>
      <c r="F2281" s="3" t="s">
        <v>6108</v>
      </c>
      <c r="G2281" s="3" t="str">
        <f>IFERROR(__xludf.DUMMYFUNCTION("GOOGLETRANSLATE(D2281,""fr"",""es"")"),"soumisses")</f>
        <v>soumisses</v>
      </c>
    </row>
    <row r="2282">
      <c r="A2282" s="3">
        <v>2260.0</v>
      </c>
      <c r="B2282" s="3" t="s">
        <v>189</v>
      </c>
      <c r="C2282" s="3" t="s">
        <v>190</v>
      </c>
      <c r="D2282" s="3" t="s">
        <v>6111</v>
      </c>
      <c r="E2282" s="3" t="s">
        <v>6104</v>
      </c>
      <c r="F2282" s="3" t="s">
        <v>6105</v>
      </c>
      <c r="G2282" s="3" t="str">
        <f>IFERROR(__xludf.DUMMYFUNCTION("GOOGLETRANSLATE(D2282,""fr"",""es"")"),"soumita")</f>
        <v>soumita</v>
      </c>
    </row>
    <row r="2283">
      <c r="A2283" s="3">
        <v>2261.0</v>
      </c>
      <c r="B2283" s="3" t="s">
        <v>189</v>
      </c>
      <c r="C2283" s="3" t="s">
        <v>190</v>
      </c>
      <c r="D2283" s="3" t="s">
        <v>6112</v>
      </c>
      <c r="E2283" s="3" t="s">
        <v>6104</v>
      </c>
      <c r="F2283" s="3" t="s">
        <v>6105</v>
      </c>
      <c r="G2283" s="3" t="str">
        <f>IFERROR(__xludf.DUMMYFUNCTION("GOOGLETRANSLATE(D2283,""fr"",""es"")"),"soumît")</f>
        <v>soumît</v>
      </c>
    </row>
    <row r="2284">
      <c r="A2284" s="3">
        <v>2262.0</v>
      </c>
      <c r="B2284" s="3" t="s">
        <v>189</v>
      </c>
      <c r="C2284" s="3" t="s">
        <v>190</v>
      </c>
      <c r="D2284" s="3" t="s">
        <v>6113</v>
      </c>
      <c r="E2284" s="3" t="s">
        <v>6114</v>
      </c>
      <c r="F2284" s="3" t="s">
        <v>6115</v>
      </c>
      <c r="G2284" s="3" t="str">
        <f>IFERROR(__xludf.DUMMYFUNCTION("GOOGLETRANSLATE(D2284,""fr"",""es"")"),"Sopai")</f>
        <v>Sopai</v>
      </c>
    </row>
    <row r="2285">
      <c r="A2285" s="3">
        <v>2263.0</v>
      </c>
      <c r="B2285" s="3" t="s">
        <v>189</v>
      </c>
      <c r="C2285" s="3" t="s">
        <v>190</v>
      </c>
      <c r="D2285" s="3" t="s">
        <v>6116</v>
      </c>
      <c r="E2285" s="3" t="s">
        <v>6114</v>
      </c>
      <c r="F2285" s="3" t="s">
        <v>6115</v>
      </c>
      <c r="G2285" s="3" t="str">
        <f>IFERROR(__xludf.DUMMYFUNCTION("GOOGLETRANSLATE(D2285,""fr"",""es"")"),"hundirse")</f>
        <v>hundirse</v>
      </c>
    </row>
    <row r="2286">
      <c r="A2286" s="3">
        <v>2264.0</v>
      </c>
      <c r="B2286" s="3" t="s">
        <v>189</v>
      </c>
      <c r="C2286" s="3" t="s">
        <v>190</v>
      </c>
      <c r="D2286" s="3" t="s">
        <v>6117</v>
      </c>
      <c r="E2286" s="3" t="s">
        <v>6114</v>
      </c>
      <c r="F2286" s="3" t="s">
        <v>6115</v>
      </c>
      <c r="G2286" s="3" t="str">
        <f>IFERROR(__xludf.DUMMYFUNCTION("GOOGLETRANSLATE(D2286,""fr"",""es"")"),"soupis")</f>
        <v>soupis</v>
      </c>
    </row>
    <row r="2287">
      <c r="A2287" s="3">
        <v>2265.0</v>
      </c>
      <c r="B2287" s="3" t="s">
        <v>189</v>
      </c>
      <c r="C2287" s="3" t="s">
        <v>190</v>
      </c>
      <c r="D2287" s="3" t="s">
        <v>6118</v>
      </c>
      <c r="E2287" s="3" t="s">
        <v>6114</v>
      </c>
      <c r="F2287" s="3" t="s">
        <v>6115</v>
      </c>
      <c r="G2287" s="3" t="str">
        <f>IFERROR(__xludf.DUMMYFUNCTION("GOOGLETRANSLATE(D2287,""fr"",""es"")"),"vale")</f>
        <v>vale</v>
      </c>
    </row>
    <row r="2288">
      <c r="A2288" s="3">
        <v>2266.0</v>
      </c>
      <c r="B2288" s="3" t="s">
        <v>189</v>
      </c>
      <c r="C2288" s="3" t="s">
        <v>190</v>
      </c>
      <c r="D2288" s="3" t="s">
        <v>6119</v>
      </c>
      <c r="E2288" s="3" t="s">
        <v>6120</v>
      </c>
      <c r="F2288" s="3" t="s">
        <v>6121</v>
      </c>
      <c r="G2288" s="3" t="str">
        <f>IFERROR(__xludf.DUMMYFUNCTION("GOOGLETRANSLATE(D2288,""fr"",""es"")"),"sopa")</f>
        <v>sopa</v>
      </c>
    </row>
    <row r="2289">
      <c r="A2289" s="3">
        <v>2267.0</v>
      </c>
      <c r="B2289" s="3" t="s">
        <v>189</v>
      </c>
      <c r="C2289" s="3" t="s">
        <v>190</v>
      </c>
      <c r="D2289" s="3" t="s">
        <v>6122</v>
      </c>
      <c r="E2289" s="3" t="s">
        <v>6123</v>
      </c>
      <c r="F2289" s="3" t="s">
        <v>6124</v>
      </c>
      <c r="G2289" s="3" t="str">
        <f>IFERROR(__xludf.DUMMYFUNCTION("GOOGLETRANSLATE(D2289,""fr"",""es"")"),"válvula")</f>
        <v>válvula</v>
      </c>
      <c r="H2289" s="3" t="s">
        <v>6125</v>
      </c>
      <c r="I2289" s="3" t="s">
        <v>6126</v>
      </c>
      <c r="J2289" s="3" t="s">
        <v>6127</v>
      </c>
      <c r="K2289" s="3" t="s">
        <v>6127</v>
      </c>
      <c r="L2289" s="3" t="s">
        <v>6127</v>
      </c>
    </row>
    <row r="2290">
      <c r="A2290" s="3">
        <v>2268.0</v>
      </c>
      <c r="B2290" s="3" t="s">
        <v>189</v>
      </c>
      <c r="C2290" s="3" t="s">
        <v>190</v>
      </c>
      <c r="D2290" s="3" t="s">
        <v>6128</v>
      </c>
      <c r="E2290" s="3" t="s">
        <v>6123</v>
      </c>
      <c r="F2290" s="3" t="s">
        <v>6124</v>
      </c>
      <c r="G2290" s="3" t="str">
        <f>IFERROR(__xludf.DUMMYFUNCTION("GOOGLETRANSLATE(D2290,""fr"",""es"")"),"válvulas")</f>
        <v>válvulas</v>
      </c>
    </row>
    <row r="2291">
      <c r="A2291" s="3">
        <v>2269.0</v>
      </c>
      <c r="B2291" s="3" t="s">
        <v>189</v>
      </c>
      <c r="C2291" s="3" t="s">
        <v>190</v>
      </c>
      <c r="D2291" s="3" t="s">
        <v>6129</v>
      </c>
      <c r="E2291" s="3" t="s">
        <v>6130</v>
      </c>
      <c r="F2291" s="3" t="s">
        <v>6131</v>
      </c>
      <c r="G2291" s="3" t="str">
        <f>IFERROR(__xludf.DUMMYFUNCTION("GOOGLETRANSLATE(D2291,""fr"",""es"")"),"válvula")</f>
        <v>válvula</v>
      </c>
    </row>
    <row r="2292">
      <c r="A2292" s="3">
        <v>2270.0</v>
      </c>
      <c r="B2292" s="3" t="s">
        <v>189</v>
      </c>
      <c r="C2292" s="3" t="s">
        <v>190</v>
      </c>
      <c r="D2292" s="3" t="s">
        <v>6132</v>
      </c>
      <c r="E2292" s="3" t="s">
        <v>6130</v>
      </c>
      <c r="F2292" s="3" t="s">
        <v>6131</v>
      </c>
      <c r="G2292" s="3" t="str">
        <f>IFERROR(__xludf.DUMMYFUNCTION("GOOGLETRANSLATE(D2292,""fr"",""es"")"),"Bajo flujo")</f>
        <v>Bajo flujo</v>
      </c>
    </row>
    <row r="2293">
      <c r="A2293" s="3">
        <v>2271.0</v>
      </c>
      <c r="B2293" s="3" t="s">
        <v>189</v>
      </c>
      <c r="C2293" s="3" t="s">
        <v>190</v>
      </c>
      <c r="D2293" s="3" t="s">
        <v>6133</v>
      </c>
      <c r="E2293" s="3" t="s">
        <v>6130</v>
      </c>
      <c r="F2293" s="3" t="s">
        <v>6131</v>
      </c>
      <c r="G2293" s="3" t="str">
        <f>IFERROR(__xludf.DUMMYFUNCTION("GOOGLETRANSLATE(D2293,""fr"",""es"")"),"válvula")</f>
        <v>válvula</v>
      </c>
    </row>
    <row r="2294">
      <c r="A2294" s="3">
        <v>2272.0</v>
      </c>
      <c r="B2294" s="3" t="s">
        <v>189</v>
      </c>
      <c r="C2294" s="3" t="s">
        <v>190</v>
      </c>
      <c r="D2294" s="3" t="s">
        <v>6134</v>
      </c>
      <c r="E2294" s="3" t="s">
        <v>6135</v>
      </c>
      <c r="F2294" s="3" t="s">
        <v>6136</v>
      </c>
      <c r="G2294" s="3" t="str">
        <f>IFERROR(__xludf.DUMMYFUNCTION("GOOGLETRANSLATE(D2294,""fr"",""es"")"),"sopa")</f>
        <v>sopa</v>
      </c>
      <c r="H2294" s="3" t="s">
        <v>6137</v>
      </c>
      <c r="I2294" s="3" t="s">
        <v>6137</v>
      </c>
      <c r="J2294" s="3" t="s">
        <v>6137</v>
      </c>
      <c r="K2294" s="3" t="s">
        <v>6137</v>
      </c>
    </row>
    <row r="2295">
      <c r="A2295" s="3">
        <v>2273.0</v>
      </c>
      <c r="B2295" s="3" t="s">
        <v>189</v>
      </c>
      <c r="C2295" s="3" t="s">
        <v>190</v>
      </c>
      <c r="D2295" s="3" t="s">
        <v>6138</v>
      </c>
      <c r="E2295" s="3" t="s">
        <v>6135</v>
      </c>
      <c r="F2295" s="3" t="s">
        <v>6136</v>
      </c>
      <c r="G2295" s="3" t="str">
        <f>IFERROR(__xludf.DUMMYFUNCTION("GOOGLETRANSLATE(D2295,""fr"",""es"")"),"sopa")</f>
        <v>sopa</v>
      </c>
    </row>
    <row r="2296">
      <c r="A2296" s="3">
        <v>2274.0</v>
      </c>
      <c r="B2296" s="3" t="s">
        <v>189</v>
      </c>
      <c r="C2296" s="3" t="s">
        <v>190</v>
      </c>
      <c r="D2296" s="3" t="s">
        <v>6139</v>
      </c>
      <c r="E2296" s="3" t="s">
        <v>6135</v>
      </c>
      <c r="F2296" s="3" t="s">
        <v>6136</v>
      </c>
      <c r="G2296" s="3" t="str">
        <f>IFERROR(__xludf.DUMMYFUNCTION("GOOGLETRANSLATE(D2296,""fr"",""es"")"),"sopas")</f>
        <v>sopas</v>
      </c>
    </row>
    <row r="2297">
      <c r="A2297" s="3">
        <v>2275.0</v>
      </c>
      <c r="B2297" s="3" t="s">
        <v>189</v>
      </c>
      <c r="C2297" s="3" t="s">
        <v>190</v>
      </c>
      <c r="D2297" s="3" t="s">
        <v>6140</v>
      </c>
      <c r="E2297" s="3" t="s">
        <v>6141</v>
      </c>
      <c r="F2297" s="3" t="s">
        <v>6142</v>
      </c>
      <c r="G2297" s="3" t="str">
        <f>IFERROR(__xludf.DUMMYFUNCTION("GOOGLETRANSLATE(D2297,""fr"",""es"")"),"souquai")</f>
        <v>souquai</v>
      </c>
    </row>
    <row r="2298">
      <c r="A2298" s="3">
        <v>2276.0</v>
      </c>
      <c r="B2298" s="3" t="s">
        <v>189</v>
      </c>
      <c r="C2298" s="3" t="s">
        <v>190</v>
      </c>
      <c r="D2298" s="3" t="s">
        <v>6143</v>
      </c>
      <c r="E2298" s="3" t="s">
        <v>6141</v>
      </c>
      <c r="F2298" s="3" t="s">
        <v>6142</v>
      </c>
      <c r="G2298" s="3" t="str">
        <f>IFERROR(__xludf.DUMMYFUNCTION("GOOGLETRANSLATE(D2298,""fr"",""es"")"),"sometido")</f>
        <v>sometido</v>
      </c>
    </row>
    <row r="2299">
      <c r="A2299" s="3">
        <v>2277.0</v>
      </c>
      <c r="B2299" s="3" t="s">
        <v>189</v>
      </c>
      <c r="C2299" s="3" t="s">
        <v>190</v>
      </c>
      <c r="D2299" s="3" t="s">
        <v>6144</v>
      </c>
      <c r="E2299" s="3" t="s">
        <v>6141</v>
      </c>
      <c r="F2299" s="3" t="s">
        <v>6142</v>
      </c>
      <c r="G2299" s="3" t="str">
        <f>IFERROR(__xludf.DUMMYFUNCTION("GOOGLETRANSLATE(D2299,""fr"",""es"")"),"bajo la")</f>
        <v>bajo la</v>
      </c>
    </row>
    <row r="2300">
      <c r="A2300" s="3">
        <v>2278.0</v>
      </c>
      <c r="B2300" s="3" t="s">
        <v>189</v>
      </c>
      <c r="C2300" s="3" t="s">
        <v>190</v>
      </c>
      <c r="D2300" s="3" t="s">
        <v>6145</v>
      </c>
      <c r="E2300" s="3" t="s">
        <v>6141</v>
      </c>
      <c r="F2300" s="3" t="s">
        <v>6142</v>
      </c>
      <c r="G2300" s="3" t="str">
        <f>IFERROR(__xludf.DUMMYFUNCTION("GOOGLETRANSLATE(D2300,""fr"",""es"")"),"socavado")</f>
        <v>socavado</v>
      </c>
    </row>
    <row r="2301">
      <c r="A2301" s="3">
        <v>2279.0</v>
      </c>
      <c r="B2301" s="3" t="s">
        <v>189</v>
      </c>
      <c r="C2301" s="3" t="s">
        <v>190</v>
      </c>
      <c r="D2301" s="3" t="s">
        <v>6146</v>
      </c>
      <c r="E2301" s="3" t="s">
        <v>6147</v>
      </c>
      <c r="F2301" s="3" t="s">
        <v>6148</v>
      </c>
      <c r="G2301" s="3" t="str">
        <f>IFERROR(__xludf.DUMMYFUNCTION("GOOGLETRANSLATE(D2301,""fr"",""es"")"),"souqua")</f>
        <v>souqua</v>
      </c>
    </row>
    <row r="2302">
      <c r="A2302" s="3">
        <v>2280.0</v>
      </c>
      <c r="B2302" s="3" t="s">
        <v>189</v>
      </c>
      <c r="C2302" s="3" t="s">
        <v>190</v>
      </c>
      <c r="D2302" s="3" t="s">
        <v>6149</v>
      </c>
      <c r="E2302" s="3" t="s">
        <v>6150</v>
      </c>
      <c r="F2302" s="3" t="s">
        <v>6151</v>
      </c>
      <c r="G2302" s="3" t="str">
        <f>IFERROR(__xludf.DUMMYFUNCTION("GOOGLETRANSLATE(D2302,""fr"",""es"")"),"souquasse")</f>
        <v>souquasse</v>
      </c>
    </row>
    <row r="2303">
      <c r="A2303" s="3">
        <v>2281.0</v>
      </c>
      <c r="B2303" s="3" t="s">
        <v>189</v>
      </c>
      <c r="C2303" s="3" t="s">
        <v>190</v>
      </c>
      <c r="D2303" s="3" t="s">
        <v>6152</v>
      </c>
      <c r="E2303" s="3" t="s">
        <v>6150</v>
      </c>
      <c r="F2303" s="3" t="s">
        <v>6151</v>
      </c>
      <c r="G2303" s="3" t="str">
        <f>IFERROR(__xludf.DUMMYFUNCTION("GOOGLETRANSLATE(D2303,""fr"",""es"")"),"souquasse")</f>
        <v>souquasse</v>
      </c>
    </row>
    <row r="2304">
      <c r="A2304" s="3">
        <v>2282.0</v>
      </c>
      <c r="B2304" s="3" t="s">
        <v>189</v>
      </c>
      <c r="C2304" s="3" t="s">
        <v>190</v>
      </c>
      <c r="D2304" s="3" t="s">
        <v>6153</v>
      </c>
      <c r="E2304" s="3" t="s">
        <v>6150</v>
      </c>
      <c r="F2304" s="3" t="s">
        <v>6151</v>
      </c>
      <c r="G2304" s="3" t="str">
        <f>IFERROR(__xludf.DUMMYFUNCTION("GOOGLETRANSLATE(D2304,""fr"",""es"")"),"souquasses")</f>
        <v>souquasses</v>
      </c>
    </row>
    <row r="2305">
      <c r="A2305" s="3">
        <v>2283.0</v>
      </c>
      <c r="B2305" s="3" t="s">
        <v>189</v>
      </c>
      <c r="C2305" s="3" t="s">
        <v>190</v>
      </c>
      <c r="D2305" s="3" t="s">
        <v>6154</v>
      </c>
      <c r="E2305" s="3" t="s">
        <v>6056</v>
      </c>
      <c r="F2305" s="3" t="s">
        <v>6057</v>
      </c>
      <c r="G2305" s="3" t="str">
        <f>IFERROR(__xludf.DUMMYFUNCTION("GOOGLETRANSLATE(D2305,""fr"",""es"")"),"despreocupado")</f>
        <v>despreocupado</v>
      </c>
    </row>
    <row r="2306">
      <c r="A2306" s="3">
        <v>2284.0</v>
      </c>
      <c r="B2306" s="3" t="s">
        <v>189</v>
      </c>
      <c r="C2306" s="3" t="s">
        <v>190</v>
      </c>
      <c r="D2306" s="3" t="s">
        <v>6155</v>
      </c>
      <c r="E2306" s="3" t="s">
        <v>6056</v>
      </c>
      <c r="F2306" s="3" t="s">
        <v>6057</v>
      </c>
      <c r="G2306" s="3" t="str">
        <f>IFERROR(__xludf.DUMMYFUNCTION("GOOGLETRANSLATE(D2306,""fr"",""es"")"),"socavar")</f>
        <v>socavar</v>
      </c>
    </row>
    <row r="2307">
      <c r="A2307" s="3">
        <v>2285.0</v>
      </c>
      <c r="B2307" s="3" t="s">
        <v>189</v>
      </c>
      <c r="C2307" s="3" t="s">
        <v>190</v>
      </c>
      <c r="D2307" s="3" t="s">
        <v>6156</v>
      </c>
      <c r="E2307" s="3" t="s">
        <v>6056</v>
      </c>
      <c r="F2307" s="3" t="s">
        <v>6057</v>
      </c>
      <c r="G2307" s="3" t="str">
        <f>IFERROR(__xludf.DUMMYFUNCTION("GOOGLETRANSLATE(D2307,""fr"",""es"")"),"turno")</f>
        <v>turno</v>
      </c>
    </row>
    <row r="2308">
      <c r="A2308" s="3">
        <v>2286.0</v>
      </c>
      <c r="B2308" s="3" t="s">
        <v>189</v>
      </c>
      <c r="C2308" s="3" t="s">
        <v>190</v>
      </c>
      <c r="D2308" s="3" t="s">
        <v>6157</v>
      </c>
      <c r="E2308" s="3" t="s">
        <v>5668</v>
      </c>
      <c r="F2308" s="3" t="s">
        <v>5669</v>
      </c>
      <c r="G2308" s="3" t="str">
        <f>IFERROR(__xludf.DUMMYFUNCTION("GOOGLETRANSLATE(D2308,""fr"",""es"")"),"por debajo")</f>
        <v>por debajo</v>
      </c>
    </row>
    <row r="2309">
      <c r="A2309" s="3">
        <v>2287.0</v>
      </c>
      <c r="B2309" s="3" t="s">
        <v>189</v>
      </c>
      <c r="C2309" s="3" t="s">
        <v>190</v>
      </c>
      <c r="D2309" s="3" t="s">
        <v>6158</v>
      </c>
      <c r="E2309" s="3" t="s">
        <v>6159</v>
      </c>
      <c r="F2309" s="3" t="s">
        <v>6160</v>
      </c>
      <c r="G2309" s="3" t="str">
        <f>IFERROR(__xludf.DUMMYFUNCTION("GOOGLETRANSLATE(D2309,""fr"",""es"")"),"bajo capa")</f>
        <v>bajo capa</v>
      </c>
      <c r="H2309" s="3" t="s">
        <v>6161</v>
      </c>
      <c r="I2309" s="3" t="s">
        <v>6162</v>
      </c>
      <c r="J2309" s="3" t="s">
        <v>6163</v>
      </c>
      <c r="K2309" s="3" t="s">
        <v>6164</v>
      </c>
      <c r="L2309" s="3" t="s">
        <v>6165</v>
      </c>
      <c r="M2309" s="3" t="s">
        <v>6166</v>
      </c>
      <c r="N2309" s="3" t="s">
        <v>6167</v>
      </c>
    </row>
    <row r="2310">
      <c r="A2310" s="3">
        <v>2288.0</v>
      </c>
      <c r="B2310" s="3" t="s">
        <v>189</v>
      </c>
      <c r="C2310" s="3" t="s">
        <v>190</v>
      </c>
      <c r="D2310" s="3" t="s">
        <v>6168</v>
      </c>
      <c r="E2310" s="3" t="s">
        <v>6159</v>
      </c>
      <c r="F2310" s="3" t="s">
        <v>6160</v>
      </c>
      <c r="G2310" s="3" t="str">
        <f>IFERROR(__xludf.DUMMYFUNCTION("GOOGLETRANSLATE(D2310,""fr"",""es"")"),"subyacente")</f>
        <v>subyacente</v>
      </c>
    </row>
    <row r="2311">
      <c r="A2311" s="3">
        <v>2289.0</v>
      </c>
      <c r="B2311" s="3" t="s">
        <v>189</v>
      </c>
      <c r="C2311" s="3" t="s">
        <v>190</v>
      </c>
      <c r="D2311" s="3" t="s">
        <v>6169</v>
      </c>
      <c r="E2311" s="3" t="s">
        <v>6170</v>
      </c>
      <c r="F2311" s="3" t="s">
        <v>6171</v>
      </c>
      <c r="G2311" s="3" t="str">
        <f>IFERROR(__xludf.DUMMYFUNCTION("GOOGLETRANSLATE(D2311,""fr"",""es"")"),"subarrendar")</f>
        <v>subarrendar</v>
      </c>
    </row>
    <row r="2312">
      <c r="A2312" s="3">
        <v>2290.0</v>
      </c>
      <c r="B2312" s="3" t="s">
        <v>189</v>
      </c>
      <c r="C2312" s="3" t="s">
        <v>190</v>
      </c>
      <c r="D2312" s="3" t="s">
        <v>6172</v>
      </c>
      <c r="E2312" s="3" t="s">
        <v>6170</v>
      </c>
      <c r="F2312" s="3" t="s">
        <v>6171</v>
      </c>
      <c r="G2312" s="3" t="str">
        <f>IFERROR(__xludf.DUMMYFUNCTION("GOOGLETRANSLATE(D2312,""fr"",""es"")"),"subarrendar")</f>
        <v>subarrendar</v>
      </c>
    </row>
    <row r="2313">
      <c r="A2313" s="3">
        <v>2291.0</v>
      </c>
      <c r="B2313" s="3" t="s">
        <v>189</v>
      </c>
      <c r="C2313" s="3" t="s">
        <v>190</v>
      </c>
      <c r="D2313" s="3" t="s">
        <v>6173</v>
      </c>
      <c r="E2313" s="3" t="s">
        <v>6170</v>
      </c>
      <c r="F2313" s="3" t="s">
        <v>6171</v>
      </c>
      <c r="G2313" s="3" t="str">
        <f>IFERROR(__xludf.DUMMYFUNCTION("GOOGLETRANSLATE(D2313,""fr"",""es"")"),"subyugado")</f>
        <v>subyugado</v>
      </c>
    </row>
    <row r="2314">
      <c r="A2314" s="3">
        <v>2292.0</v>
      </c>
      <c r="B2314" s="3" t="s">
        <v>189</v>
      </c>
      <c r="C2314" s="3" t="s">
        <v>190</v>
      </c>
      <c r="D2314" s="3" t="s">
        <v>6174</v>
      </c>
      <c r="E2314" s="3" t="s">
        <v>6175</v>
      </c>
      <c r="F2314" s="3" t="s">
        <v>6176</v>
      </c>
      <c r="G2314" s="3" t="str">
        <f>IFERROR(__xludf.DUMMYFUNCTION("GOOGLETRANSLATE(D2314,""fr"",""es"")"),"subministerio")</f>
        <v>subministerio</v>
      </c>
    </row>
    <row r="2315">
      <c r="A2315" s="3">
        <v>2293.0</v>
      </c>
      <c r="B2315" s="3" t="s">
        <v>189</v>
      </c>
      <c r="C2315" s="3" t="s">
        <v>190</v>
      </c>
      <c r="D2315" s="3" t="s">
        <v>6177</v>
      </c>
      <c r="E2315" s="3" t="s">
        <v>6178</v>
      </c>
      <c r="F2315" s="3" t="s">
        <v>6179</v>
      </c>
      <c r="G2315" s="3" t="str">
        <f>IFERROR(__xludf.DUMMYFUNCTION("GOOGLETRANSLATE(D2315,""fr"",""es"")"),"subterránea")</f>
        <v>subterránea</v>
      </c>
    </row>
    <row r="2316">
      <c r="A2316" s="3">
        <v>2294.0</v>
      </c>
      <c r="B2316" s="3" t="s">
        <v>189</v>
      </c>
      <c r="C2316" s="3" t="s">
        <v>190</v>
      </c>
      <c r="D2316" s="3" t="s">
        <v>6180</v>
      </c>
      <c r="E2316" s="3" t="s">
        <v>6178</v>
      </c>
      <c r="F2316" s="3" t="s">
        <v>6179</v>
      </c>
      <c r="G2316" s="3" t="str">
        <f>IFERROR(__xludf.DUMMYFUNCTION("GOOGLETRANSLATE(D2316,""fr"",""es"")"),"subnapas")</f>
        <v>subnapas</v>
      </c>
    </row>
    <row r="2317">
      <c r="A2317" s="3">
        <v>2295.0</v>
      </c>
      <c r="B2317" s="3" t="s">
        <v>189</v>
      </c>
      <c r="C2317" s="3" t="s">
        <v>190</v>
      </c>
      <c r="D2317" s="3" t="s">
        <v>6181</v>
      </c>
      <c r="E2317" s="3" t="s">
        <v>6182</v>
      </c>
      <c r="F2317" s="3" t="s">
        <v>6183</v>
      </c>
      <c r="G2317" s="3" t="str">
        <f>IFERROR(__xludf.DUMMYFUNCTION("GOOGLETRANSLATE(D2317,""fr"",""es"")"),"platillo")</f>
        <v>platillo</v>
      </c>
    </row>
    <row r="2318">
      <c r="A2318" s="3">
        <v>2296.0</v>
      </c>
      <c r="B2318" s="3" t="s">
        <v>189</v>
      </c>
      <c r="C2318" s="3" t="s">
        <v>190</v>
      </c>
      <c r="D2318" s="3" t="s">
        <v>6184</v>
      </c>
      <c r="E2318" s="3" t="s">
        <v>6182</v>
      </c>
      <c r="F2318" s="3" t="s">
        <v>6183</v>
      </c>
      <c r="G2318" s="3" t="str">
        <f>IFERROR(__xludf.DUMMYFUNCTION("GOOGLETRANSLATE(D2318,""fr"",""es"")"),"inferior")</f>
        <v>inferior</v>
      </c>
    </row>
    <row r="2319">
      <c r="A2319" s="3">
        <v>2297.0</v>
      </c>
      <c r="B2319" s="3" t="s">
        <v>189</v>
      </c>
      <c r="C2319" s="3" t="s">
        <v>190</v>
      </c>
      <c r="D2319" s="3" t="s">
        <v>6185</v>
      </c>
      <c r="E2319" s="3" t="s">
        <v>6186</v>
      </c>
      <c r="F2319" s="3" t="s">
        <v>6187</v>
      </c>
      <c r="G2319" s="3" t="str">
        <f>IFERROR(__xludf.DUMMYFUNCTION("GOOGLETRANSLATE(D2319,""fr"",""es"")"),"sotana")</f>
        <v>sotana</v>
      </c>
      <c r="H2319" s="3" t="s">
        <v>6188</v>
      </c>
      <c r="I2319" s="3" t="s">
        <v>6185</v>
      </c>
    </row>
    <row r="2320">
      <c r="A2320" s="3">
        <v>2298.0</v>
      </c>
      <c r="B2320" s="3" t="s">
        <v>189</v>
      </c>
      <c r="C2320" s="3" t="s">
        <v>190</v>
      </c>
      <c r="D2320" s="3" t="s">
        <v>6189</v>
      </c>
      <c r="E2320" s="3" t="s">
        <v>6186</v>
      </c>
      <c r="F2320" s="3" t="s">
        <v>6187</v>
      </c>
      <c r="G2320" s="3" t="str">
        <f>IFERROR(__xludf.DUMMYFUNCTION("GOOGLETRANSLATE(D2320,""fr"",""es"")"),"sostenido")</f>
        <v>sostenido</v>
      </c>
    </row>
    <row r="2321">
      <c r="A2321" s="3">
        <v>2299.0</v>
      </c>
      <c r="B2321" s="3" t="s">
        <v>189</v>
      </c>
      <c r="C2321" s="3" t="s">
        <v>190</v>
      </c>
      <c r="D2321" s="3" t="s">
        <v>6190</v>
      </c>
      <c r="E2321" s="3" t="s">
        <v>6191</v>
      </c>
      <c r="F2321" s="3" t="s">
        <v>6190</v>
      </c>
      <c r="G2321" s="3" t="str">
        <f>IFERROR(__xludf.DUMMYFUNCTION("GOOGLETRANSLATE(D2321,""fr"",""es"")"),"su")</f>
        <v>su</v>
      </c>
      <c r="H2321" s="3" t="s">
        <v>6192</v>
      </c>
      <c r="I2321" s="3" t="s">
        <v>6193</v>
      </c>
      <c r="J2321" s="3" t="s">
        <v>6194</v>
      </c>
      <c r="K2321" s="3" t="s">
        <v>6192</v>
      </c>
      <c r="L2321" s="3" t="s">
        <v>6193</v>
      </c>
      <c r="M2321" s="3" t="s">
        <v>6194</v>
      </c>
    </row>
    <row r="2322">
      <c r="A2322" s="3">
        <v>2300.0</v>
      </c>
      <c r="B2322" s="3" t="s">
        <v>189</v>
      </c>
      <c r="C2322" s="3" t="s">
        <v>190</v>
      </c>
      <c r="D2322" s="3" t="s">
        <v>6195</v>
      </c>
      <c r="E2322" s="3" t="s">
        <v>6196</v>
      </c>
      <c r="F2322" s="3" t="s">
        <v>6197</v>
      </c>
      <c r="G2322" s="3" t="str">
        <f>IFERROR(__xludf.DUMMYFUNCTION("GOOGLETRANSLATE(D2322,""fr"",""es"")"),"TAC")</f>
        <v>TAC</v>
      </c>
    </row>
    <row r="2323">
      <c r="A2323" s="3">
        <v>2301.0</v>
      </c>
      <c r="B2323" s="3" t="s">
        <v>189</v>
      </c>
      <c r="C2323" s="3" t="s">
        <v>190</v>
      </c>
      <c r="D2323" s="3" t="s">
        <v>6198</v>
      </c>
      <c r="E2323" s="3" t="s">
        <v>6199</v>
      </c>
      <c r="F2323" s="3" t="s">
        <v>6200</v>
      </c>
      <c r="G2323" s="3" t="str">
        <f>IFERROR(__xludf.DUMMYFUNCTION("GOOGLETRANSLATE(D2323,""fr"",""es"")"),"tachai")</f>
        <v>tachai</v>
      </c>
    </row>
    <row r="2324">
      <c r="A2324" s="3">
        <v>2302.0</v>
      </c>
      <c r="B2324" s="3" t="s">
        <v>189</v>
      </c>
      <c r="C2324" s="3" t="s">
        <v>190</v>
      </c>
      <c r="D2324" s="3" t="s">
        <v>6201</v>
      </c>
      <c r="E2324" s="3" t="s">
        <v>6199</v>
      </c>
      <c r="F2324" s="3" t="s">
        <v>6200</v>
      </c>
      <c r="G2324" s="3" t="str">
        <f>IFERROR(__xludf.DUMMYFUNCTION("GOOGLETRANSLATE(D2324,""fr"",""es"")"),"Taschai")</f>
        <v>Taschai</v>
      </c>
    </row>
    <row r="2325">
      <c r="A2325" s="3">
        <v>2303.0</v>
      </c>
      <c r="B2325" s="3" t="s">
        <v>189</v>
      </c>
      <c r="C2325" s="3" t="s">
        <v>190</v>
      </c>
      <c r="D2325" s="3" t="s">
        <v>6202</v>
      </c>
      <c r="E2325" s="3" t="s">
        <v>6199</v>
      </c>
      <c r="F2325" s="3" t="s">
        <v>6200</v>
      </c>
      <c r="G2325" s="3" t="str">
        <f>IFERROR(__xludf.DUMMYFUNCTION("GOOGLETRANSLATE(D2325,""fr"",""es"")"),"etiquetado")</f>
        <v>etiquetado</v>
      </c>
    </row>
    <row r="2326">
      <c r="A2326" s="3">
        <v>2304.0</v>
      </c>
      <c r="B2326" s="3" t="s">
        <v>189</v>
      </c>
      <c r="C2326" s="3" t="s">
        <v>190</v>
      </c>
      <c r="D2326" s="3" t="s">
        <v>6203</v>
      </c>
      <c r="E2326" s="3" t="s">
        <v>6199</v>
      </c>
      <c r="F2326" s="3" t="s">
        <v>6200</v>
      </c>
      <c r="G2326" s="3" t="str">
        <f>IFERROR(__xludf.DUMMYFUNCTION("GOOGLETRANSLATE(D2326,""fr"",""es"")"),"estaban intentando")</f>
        <v>estaban intentando</v>
      </c>
    </row>
    <row r="2327">
      <c r="A2327" s="3">
        <v>2305.0</v>
      </c>
      <c r="B2327" s="3" t="s">
        <v>189</v>
      </c>
      <c r="C2327" s="3" t="s">
        <v>190</v>
      </c>
      <c r="D2327" s="3" t="s">
        <v>6204</v>
      </c>
      <c r="E2327" s="3" t="s">
        <v>6199</v>
      </c>
      <c r="F2327" s="3" t="s">
        <v>6200</v>
      </c>
      <c r="G2327" s="3" t="str">
        <f>IFERROR(__xludf.DUMMYFUNCTION("GOOGLETRANSLATE(D2327,""fr"",""es"")"),"tacáis")</f>
        <v>tacáis</v>
      </c>
    </row>
    <row r="2328">
      <c r="A2328" s="3">
        <v>2306.0</v>
      </c>
      <c r="B2328" s="3" t="s">
        <v>189</v>
      </c>
      <c r="C2328" s="3" t="s">
        <v>190</v>
      </c>
      <c r="D2328" s="3" t="s">
        <v>6205</v>
      </c>
      <c r="E2328" s="3" t="s">
        <v>6199</v>
      </c>
      <c r="F2328" s="3" t="s">
        <v>6200</v>
      </c>
      <c r="G2328" s="3" t="str">
        <f>IFERROR(__xludf.DUMMYFUNCTION("GOOGLETRANSLATE(D2328,""fr"",""es"")"),"taschais")</f>
        <v>taschais</v>
      </c>
    </row>
    <row r="2329">
      <c r="A2329" s="3">
        <v>2307.0</v>
      </c>
      <c r="B2329" s="3" t="s">
        <v>189</v>
      </c>
      <c r="C2329" s="3" t="s">
        <v>190</v>
      </c>
      <c r="D2329" s="3" t="s">
        <v>6206</v>
      </c>
      <c r="E2329" s="3" t="s">
        <v>6199</v>
      </c>
      <c r="F2329" s="3" t="s">
        <v>6200</v>
      </c>
      <c r="G2329" s="3" t="str">
        <f>IFERROR(__xludf.DUMMYFUNCTION("GOOGLETRANSLATE(D2329,""fr"",""es"")"),"holgazado")</f>
        <v>holgazado</v>
      </c>
    </row>
    <row r="2330">
      <c r="A2330" s="3">
        <v>2308.0</v>
      </c>
      <c r="B2330" s="3" t="s">
        <v>189</v>
      </c>
      <c r="C2330" s="3" t="s">
        <v>190</v>
      </c>
      <c r="D2330" s="3" t="s">
        <v>6207</v>
      </c>
      <c r="E2330" s="3" t="s">
        <v>6199</v>
      </c>
      <c r="F2330" s="3" t="s">
        <v>6200</v>
      </c>
      <c r="G2330" s="3" t="str">
        <f>IFERROR(__xludf.DUMMYFUNCTION("GOOGLETRANSLATE(D2330,""fr"",""es"")"),"intentó")</f>
        <v>intentó</v>
      </c>
    </row>
    <row r="2331">
      <c r="A2331" s="3">
        <v>2309.0</v>
      </c>
      <c r="B2331" s="3" t="s">
        <v>189</v>
      </c>
      <c r="C2331" s="3" t="s">
        <v>190</v>
      </c>
      <c r="D2331" s="3" t="s">
        <v>6208</v>
      </c>
      <c r="E2331" s="3" t="s">
        <v>6209</v>
      </c>
      <c r="F2331" s="3" t="s">
        <v>6210</v>
      </c>
      <c r="G2331" s="3" t="str">
        <f>IFERROR(__xludf.DUMMYFUNCTION("GOOGLETRANSLATE(D2331,""fr"",""es"")"),"tachâme")</f>
        <v>tachâme</v>
      </c>
    </row>
    <row r="2332">
      <c r="A2332" s="3">
        <v>2310.0</v>
      </c>
      <c r="B2332" s="3" t="s">
        <v>189</v>
      </c>
      <c r="C2332" s="3" t="s">
        <v>190</v>
      </c>
      <c r="D2332" s="3" t="s">
        <v>6211</v>
      </c>
      <c r="E2332" s="3" t="s">
        <v>6209</v>
      </c>
      <c r="F2332" s="3" t="s">
        <v>6210</v>
      </c>
      <c r="G2332" s="3" t="str">
        <f>IFERROR(__xludf.DUMMYFUNCTION("GOOGLETRANSLATE(D2332,""fr"",""es"")"),"sabroso")</f>
        <v>sabroso</v>
      </c>
    </row>
    <row r="2333">
      <c r="A2333" s="3">
        <v>2311.0</v>
      </c>
      <c r="B2333" s="3" t="s">
        <v>189</v>
      </c>
      <c r="C2333" s="3" t="s">
        <v>190</v>
      </c>
      <c r="D2333" s="3" t="s">
        <v>6212</v>
      </c>
      <c r="E2333" s="3" t="s">
        <v>6213</v>
      </c>
      <c r="F2333" s="3" t="s">
        <v>6214</v>
      </c>
      <c r="G2333" s="3" t="str">
        <f>IFERROR(__xludf.DUMMYFUNCTION("GOOGLETRANSLATE(D2333,""fr"",""es"")"),"rascar")</f>
        <v>rascar</v>
      </c>
    </row>
    <row r="2334">
      <c r="A2334" s="3">
        <v>2312.0</v>
      </c>
      <c r="B2334" s="3" t="s">
        <v>189</v>
      </c>
      <c r="C2334" s="3" t="s">
        <v>190</v>
      </c>
      <c r="D2334" s="3" t="s">
        <v>6215</v>
      </c>
      <c r="E2334" s="3" t="s">
        <v>6213</v>
      </c>
      <c r="F2334" s="3" t="s">
        <v>6214</v>
      </c>
      <c r="G2334" s="3" t="str">
        <f>IFERROR(__xludf.DUMMYFUNCTION("GOOGLETRANSLATE(D2334,""fr"",""es"")"),"saboreo")</f>
        <v>saboreo</v>
      </c>
    </row>
    <row r="2335">
      <c r="A2335" s="3">
        <v>2313.0</v>
      </c>
      <c r="B2335" s="3" t="s">
        <v>189</v>
      </c>
      <c r="C2335" s="3" t="s">
        <v>190</v>
      </c>
      <c r="D2335" s="3" t="s">
        <v>6216</v>
      </c>
      <c r="E2335" s="3" t="s">
        <v>6213</v>
      </c>
      <c r="F2335" s="3" t="s">
        <v>6214</v>
      </c>
      <c r="G2335" s="3" t="str">
        <f>IFERROR(__xludf.DUMMYFUNCTION("GOOGLETRANSLATE(D2335,""fr"",""es"")"),"tocar")</f>
        <v>tocar</v>
      </c>
    </row>
    <row r="2336">
      <c r="A2336" s="3">
        <v>2314.0</v>
      </c>
      <c r="B2336" s="3" t="s">
        <v>189</v>
      </c>
      <c r="C2336" s="3" t="s">
        <v>190</v>
      </c>
      <c r="D2336" s="3" t="s">
        <v>6217</v>
      </c>
      <c r="E2336" s="3" t="s">
        <v>6213</v>
      </c>
      <c r="F2336" s="3" t="s">
        <v>6214</v>
      </c>
      <c r="G2336" s="3" t="str">
        <f>IFERROR(__xludf.DUMMYFUNCTION("GOOGLETRANSLATE(D2336,""fr"",""es"")"),"probar")</f>
        <v>probar</v>
      </c>
    </row>
    <row r="2337">
      <c r="A2337" s="3">
        <v>2315.0</v>
      </c>
      <c r="B2337" s="3" t="s">
        <v>189</v>
      </c>
      <c r="C2337" s="3" t="s">
        <v>190</v>
      </c>
      <c r="D2337" s="3" t="s">
        <v>6218</v>
      </c>
      <c r="E2337" s="3" t="s">
        <v>6213</v>
      </c>
      <c r="F2337" s="3" t="s">
        <v>6214</v>
      </c>
      <c r="G2337" s="3" t="str">
        <f>IFERROR(__xludf.DUMMYFUNCTION("GOOGLETRANSLATE(D2337,""fr"",""es"")"),"punteado")</f>
        <v>punteado</v>
      </c>
    </row>
    <row r="2338">
      <c r="A2338" s="3">
        <v>2316.0</v>
      </c>
      <c r="B2338" s="3" t="s">
        <v>189</v>
      </c>
      <c r="C2338" s="3" t="s">
        <v>190</v>
      </c>
      <c r="D2338" s="3" t="s">
        <v>6219</v>
      </c>
      <c r="E2338" s="3" t="s">
        <v>6213</v>
      </c>
      <c r="F2338" s="3" t="s">
        <v>6214</v>
      </c>
      <c r="G2338" s="3" t="str">
        <f>IFERROR(__xludf.DUMMYFUNCTION("GOOGLETRANSLATE(D2338,""fr"",""es"")"),"taschases")</f>
        <v>taschases</v>
      </c>
    </row>
    <row r="2339">
      <c r="A2339" s="3">
        <v>2317.0</v>
      </c>
      <c r="B2339" s="3" t="s">
        <v>189</v>
      </c>
      <c r="C2339" s="3" t="s">
        <v>190</v>
      </c>
      <c r="D2339" s="3" t="s">
        <v>6220</v>
      </c>
      <c r="E2339" s="3" t="s">
        <v>6221</v>
      </c>
      <c r="F2339" s="3" t="s">
        <v>6222</v>
      </c>
      <c r="G2339" s="3" t="str">
        <f>IFERROR(__xludf.DUMMYFUNCTION("GOOGLETRANSLATE(D2339,""fr"",""es"")"),"Mancha")</f>
        <v>Mancha</v>
      </c>
      <c r="H2339" s="3" t="s">
        <v>6223</v>
      </c>
      <c r="I2339" s="3" t="s">
        <v>6224</v>
      </c>
      <c r="J2339" s="3" t="s">
        <v>6225</v>
      </c>
      <c r="K2339" s="3" t="s">
        <v>6226</v>
      </c>
      <c r="L2339" s="3" t="s">
        <v>6227</v>
      </c>
      <c r="M2339" s="3" t="s">
        <v>6228</v>
      </c>
      <c r="N2339" s="3" t="s">
        <v>6229</v>
      </c>
      <c r="O2339" s="3" t="s">
        <v>6226</v>
      </c>
      <c r="P2339" s="3" t="s">
        <v>6230</v>
      </c>
      <c r="Q2339" s="3" t="s">
        <v>6231</v>
      </c>
      <c r="R2339" s="3" t="s">
        <v>6223</v>
      </c>
      <c r="S2339" s="3" t="s">
        <v>6226</v>
      </c>
      <c r="T2339" s="3" t="s">
        <v>6232</v>
      </c>
      <c r="U2339" s="3" t="s">
        <v>6233</v>
      </c>
      <c r="V2339" s="3" t="s">
        <v>6234</v>
      </c>
      <c r="W2339" s="3" t="s">
        <v>6230</v>
      </c>
      <c r="X2339" s="3" t="s">
        <v>6235</v>
      </c>
      <c r="Y2339" s="3" t="s">
        <v>6236</v>
      </c>
      <c r="Z2339" s="3" t="s">
        <v>6237</v>
      </c>
      <c r="AA2339" s="3" t="s">
        <v>6238</v>
      </c>
      <c r="AB2339" s="3" t="s">
        <v>6239</v>
      </c>
      <c r="AC2339" s="3" t="s">
        <v>6240</v>
      </c>
      <c r="AD2339" s="3" t="s">
        <v>6226</v>
      </c>
      <c r="AE2339" s="3" t="s">
        <v>6223</v>
      </c>
      <c r="AF2339" s="3" t="s">
        <v>6241</v>
      </c>
      <c r="AG2339" s="3" t="s">
        <v>6224</v>
      </c>
      <c r="AH2339" s="3" t="s">
        <v>6225</v>
      </c>
      <c r="AI2339" s="3" t="s">
        <v>6242</v>
      </c>
      <c r="AJ2339" s="3" t="s">
        <v>6243</v>
      </c>
      <c r="AK2339" s="3" t="s">
        <v>6244</v>
      </c>
      <c r="AL2339" s="3" t="s">
        <v>6245</v>
      </c>
      <c r="AM2339" s="3" t="s">
        <v>6246</v>
      </c>
      <c r="AN2339" s="3" t="s">
        <v>6247</v>
      </c>
      <c r="AO2339" s="3" t="s">
        <v>5940</v>
      </c>
      <c r="AP2339" s="3" t="s">
        <v>6248</v>
      </c>
      <c r="AQ2339" s="3" t="s">
        <v>6249</v>
      </c>
      <c r="AR2339" s="3" t="s">
        <v>6227</v>
      </c>
      <c r="AS2339" s="3" t="s">
        <v>6250</v>
      </c>
      <c r="AT2339" s="3" t="s">
        <v>6251</v>
      </c>
      <c r="AU2339" s="3" t="s">
        <v>6252</v>
      </c>
      <c r="AV2339" s="3" t="s">
        <v>6253</v>
      </c>
      <c r="AW2339" s="3" t="s">
        <v>6254</v>
      </c>
      <c r="AX2339" s="3" t="s">
        <v>6255</v>
      </c>
      <c r="AY2339" s="3" t="s">
        <v>6227</v>
      </c>
      <c r="AZ2339" s="3" t="s">
        <v>6256</v>
      </c>
      <c r="BA2339" s="3" t="s">
        <v>6257</v>
      </c>
      <c r="BB2339" s="3" t="s">
        <v>6227</v>
      </c>
    </row>
    <row r="2340">
      <c r="A2340" s="3">
        <v>2318.0</v>
      </c>
      <c r="B2340" s="3" t="s">
        <v>189</v>
      </c>
      <c r="C2340" s="3" t="s">
        <v>190</v>
      </c>
      <c r="D2340" s="3" t="s">
        <v>6258</v>
      </c>
      <c r="E2340" s="3" t="s">
        <v>6221</v>
      </c>
      <c r="F2340" s="3" t="s">
        <v>6222</v>
      </c>
      <c r="G2340" s="3" t="str">
        <f>IFERROR(__xludf.DUMMYFUNCTION("GOOGLETRANSLATE(D2340,""fr"",""es"")"),"Mancha")</f>
        <v>Mancha</v>
      </c>
      <c r="H2340" s="3" t="s">
        <v>6259</v>
      </c>
      <c r="I2340" s="3" t="s">
        <v>6259</v>
      </c>
      <c r="J2340" s="3" t="s">
        <v>6260</v>
      </c>
      <c r="K2340" s="3" t="s">
        <v>6261</v>
      </c>
      <c r="L2340" s="3" t="s">
        <v>6259</v>
      </c>
      <c r="M2340" s="3" t="s">
        <v>6262</v>
      </c>
      <c r="N2340" s="3" t="s">
        <v>1499</v>
      </c>
      <c r="O2340" s="3" t="s">
        <v>6259</v>
      </c>
      <c r="P2340" s="3" t="s">
        <v>6259</v>
      </c>
      <c r="Q2340" s="3" t="s">
        <v>6263</v>
      </c>
      <c r="R2340" s="3" t="s">
        <v>6264</v>
      </c>
      <c r="S2340" s="3" t="s">
        <v>6265</v>
      </c>
      <c r="T2340" s="3" t="s">
        <v>6266</v>
      </c>
      <c r="U2340" s="3" t="s">
        <v>6267</v>
      </c>
      <c r="V2340" s="3" t="s">
        <v>6268</v>
      </c>
      <c r="W2340" s="3" t="s">
        <v>6269</v>
      </c>
      <c r="X2340" s="3" t="s">
        <v>6270</v>
      </c>
      <c r="Y2340" s="3" t="s">
        <v>6269</v>
      </c>
      <c r="Z2340" s="3" t="s">
        <v>6271</v>
      </c>
      <c r="AA2340" s="3" t="s">
        <v>6263</v>
      </c>
      <c r="AB2340" s="3" t="s">
        <v>6263</v>
      </c>
      <c r="AC2340" s="3" t="s">
        <v>6259</v>
      </c>
      <c r="AD2340" s="3" t="s">
        <v>6259</v>
      </c>
      <c r="AE2340" s="3" t="s">
        <v>6272</v>
      </c>
      <c r="AF2340" s="3" t="s">
        <v>6259</v>
      </c>
    </row>
    <row r="2341">
      <c r="A2341" s="3">
        <v>2319.0</v>
      </c>
      <c r="B2341" s="3" t="s">
        <v>189</v>
      </c>
      <c r="C2341" s="3" t="s">
        <v>190</v>
      </c>
      <c r="D2341" s="3" t="s">
        <v>6273</v>
      </c>
      <c r="E2341" s="3" t="s">
        <v>6221</v>
      </c>
      <c r="F2341" s="3" t="s">
        <v>6222</v>
      </c>
      <c r="G2341" s="3" t="str">
        <f>IFERROR(__xludf.DUMMYFUNCTION("GOOGLETRANSLATE(D2341,""fr"",""es"")"),"mancha")</f>
        <v>mancha</v>
      </c>
    </row>
    <row r="2342">
      <c r="A2342" s="3">
        <v>2320.0</v>
      </c>
      <c r="B2342" s="3" t="s">
        <v>189</v>
      </c>
      <c r="C2342" s="3" t="s">
        <v>190</v>
      </c>
      <c r="D2342" s="3" t="s">
        <v>6274</v>
      </c>
      <c r="E2342" s="3" t="s">
        <v>6221</v>
      </c>
      <c r="F2342" s="3" t="s">
        <v>6222</v>
      </c>
      <c r="G2342" s="3" t="str">
        <f>IFERROR(__xludf.DUMMYFUNCTION("GOOGLETRANSLATE(D2342,""fr"",""es"")"),"probar")</f>
        <v>probar</v>
      </c>
    </row>
    <row r="2343">
      <c r="A2343" s="3">
        <v>2321.0</v>
      </c>
      <c r="B2343" s="3" t="s">
        <v>189</v>
      </c>
      <c r="C2343" s="3" t="s">
        <v>190</v>
      </c>
      <c r="D2343" s="3" t="s">
        <v>6275</v>
      </c>
      <c r="E2343" s="3" t="s">
        <v>6221</v>
      </c>
      <c r="F2343" s="3" t="s">
        <v>6222</v>
      </c>
      <c r="G2343" s="3" t="str">
        <f>IFERROR(__xludf.DUMMYFUNCTION("GOOGLETRANSLATE(D2343,""fr"",""es"")"),"Tareas")</f>
        <v>Tareas</v>
      </c>
    </row>
    <row r="2344">
      <c r="A2344" s="3">
        <v>2322.0</v>
      </c>
      <c r="B2344" s="3" t="s">
        <v>189</v>
      </c>
      <c r="C2344" s="3" t="s">
        <v>190</v>
      </c>
      <c r="D2344" s="3" t="s">
        <v>6276</v>
      </c>
      <c r="E2344" s="3" t="s">
        <v>6221</v>
      </c>
      <c r="F2344" s="3" t="s">
        <v>6222</v>
      </c>
      <c r="G2344" s="3" t="str">
        <f>IFERROR(__xludf.DUMMYFUNCTION("GOOGLETRANSLATE(D2344,""fr"",""es"")"),"Tareas")</f>
        <v>Tareas</v>
      </c>
    </row>
    <row r="2345">
      <c r="A2345" s="3">
        <v>2323.0</v>
      </c>
      <c r="B2345" s="3" t="s">
        <v>189</v>
      </c>
      <c r="C2345" s="3" t="s">
        <v>190</v>
      </c>
      <c r="D2345" s="3" t="s">
        <v>6277</v>
      </c>
      <c r="E2345" s="3" t="s">
        <v>6278</v>
      </c>
      <c r="F2345" s="3" t="s">
        <v>6279</v>
      </c>
      <c r="G2345" s="3" t="str">
        <f>IFERROR(__xludf.DUMMYFUNCTION("GOOGLETRANSLATE(D2345,""fr"",""es"")"),"taquilismo")</f>
        <v>taquilismo</v>
      </c>
    </row>
    <row r="2346">
      <c r="A2346" s="3">
        <v>2324.0</v>
      </c>
      <c r="B2346" s="3" t="s">
        <v>189</v>
      </c>
      <c r="C2346" s="3" t="s">
        <v>190</v>
      </c>
      <c r="D2346" s="3" t="s">
        <v>6280</v>
      </c>
      <c r="E2346" s="3" t="s">
        <v>6278</v>
      </c>
      <c r="F2346" s="3" t="s">
        <v>6279</v>
      </c>
      <c r="G2346" s="3" t="str">
        <f>IFERROR(__xludf.DUMMYFUNCTION("GOOGLETRANSLATE(D2346,""fr"",""es"")"),"tacismo")</f>
        <v>tacismo</v>
      </c>
    </row>
    <row r="2347">
      <c r="A2347" s="3">
        <v>2325.0</v>
      </c>
      <c r="B2347" s="3" t="s">
        <v>189</v>
      </c>
      <c r="C2347" s="3" t="s">
        <v>190</v>
      </c>
      <c r="D2347" s="3" t="s">
        <v>6281</v>
      </c>
      <c r="E2347" s="3" t="s">
        <v>6278</v>
      </c>
      <c r="F2347" s="3" t="s">
        <v>6279</v>
      </c>
      <c r="G2347" s="3" t="str">
        <f>IFERROR(__xludf.DUMMYFUNCTION("GOOGLETRANSLATE(D2347,""fr"",""es"")"),"tacon")</f>
        <v>tacon</v>
      </c>
    </row>
    <row r="2348">
      <c r="A2348" s="3">
        <v>2326.0</v>
      </c>
      <c r="B2348" s="3" t="s">
        <v>189</v>
      </c>
      <c r="C2348" s="3" t="s">
        <v>190</v>
      </c>
      <c r="D2348" s="3" t="s">
        <v>6282</v>
      </c>
      <c r="E2348" s="3" t="s">
        <v>6278</v>
      </c>
      <c r="F2348" s="3" t="s">
        <v>6279</v>
      </c>
      <c r="G2348" s="3" t="str">
        <f>IFERROR(__xludf.DUMMYFUNCTION("GOOGLETRANSLATE(D2348,""fr"",""es"")"),"Tachadores")</f>
        <v>Tachadores</v>
      </c>
    </row>
    <row r="2349">
      <c r="A2349" s="3">
        <v>2327.0</v>
      </c>
      <c r="B2349" s="3" t="s">
        <v>189</v>
      </c>
      <c r="C2349" s="3" t="s">
        <v>190</v>
      </c>
      <c r="D2349" s="3" t="s">
        <v>6283</v>
      </c>
      <c r="E2349" s="3" t="s">
        <v>6196</v>
      </c>
      <c r="F2349" s="3" t="s">
        <v>6197</v>
      </c>
      <c r="G2349" s="3" t="str">
        <f>IFERROR(__xludf.DUMMYFUNCTION("GOOGLETRANSLATE(D2349,""fr"",""es"")"),"tacles")</f>
        <v>tacles</v>
      </c>
    </row>
    <row r="2350">
      <c r="A2350" s="3">
        <v>2328.0</v>
      </c>
      <c r="B2350" s="3" t="s">
        <v>189</v>
      </c>
      <c r="C2350" s="3" t="s">
        <v>190</v>
      </c>
      <c r="D2350" s="3" t="s">
        <v>6284</v>
      </c>
      <c r="E2350" s="3" t="s">
        <v>6196</v>
      </c>
      <c r="F2350" s="3" t="s">
        <v>6197</v>
      </c>
      <c r="G2350" s="3" t="str">
        <f>IFERROR(__xludf.DUMMYFUNCTION("GOOGLETRANSLATE(D2350,""fr"",""es"")"),"tacto")</f>
        <v>tacto</v>
      </c>
      <c r="H2350" s="3" t="s">
        <v>6284</v>
      </c>
      <c r="I2350" s="3" t="s">
        <v>6285</v>
      </c>
      <c r="J2350" s="3" t="s">
        <v>6286</v>
      </c>
      <c r="K2350" s="3" t="s">
        <v>6287</v>
      </c>
      <c r="L2350" s="3" t="s">
        <v>6288</v>
      </c>
      <c r="M2350" s="3" t="s">
        <v>6226</v>
      </c>
    </row>
    <row r="2351">
      <c r="A2351" s="3">
        <v>2329.0</v>
      </c>
      <c r="B2351" s="3" t="s">
        <v>189</v>
      </c>
      <c r="C2351" s="3" t="s">
        <v>190</v>
      </c>
      <c r="D2351" s="3" t="s">
        <v>6289</v>
      </c>
      <c r="E2351" s="3" t="s">
        <v>6196</v>
      </c>
      <c r="F2351" s="3" t="s">
        <v>6197</v>
      </c>
      <c r="G2351" s="3" t="str">
        <f>IFERROR(__xludf.DUMMYFUNCTION("GOOGLETRANSLATE(D2351,""fr"",""es"")"),"tacto")</f>
        <v>tacto</v>
      </c>
    </row>
    <row r="2352">
      <c r="A2352" s="3">
        <v>2330.0</v>
      </c>
      <c r="B2352" s="3" t="s">
        <v>189</v>
      </c>
      <c r="C2352" s="3" t="s">
        <v>190</v>
      </c>
      <c r="D2352" s="3" t="s">
        <v>6290</v>
      </c>
      <c r="E2352" s="3" t="s">
        <v>6191</v>
      </c>
      <c r="F2352" s="3" t="s">
        <v>6190</v>
      </c>
      <c r="G2352" s="3" t="str">
        <f>IFERROR(__xludf.DUMMYFUNCTION("GOOGLETRANSLATE(D2352,""fr"",""es"")"),"funda de almohada")</f>
        <v>funda de almohada</v>
      </c>
      <c r="H2352" s="3" t="s">
        <v>6291</v>
      </c>
      <c r="I2352" s="3" t="s">
        <v>6292</v>
      </c>
      <c r="J2352" s="3" t="s">
        <v>5387</v>
      </c>
      <c r="K2352" s="3" t="s">
        <v>6293</v>
      </c>
    </row>
    <row r="2353">
      <c r="A2353" s="3">
        <v>2331.0</v>
      </c>
      <c r="B2353" s="3" t="s">
        <v>189</v>
      </c>
      <c r="C2353" s="3" t="s">
        <v>190</v>
      </c>
      <c r="D2353" s="3" t="s">
        <v>6294</v>
      </c>
      <c r="E2353" s="3" t="s">
        <v>6191</v>
      </c>
      <c r="F2353" s="3" t="s">
        <v>6190</v>
      </c>
      <c r="G2353" s="3" t="str">
        <f>IFERROR(__xludf.DUMMYFUNCTION("GOOGLETRANSLATE(D2353,""fr"",""es"")"),"fundas de almohada")</f>
        <v>fundas de almohada</v>
      </c>
    </row>
    <row r="2354">
      <c r="A2354" s="3">
        <v>2332.0</v>
      </c>
      <c r="B2354" s="3" t="s">
        <v>189</v>
      </c>
      <c r="C2354" s="3" t="s">
        <v>190</v>
      </c>
      <c r="D2354" s="3" t="s">
        <v>6295</v>
      </c>
      <c r="E2354" s="3" t="s">
        <v>6296</v>
      </c>
      <c r="F2354" s="3" t="s">
        <v>6297</v>
      </c>
      <c r="G2354" s="3" t="str">
        <f>IFERROR(__xludf.DUMMYFUNCTION("GOOGLETRANSLATE(D2354,""fr"",""es"")"),"cola")</f>
        <v>cola</v>
      </c>
    </row>
    <row r="2355">
      <c r="A2355" s="3">
        <v>2333.0</v>
      </c>
      <c r="B2355" s="3" t="s">
        <v>189</v>
      </c>
      <c r="C2355" s="3" t="s">
        <v>190</v>
      </c>
      <c r="D2355" s="3" t="s">
        <v>6298</v>
      </c>
      <c r="E2355" s="3" t="s">
        <v>6296</v>
      </c>
      <c r="F2355" s="3" t="s">
        <v>6297</v>
      </c>
      <c r="G2355" s="3" t="str">
        <f>IFERROR(__xludf.DUMMYFUNCTION("GOOGLETRANSLATE(D2355,""fr"",""es"")"),"Corte")</f>
        <v>Corte</v>
      </c>
    </row>
    <row r="2356">
      <c r="A2356" s="3">
        <v>2334.0</v>
      </c>
      <c r="B2356" s="3" t="s">
        <v>189</v>
      </c>
      <c r="C2356" s="3" t="s">
        <v>190</v>
      </c>
      <c r="D2356" s="3" t="s">
        <v>6299</v>
      </c>
      <c r="E2356" s="3" t="s">
        <v>6296</v>
      </c>
      <c r="F2356" s="3" t="s">
        <v>6297</v>
      </c>
      <c r="G2356" s="3" t="str">
        <f>IFERROR(__xludf.DUMMYFUNCTION("GOOGLETRANSLATE(D2356,""fr"",""es"")"),"cortador")</f>
        <v>cortador</v>
      </c>
    </row>
    <row r="2357">
      <c r="A2357" s="3">
        <v>2335.0</v>
      </c>
      <c r="B2357" s="3" t="s">
        <v>189</v>
      </c>
      <c r="C2357" s="3" t="s">
        <v>190</v>
      </c>
      <c r="D2357" s="3" t="s">
        <v>6300</v>
      </c>
      <c r="E2357" s="3" t="s">
        <v>6296</v>
      </c>
      <c r="F2357" s="3" t="s">
        <v>6297</v>
      </c>
      <c r="G2357" s="3" t="str">
        <f>IFERROR(__xludf.DUMMYFUNCTION("GOOGLETRANSLATE(D2357,""fr"",""es"")"),"Corte")</f>
        <v>Corte</v>
      </c>
    </row>
    <row r="2358">
      <c r="A2358" s="3">
        <v>2336.0</v>
      </c>
      <c r="B2358" s="3" t="s">
        <v>189</v>
      </c>
      <c r="C2358" s="3" t="s">
        <v>190</v>
      </c>
      <c r="D2358" s="3" t="s">
        <v>6301</v>
      </c>
      <c r="E2358" s="3" t="s">
        <v>6302</v>
      </c>
      <c r="F2358" s="3" t="s">
        <v>6303</v>
      </c>
      <c r="G2358" s="3" t="str">
        <f>IFERROR(__xludf.DUMMYFUNCTION("GOOGLETRANSLATE(D2358,""fr"",""es"")"),"alto")</f>
        <v>alto</v>
      </c>
    </row>
    <row r="2359">
      <c r="A2359" s="3">
        <v>2337.0</v>
      </c>
      <c r="B2359" s="3" t="s">
        <v>189</v>
      </c>
      <c r="C2359" s="3" t="s">
        <v>190</v>
      </c>
      <c r="D2359" s="3" t="s">
        <v>6304</v>
      </c>
      <c r="E2359" s="3" t="s">
        <v>6305</v>
      </c>
      <c r="F2359" s="3" t="s">
        <v>6306</v>
      </c>
      <c r="G2359" s="3" t="str">
        <f>IFERROR(__xludf.DUMMYFUNCTION("GOOGLETRANSLATE(D2359,""fr"",""es"")"),"cortador")</f>
        <v>cortador</v>
      </c>
    </row>
    <row r="2360">
      <c r="A2360" s="3">
        <v>2338.0</v>
      </c>
      <c r="B2360" s="3" t="s">
        <v>189</v>
      </c>
      <c r="C2360" s="3" t="s">
        <v>190</v>
      </c>
      <c r="D2360" s="3" t="s">
        <v>6307</v>
      </c>
      <c r="E2360" s="3" t="s">
        <v>6305</v>
      </c>
      <c r="F2360" s="3" t="s">
        <v>6306</v>
      </c>
      <c r="G2360" s="3" t="str">
        <f>IFERROR(__xludf.DUMMYFUNCTION("GOOGLETRANSLATE(D2360,""fr"",""es"")"),"proclamar")</f>
        <v>proclamar</v>
      </c>
    </row>
    <row r="2361">
      <c r="A2361" s="3">
        <v>2339.0</v>
      </c>
      <c r="B2361" s="3" t="s">
        <v>189</v>
      </c>
      <c r="C2361" s="3" t="s">
        <v>190</v>
      </c>
      <c r="D2361" s="3" t="s">
        <v>6308</v>
      </c>
      <c r="E2361" s="3" t="s">
        <v>6305</v>
      </c>
      <c r="F2361" s="3" t="s">
        <v>6306</v>
      </c>
      <c r="G2361" s="3" t="str">
        <f>IFERROR(__xludf.DUMMYFUNCTION("GOOGLETRANSLATE(D2361,""fr"",""es"")"),"espada")</f>
        <v>espada</v>
      </c>
    </row>
    <row r="2362">
      <c r="A2362" s="3">
        <v>2340.0</v>
      </c>
      <c r="B2362" s="3" t="s">
        <v>189</v>
      </c>
      <c r="C2362" s="3" t="s">
        <v>190</v>
      </c>
      <c r="D2362" s="3" t="s">
        <v>6309</v>
      </c>
      <c r="E2362" s="3" t="s">
        <v>6310</v>
      </c>
      <c r="F2362" s="3" t="s">
        <v>6311</v>
      </c>
      <c r="G2362" s="3" t="str">
        <f>IFERROR(__xludf.DUMMYFUNCTION("GOOGLETRANSLATE(D2362,""fr"",""es"")"),"tamaño")</f>
        <v>tamaño</v>
      </c>
      <c r="H2362" s="3" t="s">
        <v>6003</v>
      </c>
      <c r="I2362" s="3" t="s">
        <v>6312</v>
      </c>
      <c r="J2362" s="3" t="s">
        <v>6313</v>
      </c>
      <c r="K2362" s="3" t="s">
        <v>1964</v>
      </c>
      <c r="L2362" s="3" t="s">
        <v>6314</v>
      </c>
      <c r="M2362" s="3" t="s">
        <v>6314</v>
      </c>
      <c r="N2362" s="3" t="s">
        <v>6314</v>
      </c>
      <c r="O2362" s="3" t="s">
        <v>6315</v>
      </c>
      <c r="P2362" s="3" t="s">
        <v>6316</v>
      </c>
      <c r="Q2362" s="3" t="s">
        <v>6317</v>
      </c>
      <c r="R2362" s="3" t="s">
        <v>6312</v>
      </c>
      <c r="S2362" s="3" t="s">
        <v>6318</v>
      </c>
      <c r="T2362" s="3" t="s">
        <v>6314</v>
      </c>
      <c r="U2362" s="3" t="s">
        <v>6319</v>
      </c>
    </row>
    <row r="2363">
      <c r="A2363" s="3">
        <v>2341.0</v>
      </c>
      <c r="B2363" s="3" t="s">
        <v>189</v>
      </c>
      <c r="C2363" s="3" t="s">
        <v>190</v>
      </c>
      <c r="D2363" s="3" t="s">
        <v>6320</v>
      </c>
      <c r="E2363" s="3" t="s">
        <v>6310</v>
      </c>
      <c r="F2363" s="3" t="s">
        <v>6311</v>
      </c>
      <c r="G2363" s="3" t="str">
        <f>IFERROR(__xludf.DUMMYFUNCTION("GOOGLETRANSLATE(D2363,""fr"",""es"")"),"Corte")</f>
        <v>Corte</v>
      </c>
    </row>
    <row r="2364">
      <c r="A2364" s="3">
        <v>2342.0</v>
      </c>
      <c r="B2364" s="3" t="s">
        <v>189</v>
      </c>
      <c r="C2364" s="3" t="s">
        <v>190</v>
      </c>
      <c r="D2364" s="3" t="s">
        <v>6321</v>
      </c>
      <c r="E2364" s="3" t="s">
        <v>6310</v>
      </c>
      <c r="F2364" s="3" t="s">
        <v>6311</v>
      </c>
      <c r="G2364" s="3" t="str">
        <f>IFERROR(__xludf.DUMMYFUNCTION("GOOGLETRANSLATE(D2364,""fr"",""es"")"),"tallas")</f>
        <v>tallas</v>
      </c>
    </row>
    <row r="2365">
      <c r="A2365" s="3">
        <v>2343.0</v>
      </c>
      <c r="B2365" s="3" t="s">
        <v>189</v>
      </c>
      <c r="C2365" s="3" t="s">
        <v>190</v>
      </c>
      <c r="D2365" s="3" t="s">
        <v>6322</v>
      </c>
      <c r="E2365" s="3" t="s">
        <v>6323</v>
      </c>
      <c r="F2365" s="3" t="s">
        <v>6324</v>
      </c>
      <c r="G2365" s="3" t="str">
        <f>IFERROR(__xludf.DUMMYFUNCTION("GOOGLETRANSLATE(D2365,""fr"",""es"")"),"rayo")</f>
        <v>rayo</v>
      </c>
      <c r="H2365" s="3" t="s">
        <v>3505</v>
      </c>
      <c r="I2365" s="3" t="s">
        <v>3506</v>
      </c>
      <c r="J2365" s="3" t="s">
        <v>3507</v>
      </c>
      <c r="K2365" s="3" t="s">
        <v>3508</v>
      </c>
      <c r="L2365" s="3" t="s">
        <v>3509</v>
      </c>
    </row>
    <row r="2366">
      <c r="A2366" s="3">
        <v>2344.0</v>
      </c>
      <c r="B2366" s="3" t="s">
        <v>189</v>
      </c>
      <c r="C2366" s="3" t="s">
        <v>190</v>
      </c>
      <c r="D2366" s="3" t="s">
        <v>6325</v>
      </c>
      <c r="E2366" s="3" t="s">
        <v>6326</v>
      </c>
      <c r="F2366" s="3" t="s">
        <v>6327</v>
      </c>
      <c r="G2366" s="3" t="str">
        <f>IFERROR(__xludf.DUMMYFUNCTION("GOOGLETRANSLATE(D2366,""fr"",""es"")"),"cuento")</f>
        <v>cuento</v>
      </c>
    </row>
    <row r="2367">
      <c r="A2367" s="3">
        <v>2345.0</v>
      </c>
      <c r="B2367" s="3" t="s">
        <v>189</v>
      </c>
      <c r="C2367" s="3" t="s">
        <v>190</v>
      </c>
      <c r="D2367" s="3" t="s">
        <v>6328</v>
      </c>
      <c r="E2367" s="3" t="s">
        <v>6326</v>
      </c>
      <c r="F2367" s="3" t="s">
        <v>6327</v>
      </c>
      <c r="G2367" s="3" t="str">
        <f>IFERROR(__xludf.DUMMYFUNCTION("GOOGLETRANSLATE(D2367,""fr"",""es"")"),"cuentos")</f>
        <v>cuentos</v>
      </c>
    </row>
    <row r="2368">
      <c r="A2368" s="3">
        <v>2346.0</v>
      </c>
      <c r="B2368" s="3" t="s">
        <v>189</v>
      </c>
      <c r="C2368" s="3" t="s">
        <v>190</v>
      </c>
      <c r="D2368" s="3" t="s">
        <v>6329</v>
      </c>
      <c r="E2368" s="3" t="s">
        <v>6330</v>
      </c>
      <c r="F2368" s="3" t="s">
        <v>6331</v>
      </c>
      <c r="G2368" s="3" t="str">
        <f>IFERROR(__xludf.DUMMYFUNCTION("GOOGLETRANSLATE(D2368,""fr"",""es"")"),"tamiz")</f>
        <v>tamiz</v>
      </c>
      <c r="H2368" s="3" t="s">
        <v>6332</v>
      </c>
      <c r="I2368" s="3" t="s">
        <v>6333</v>
      </c>
      <c r="J2368" s="3" t="s">
        <v>6333</v>
      </c>
      <c r="K2368" s="3" t="s">
        <v>6332</v>
      </c>
      <c r="L2368" s="3" t="s">
        <v>6002</v>
      </c>
      <c r="M2368" s="3" t="s">
        <v>6332</v>
      </c>
      <c r="N2368" s="3" t="s">
        <v>6333</v>
      </c>
      <c r="O2368" s="3" t="s">
        <v>996</v>
      </c>
      <c r="P2368" s="3" t="s">
        <v>6334</v>
      </c>
      <c r="Q2368" s="3" t="s">
        <v>6332</v>
      </c>
      <c r="R2368" s="3" t="s">
        <v>6335</v>
      </c>
      <c r="S2368" s="3" t="s">
        <v>6332</v>
      </c>
      <c r="T2368" s="3" t="s">
        <v>996</v>
      </c>
    </row>
    <row r="2369">
      <c r="A2369" s="3">
        <v>2347.0</v>
      </c>
      <c r="B2369" s="3" t="s">
        <v>189</v>
      </c>
      <c r="C2369" s="3" t="s">
        <v>190</v>
      </c>
      <c r="D2369" s="3" t="s">
        <v>6336</v>
      </c>
      <c r="E2369" s="3" t="s">
        <v>6337</v>
      </c>
      <c r="F2369" s="3" t="s">
        <v>6338</v>
      </c>
      <c r="G2369" s="3" t="str">
        <f>IFERROR(__xludf.DUMMYFUNCTION("GOOGLETRANSLATE(D2369,""fr"",""es"")"),"Tamil")</f>
        <v>Tamil</v>
      </c>
      <c r="H2369" s="3" t="s">
        <v>6339</v>
      </c>
      <c r="I2369" s="3" t="s">
        <v>6339</v>
      </c>
      <c r="J2369" s="3" t="s">
        <v>6339</v>
      </c>
      <c r="K2369" s="3" t="s">
        <v>6339</v>
      </c>
    </row>
    <row r="2370">
      <c r="A2370" s="3">
        <v>2348.0</v>
      </c>
      <c r="B2370" s="3" t="s">
        <v>189</v>
      </c>
      <c r="C2370" s="3" t="s">
        <v>190</v>
      </c>
      <c r="D2370" s="3" t="s">
        <v>6340</v>
      </c>
      <c r="E2370" s="3" t="s">
        <v>6337</v>
      </c>
      <c r="F2370" s="3" t="s">
        <v>6338</v>
      </c>
      <c r="G2370" s="3" t="str">
        <f>IFERROR(__xludf.DUMMYFUNCTION("GOOGLETRANSLATE(D2370,""fr"",""es"")"),"Tamil")</f>
        <v>Tamil</v>
      </c>
    </row>
    <row r="2371">
      <c r="A2371" s="3">
        <v>2349.0</v>
      </c>
      <c r="B2371" s="3" t="s">
        <v>189</v>
      </c>
      <c r="C2371" s="3" t="s">
        <v>190</v>
      </c>
      <c r="D2371" s="3" t="s">
        <v>6341</v>
      </c>
      <c r="E2371" s="3" t="s">
        <v>6342</v>
      </c>
      <c r="F2371" s="3" t="s">
        <v>6343</v>
      </c>
      <c r="G2371" s="3" t="str">
        <f>IFERROR(__xludf.DUMMYFUNCTION("GOOGLETRANSLATE(D2371,""fr"",""es"")"),"Tannai")</f>
        <v>Tannai</v>
      </c>
    </row>
    <row r="2372">
      <c r="A2372" s="3">
        <v>2350.0</v>
      </c>
      <c r="B2372" s="3" t="s">
        <v>189</v>
      </c>
      <c r="C2372" s="3" t="s">
        <v>190</v>
      </c>
      <c r="D2372" s="3" t="s">
        <v>6344</v>
      </c>
      <c r="E2372" s="3" t="s">
        <v>6342</v>
      </c>
      <c r="F2372" s="3" t="s">
        <v>6343</v>
      </c>
      <c r="G2372" s="3" t="str">
        <f>IFERROR(__xludf.DUMMYFUNCTION("GOOGLETRANSLATE(D2372,""fr"",""es"")"),"atado")</f>
        <v>atado</v>
      </c>
    </row>
    <row r="2373">
      <c r="A2373" s="3">
        <v>2351.0</v>
      </c>
      <c r="B2373" s="3" t="s">
        <v>189</v>
      </c>
      <c r="C2373" s="3" t="s">
        <v>190</v>
      </c>
      <c r="D2373" s="3" t="s">
        <v>6345</v>
      </c>
      <c r="E2373" s="3" t="s">
        <v>6342</v>
      </c>
      <c r="F2373" s="3" t="s">
        <v>6343</v>
      </c>
      <c r="G2373" s="3" t="str">
        <f>IFERROR(__xludf.DUMMYFUNCTION("GOOGLETRANSLATE(D2373,""fr"",""es"")"),"Tannais")</f>
        <v>Tannais</v>
      </c>
    </row>
    <row r="2374">
      <c r="A2374" s="3">
        <v>2352.0</v>
      </c>
      <c r="B2374" s="3" t="s">
        <v>189</v>
      </c>
      <c r="C2374" s="3" t="s">
        <v>190</v>
      </c>
      <c r="D2374" s="3" t="s">
        <v>6346</v>
      </c>
      <c r="E2374" s="3" t="s">
        <v>6342</v>
      </c>
      <c r="F2374" s="3" t="s">
        <v>6343</v>
      </c>
      <c r="G2374" s="3" t="str">
        <f>IFERROR(__xludf.DUMMYFUNCTION("GOOGLETRANSLATE(D2374,""fr"",""es"")"),"cansado")</f>
        <v>cansado</v>
      </c>
    </row>
    <row r="2375">
      <c r="A2375" s="3">
        <v>2353.0</v>
      </c>
      <c r="B2375" s="3" t="s">
        <v>189</v>
      </c>
      <c r="C2375" s="3" t="s">
        <v>190</v>
      </c>
      <c r="D2375" s="3" t="s">
        <v>6347</v>
      </c>
      <c r="E2375" s="3" t="s">
        <v>6348</v>
      </c>
      <c r="F2375" s="3" t="s">
        <v>6349</v>
      </c>
      <c r="G2375" s="3" t="str">
        <f>IFERROR(__xludf.DUMMYFUNCTION("GOOGLETRANSLATE(D2375,""fr"",""es"")"),"tannâmes")</f>
        <v>tannâmes</v>
      </c>
    </row>
    <row r="2376">
      <c r="A2376" s="3">
        <v>2354.0</v>
      </c>
      <c r="B2376" s="3" t="s">
        <v>189</v>
      </c>
      <c r="C2376" s="3" t="s">
        <v>190</v>
      </c>
      <c r="D2376" s="3" t="s">
        <v>6350</v>
      </c>
      <c r="E2376" s="3" t="s">
        <v>6351</v>
      </c>
      <c r="F2376" s="3" t="s">
        <v>6352</v>
      </c>
      <c r="G2376" s="3" t="str">
        <f>IFERROR(__xludf.DUMMYFUNCTION("GOOGLETRANSLATE(D2376,""fr"",""es"")"),"Tannasse")</f>
        <v>Tannasse</v>
      </c>
    </row>
    <row r="2377">
      <c r="A2377" s="3">
        <v>2355.0</v>
      </c>
      <c r="B2377" s="3" t="s">
        <v>189</v>
      </c>
      <c r="C2377" s="3" t="s">
        <v>190</v>
      </c>
      <c r="D2377" s="3" t="s">
        <v>6353</v>
      </c>
      <c r="E2377" s="3" t="s">
        <v>6351</v>
      </c>
      <c r="F2377" s="3" t="s">
        <v>6352</v>
      </c>
      <c r="G2377" s="3" t="str">
        <f>IFERROR(__xludf.DUMMYFUNCTION("GOOGLETRANSLATE(D2377,""fr"",""es"")"),"broncearse")</f>
        <v>broncearse</v>
      </c>
    </row>
    <row r="2378">
      <c r="A2378" s="3">
        <v>2356.0</v>
      </c>
      <c r="B2378" s="3" t="s">
        <v>189</v>
      </c>
      <c r="C2378" s="3" t="s">
        <v>190</v>
      </c>
      <c r="D2378" s="3" t="s">
        <v>6354</v>
      </c>
      <c r="E2378" s="3" t="s">
        <v>6351</v>
      </c>
      <c r="F2378" s="3" t="s">
        <v>6352</v>
      </c>
      <c r="G2378" s="3" t="str">
        <f>IFERROR(__xludf.DUMMYFUNCTION("GOOGLETRANSLATE(D2378,""fr"",""es"")"),"Tannasse")</f>
        <v>Tannasse</v>
      </c>
    </row>
    <row r="2379">
      <c r="A2379" s="3">
        <v>2357.0</v>
      </c>
      <c r="B2379" s="3" t="s">
        <v>189</v>
      </c>
      <c r="C2379" s="3" t="s">
        <v>190</v>
      </c>
      <c r="D2379" s="3" t="s">
        <v>6355</v>
      </c>
      <c r="E2379" s="3" t="s">
        <v>6356</v>
      </c>
      <c r="F2379" s="3" t="s">
        <v>6357</v>
      </c>
      <c r="G2379" s="3" t="str">
        <f>IFERROR(__xludf.DUMMYFUNCTION("GOOGLETRANSLATE(D2379,""fr"",""es"")"),"bronceado")</f>
        <v>bronceado</v>
      </c>
    </row>
    <row r="2380">
      <c r="A2380" s="3">
        <v>2358.0</v>
      </c>
      <c r="B2380" s="3" t="s">
        <v>189</v>
      </c>
      <c r="C2380" s="3" t="s">
        <v>190</v>
      </c>
      <c r="D2380" s="3" t="s">
        <v>6358</v>
      </c>
      <c r="E2380" s="3" t="s">
        <v>6356</v>
      </c>
      <c r="F2380" s="3" t="s">
        <v>6357</v>
      </c>
      <c r="G2380" s="3" t="str">
        <f>IFERROR(__xludf.DUMMYFUNCTION("GOOGLETRANSLATE(D2380,""fr"",""es"")"),"apretar")</f>
        <v>apretar</v>
      </c>
    </row>
    <row r="2381">
      <c r="A2381" s="3">
        <v>2359.0</v>
      </c>
      <c r="B2381" s="3" t="s">
        <v>189</v>
      </c>
      <c r="C2381" s="3" t="s">
        <v>190</v>
      </c>
      <c r="D2381" s="3" t="s">
        <v>6359</v>
      </c>
      <c r="E2381" s="3" t="s">
        <v>6356</v>
      </c>
      <c r="F2381" s="3" t="s">
        <v>6357</v>
      </c>
      <c r="G2381" s="3" t="str">
        <f>IFERROR(__xludf.DUMMYFUNCTION("GOOGLETRANSLATE(D2381,""fr"",""es"")"),"broncearse")</f>
        <v>broncearse</v>
      </c>
    </row>
    <row r="2382">
      <c r="A2382" s="3">
        <v>2360.0</v>
      </c>
      <c r="B2382" s="3" t="s">
        <v>189</v>
      </c>
      <c r="C2382" s="3" t="s">
        <v>190</v>
      </c>
      <c r="D2382" s="3" t="s">
        <v>6360</v>
      </c>
      <c r="E2382" s="3" t="s">
        <v>6361</v>
      </c>
      <c r="F2382" s="3" t="s">
        <v>6362</v>
      </c>
      <c r="G2382" s="3" t="str">
        <f>IFERROR(__xludf.DUMMYFUNCTION("GOOGLETRANSLATE(D2382,""fr"",""es"")"),"tapai")</f>
        <v>tapai</v>
      </c>
    </row>
    <row r="2383">
      <c r="A2383" s="3">
        <v>2361.0</v>
      </c>
      <c r="B2383" s="3" t="s">
        <v>189</v>
      </c>
      <c r="C2383" s="3" t="s">
        <v>190</v>
      </c>
      <c r="D2383" s="3" t="s">
        <v>6363</v>
      </c>
      <c r="E2383" s="3" t="s">
        <v>6361</v>
      </c>
      <c r="F2383" s="3" t="s">
        <v>6362</v>
      </c>
      <c r="G2383" s="3" t="str">
        <f>IFERROR(__xludf.DUMMYFUNCTION("GOOGLETRANSLATE(D2383,""fr"",""es"")"),"atado")</f>
        <v>atado</v>
      </c>
    </row>
    <row r="2384">
      <c r="A2384" s="3">
        <v>2362.0</v>
      </c>
      <c r="B2384" s="3" t="s">
        <v>189</v>
      </c>
      <c r="C2384" s="3" t="s">
        <v>190</v>
      </c>
      <c r="D2384" s="3" t="s">
        <v>6364</v>
      </c>
      <c r="E2384" s="3" t="s">
        <v>6361</v>
      </c>
      <c r="F2384" s="3" t="s">
        <v>6362</v>
      </c>
      <c r="G2384" s="3" t="str">
        <f>IFERROR(__xludf.DUMMYFUNCTION("GOOGLETRANSLATE(D2384,""fr"",""es"")"),"tapais")</f>
        <v>tapais</v>
      </c>
    </row>
    <row r="2385">
      <c r="A2385" s="3">
        <v>2363.0</v>
      </c>
      <c r="B2385" s="3" t="s">
        <v>189</v>
      </c>
      <c r="C2385" s="3" t="s">
        <v>190</v>
      </c>
      <c r="D2385" s="3" t="s">
        <v>6365</v>
      </c>
      <c r="E2385" s="3" t="s">
        <v>6361</v>
      </c>
      <c r="F2385" s="3" t="s">
        <v>6362</v>
      </c>
      <c r="G2385" s="3" t="str">
        <f>IFERROR(__xludf.DUMMYFUNCTION("GOOGLETRANSLATE(D2385,""fr"",""es"")"),"tocar")</f>
        <v>tocar</v>
      </c>
    </row>
    <row r="2386">
      <c r="A2386" s="3">
        <v>2364.0</v>
      </c>
      <c r="B2386" s="3" t="s">
        <v>189</v>
      </c>
      <c r="C2386" s="3" t="s">
        <v>190</v>
      </c>
      <c r="D2386" s="3" t="s">
        <v>6366</v>
      </c>
      <c r="E2386" s="3" t="s">
        <v>6367</v>
      </c>
      <c r="F2386" s="3" t="s">
        <v>6368</v>
      </c>
      <c r="G2386" s="3" t="str">
        <f>IFERROR(__xludf.DUMMYFUNCTION("GOOGLETRANSLATE(D2386,""fr"",""es"")"),"etiqueta")</f>
        <v>etiqueta</v>
      </c>
    </row>
    <row r="2387">
      <c r="A2387" s="3">
        <v>2365.0</v>
      </c>
      <c r="B2387" s="3" t="s">
        <v>189</v>
      </c>
      <c r="C2387" s="3" t="s">
        <v>190</v>
      </c>
      <c r="D2387" s="3" t="s">
        <v>6369</v>
      </c>
      <c r="E2387" s="3" t="s">
        <v>6370</v>
      </c>
      <c r="F2387" s="3" t="s">
        <v>6371</v>
      </c>
      <c r="G2387" s="3" t="str">
        <f>IFERROR(__xludf.DUMMYFUNCTION("GOOGLETRANSLATE(D2387,""fr"",""es"")"),"tapasse")</f>
        <v>tapasse</v>
      </c>
    </row>
    <row r="2388">
      <c r="A2388" s="3">
        <v>2366.0</v>
      </c>
      <c r="B2388" s="3" t="s">
        <v>189</v>
      </c>
      <c r="C2388" s="3" t="s">
        <v>190</v>
      </c>
      <c r="D2388" s="3" t="s">
        <v>6372</v>
      </c>
      <c r="E2388" s="3" t="s">
        <v>6370</v>
      </c>
      <c r="F2388" s="3" t="s">
        <v>6371</v>
      </c>
      <c r="G2388" s="3" t="str">
        <f>IFERROR(__xludf.DUMMYFUNCTION("GOOGLETRANSLATE(D2388,""fr"",""es"")"),"tocar")</f>
        <v>tocar</v>
      </c>
    </row>
    <row r="2389">
      <c r="A2389" s="3">
        <v>2367.0</v>
      </c>
      <c r="B2389" s="3" t="s">
        <v>189</v>
      </c>
      <c r="C2389" s="3" t="s">
        <v>190</v>
      </c>
      <c r="D2389" s="3" t="s">
        <v>6373</v>
      </c>
      <c r="E2389" s="3" t="s">
        <v>6370</v>
      </c>
      <c r="F2389" s="3" t="s">
        <v>6371</v>
      </c>
      <c r="G2389" s="3" t="str">
        <f>IFERROR(__xludf.DUMMYFUNCTION("GOOGLETRANSLATE(D2389,""fr"",""es"")"),"tapas")</f>
        <v>tapas</v>
      </c>
    </row>
    <row r="2390">
      <c r="A2390" s="3">
        <v>2368.0</v>
      </c>
      <c r="B2390" s="3" t="s">
        <v>189</v>
      </c>
      <c r="C2390" s="3" t="s">
        <v>190</v>
      </c>
      <c r="D2390" s="3" t="s">
        <v>6374</v>
      </c>
      <c r="E2390" s="3" t="s">
        <v>6375</v>
      </c>
      <c r="F2390" s="3" t="s">
        <v>6376</v>
      </c>
      <c r="G2390" s="3" t="str">
        <f>IFERROR(__xludf.DUMMYFUNCTION("GOOGLETRANSLATE(D2390,""fr"",""es"")"),"cinta")</f>
        <v>cinta</v>
      </c>
    </row>
    <row r="2391">
      <c r="A2391" s="3">
        <v>2369.0</v>
      </c>
      <c r="B2391" s="3" t="s">
        <v>189</v>
      </c>
      <c r="C2391" s="3" t="s">
        <v>190</v>
      </c>
      <c r="D2391" s="3" t="s">
        <v>6377</v>
      </c>
      <c r="E2391" s="3" t="s">
        <v>6375</v>
      </c>
      <c r="F2391" s="3" t="s">
        <v>6376</v>
      </c>
      <c r="G2391" s="3" t="str">
        <f>IFERROR(__xludf.DUMMYFUNCTION("GOOGLETRANSLATE(D2391,""fr"",""es"")"),"tocar")</f>
        <v>tocar</v>
      </c>
    </row>
    <row r="2392">
      <c r="A2392" s="3">
        <v>2370.0</v>
      </c>
      <c r="B2392" s="3" t="s">
        <v>189</v>
      </c>
      <c r="C2392" s="3" t="s">
        <v>190</v>
      </c>
      <c r="D2392" s="3" t="s">
        <v>6378</v>
      </c>
      <c r="E2392" s="3" t="s">
        <v>6375</v>
      </c>
      <c r="F2392" s="3" t="s">
        <v>6376</v>
      </c>
      <c r="G2392" s="3" t="str">
        <f>IFERROR(__xludf.DUMMYFUNCTION("GOOGLETRANSLATE(D2392,""fr"",""es"")"),"grietas")</f>
        <v>grietas</v>
      </c>
    </row>
    <row r="2393">
      <c r="A2393" s="3">
        <v>2371.0</v>
      </c>
      <c r="B2393" s="3" t="s">
        <v>189</v>
      </c>
      <c r="C2393" s="3" t="s">
        <v>190</v>
      </c>
      <c r="D2393" s="3" t="s">
        <v>6379</v>
      </c>
      <c r="E2393" s="3" t="s">
        <v>6380</v>
      </c>
      <c r="F2393" s="3" t="s">
        <v>6379</v>
      </c>
      <c r="G2393" s="3" t="str">
        <f>IFERROR(__xludf.DUMMYFUNCTION("GOOGLETRANSLATE(D2393,""fr"",""es"")"),"tapi")</f>
        <v>tapi</v>
      </c>
    </row>
    <row r="2394">
      <c r="A2394" s="3">
        <v>2372.0</v>
      </c>
      <c r="B2394" s="3" t="s">
        <v>189</v>
      </c>
      <c r="C2394" s="3" t="s">
        <v>190</v>
      </c>
      <c r="D2394" s="3" t="s">
        <v>6381</v>
      </c>
      <c r="E2394" s="3" t="s">
        <v>6380</v>
      </c>
      <c r="F2394" s="3" t="s">
        <v>6379</v>
      </c>
      <c r="G2394" s="3" t="str">
        <f>IFERROR(__xludf.DUMMYFUNCTION("GOOGLETRANSLATE(D2394,""fr"",""es"")"),"alfombrilla de ratón")</f>
        <v>alfombrilla de ratón</v>
      </c>
    </row>
    <row r="2395">
      <c r="A2395" s="3">
        <v>2373.0</v>
      </c>
      <c r="B2395" s="3" t="s">
        <v>189</v>
      </c>
      <c r="C2395" s="3" t="s">
        <v>190</v>
      </c>
      <c r="D2395" s="3" t="s">
        <v>6382</v>
      </c>
      <c r="E2395" s="3" t="s">
        <v>6380</v>
      </c>
      <c r="F2395" s="3" t="s">
        <v>6379</v>
      </c>
      <c r="G2395" s="3" t="str">
        <f>IFERROR(__xludf.DUMMYFUNCTION("GOOGLETRANSLATE(D2395,""fr"",""es"")"),"cintas")</f>
        <v>cintas</v>
      </c>
    </row>
    <row r="2396">
      <c r="A2396" s="3">
        <v>2374.0</v>
      </c>
      <c r="B2396" s="3" t="s">
        <v>189</v>
      </c>
      <c r="C2396" s="3" t="s">
        <v>190</v>
      </c>
      <c r="D2396" s="3" t="s">
        <v>6383</v>
      </c>
      <c r="E2396" s="3" t="s">
        <v>6384</v>
      </c>
      <c r="F2396" s="3" t="s">
        <v>6385</v>
      </c>
      <c r="G2396" s="3" t="str">
        <f>IFERROR(__xludf.DUMMYFUNCTION("GOOGLETRANSLATE(D2396,""fr"",""es"")"),"Tapques")</f>
        <v>Tapques</v>
      </c>
    </row>
    <row r="2397">
      <c r="A2397" s="3">
        <v>2375.0</v>
      </c>
      <c r="B2397" s="3" t="s">
        <v>189</v>
      </c>
      <c r="C2397" s="3" t="s">
        <v>190</v>
      </c>
      <c r="D2397" s="3" t="s">
        <v>6386</v>
      </c>
      <c r="E2397" s="3" t="s">
        <v>6387</v>
      </c>
      <c r="F2397" s="3" t="s">
        <v>6388</v>
      </c>
      <c r="G2397" s="3" t="str">
        <f>IFERROR(__xludf.DUMMYFUNCTION("GOOGLETRANSLATE(D2397,""fr"",""es"")"),"tapinai")</f>
        <v>tapinai</v>
      </c>
    </row>
    <row r="2398">
      <c r="A2398" s="3">
        <v>2376.0</v>
      </c>
      <c r="B2398" s="3" t="s">
        <v>189</v>
      </c>
      <c r="C2398" s="3" t="s">
        <v>190</v>
      </c>
      <c r="D2398" s="3" t="s">
        <v>6389</v>
      </c>
      <c r="E2398" s="3" t="s">
        <v>6387</v>
      </c>
      <c r="F2398" s="3" t="s">
        <v>6388</v>
      </c>
      <c r="G2398" s="3" t="str">
        <f>IFERROR(__xludf.DUMMYFUNCTION("GOOGLETRANSLATE(D2398,""fr"",""es"")"),"forrado")</f>
        <v>forrado</v>
      </c>
    </row>
    <row r="2399">
      <c r="A2399" s="3">
        <v>2377.0</v>
      </c>
      <c r="B2399" s="3" t="s">
        <v>189</v>
      </c>
      <c r="C2399" s="3" t="s">
        <v>190</v>
      </c>
      <c r="D2399" s="3" t="s">
        <v>6390</v>
      </c>
      <c r="E2399" s="3" t="s">
        <v>6387</v>
      </c>
      <c r="F2399" s="3" t="s">
        <v>6388</v>
      </c>
      <c r="G2399" s="3" t="str">
        <f>IFERROR(__xludf.DUMMYFUNCTION("GOOGLETRANSLATE(D2399,""fr"",""es"")"),"tapinais")</f>
        <v>tapinais</v>
      </c>
    </row>
    <row r="2400">
      <c r="A2400" s="3">
        <v>2378.0</v>
      </c>
      <c r="B2400" s="3" t="s">
        <v>189</v>
      </c>
      <c r="C2400" s="3" t="s">
        <v>190</v>
      </c>
      <c r="D2400" s="3" t="s">
        <v>6391</v>
      </c>
      <c r="E2400" s="3" t="s">
        <v>6387</v>
      </c>
      <c r="F2400" s="3" t="s">
        <v>6388</v>
      </c>
      <c r="G2400" s="3" t="str">
        <f>IFERROR(__xludf.DUMMYFUNCTION("GOOGLETRANSLATE(D2400,""fr"",""es"")"),"durado")</f>
        <v>durado</v>
      </c>
    </row>
    <row r="2401">
      <c r="A2401" s="3">
        <v>2379.0</v>
      </c>
      <c r="B2401" s="3" t="s">
        <v>189</v>
      </c>
      <c r="C2401" s="3" t="s">
        <v>190</v>
      </c>
      <c r="D2401" s="3" t="s">
        <v>6392</v>
      </c>
      <c r="E2401" s="3" t="s">
        <v>6393</v>
      </c>
      <c r="F2401" s="3" t="s">
        <v>6394</v>
      </c>
      <c r="G2401" s="3" t="str">
        <f>IFERROR(__xludf.DUMMYFUNCTION("GOOGLETRANSLATE(D2401,""fr"",""es"")"),"tapina")</f>
        <v>tapina</v>
      </c>
    </row>
    <row r="2402">
      <c r="A2402" s="3">
        <v>2380.0</v>
      </c>
      <c r="B2402" s="3" t="s">
        <v>189</v>
      </c>
      <c r="C2402" s="3" t="s">
        <v>190</v>
      </c>
      <c r="D2402" s="3" t="s">
        <v>6395</v>
      </c>
      <c r="E2402" s="3" t="s">
        <v>6396</v>
      </c>
      <c r="F2402" s="3" t="s">
        <v>6397</v>
      </c>
      <c r="G2402" s="3" t="str">
        <f>IFERROR(__xludf.DUMMYFUNCTION("GOOGLETRANSLATE(D2402,""fr"",""es"")"),"tapinas")</f>
        <v>tapinas</v>
      </c>
    </row>
    <row r="2403">
      <c r="A2403" s="3">
        <v>2381.0</v>
      </c>
      <c r="B2403" s="3" t="s">
        <v>189</v>
      </c>
      <c r="C2403" s="3" t="s">
        <v>190</v>
      </c>
      <c r="D2403" s="3" t="s">
        <v>6398</v>
      </c>
      <c r="E2403" s="3" t="s">
        <v>6396</v>
      </c>
      <c r="F2403" s="3" t="s">
        <v>6397</v>
      </c>
      <c r="G2403" s="3" t="str">
        <f>IFERROR(__xludf.DUMMYFUNCTION("GOOGLETRANSLATE(D2403,""fr"",""es"")"),"endurecido")</f>
        <v>endurecido</v>
      </c>
    </row>
    <row r="2404">
      <c r="A2404" s="3">
        <v>2382.0</v>
      </c>
      <c r="B2404" s="3" t="s">
        <v>189</v>
      </c>
      <c r="C2404" s="3" t="s">
        <v>190</v>
      </c>
      <c r="D2404" s="3" t="s">
        <v>6399</v>
      </c>
      <c r="E2404" s="3" t="s">
        <v>6396</v>
      </c>
      <c r="F2404" s="3" t="s">
        <v>6397</v>
      </c>
      <c r="G2404" s="3" t="str">
        <f>IFERROR(__xludf.DUMMYFUNCTION("GOOGLETRANSLATE(D2404,""fr"",""es"")"),"tapinas")</f>
        <v>tapinas</v>
      </c>
    </row>
    <row r="2405">
      <c r="A2405" s="3">
        <v>2383.0</v>
      </c>
      <c r="B2405" s="3" t="s">
        <v>189</v>
      </c>
      <c r="C2405" s="3" t="s">
        <v>190</v>
      </c>
      <c r="D2405" s="3" t="s">
        <v>6400</v>
      </c>
      <c r="E2405" s="3" t="s">
        <v>6401</v>
      </c>
      <c r="F2405" s="3" t="s">
        <v>6402</v>
      </c>
      <c r="G2405" s="3" t="str">
        <f>IFERROR(__xludf.DUMMYFUNCTION("GOOGLETRANSLATE(D2405,""fr"",""es"")"),"tapine")</f>
        <v>tapine</v>
      </c>
    </row>
    <row r="2406">
      <c r="A2406" s="3">
        <v>2384.0</v>
      </c>
      <c r="B2406" s="3" t="s">
        <v>189</v>
      </c>
      <c r="C2406" s="3" t="s">
        <v>190</v>
      </c>
      <c r="D2406" s="3" t="s">
        <v>6403</v>
      </c>
      <c r="E2406" s="3" t="s">
        <v>6401</v>
      </c>
      <c r="F2406" s="3" t="s">
        <v>6402</v>
      </c>
      <c r="G2406" s="3" t="str">
        <f>IFERROR(__xludf.DUMMYFUNCTION("GOOGLETRANSLATE(D2406,""fr"",""es"")"),"tocar")</f>
        <v>tocar</v>
      </c>
    </row>
    <row r="2407">
      <c r="A2407" s="3">
        <v>2385.0</v>
      </c>
      <c r="B2407" s="3" t="s">
        <v>189</v>
      </c>
      <c r="C2407" s="3" t="s">
        <v>190</v>
      </c>
      <c r="D2407" s="3" t="s">
        <v>6404</v>
      </c>
      <c r="E2407" s="3" t="s">
        <v>6401</v>
      </c>
      <c r="F2407" s="3" t="s">
        <v>6402</v>
      </c>
      <c r="G2407" s="3" t="str">
        <f>IFERROR(__xludf.DUMMYFUNCTION("GOOGLETRANSLATE(D2407,""fr"",""es"")"),"tapina")</f>
        <v>tapina</v>
      </c>
    </row>
    <row r="2408">
      <c r="A2408" s="3">
        <v>2386.0</v>
      </c>
      <c r="B2408" s="3" t="s">
        <v>189</v>
      </c>
      <c r="C2408" s="3" t="s">
        <v>190</v>
      </c>
      <c r="D2408" s="3" t="s">
        <v>6405</v>
      </c>
      <c r="E2408" s="3" t="s">
        <v>6380</v>
      </c>
      <c r="F2408" s="3" t="s">
        <v>6379</v>
      </c>
      <c r="G2408" s="3" t="str">
        <f>IFERROR(__xludf.DUMMYFUNCTION("GOOGLETRANSLATE(D2408,""fr"",""es"")"),"alfombra")</f>
        <v>alfombra</v>
      </c>
      <c r="H2408" s="3" t="s">
        <v>6406</v>
      </c>
      <c r="I2408" s="3" t="s">
        <v>6406</v>
      </c>
      <c r="J2408" s="3" t="s">
        <v>6406</v>
      </c>
      <c r="K2408" s="3" t="s">
        <v>6407</v>
      </c>
      <c r="L2408" s="3" t="s">
        <v>6406</v>
      </c>
      <c r="M2408" s="3" t="s">
        <v>6408</v>
      </c>
    </row>
    <row r="2409">
      <c r="A2409" s="3">
        <v>2387.0</v>
      </c>
      <c r="B2409" s="3" t="s">
        <v>189</v>
      </c>
      <c r="C2409" s="3" t="s">
        <v>190</v>
      </c>
      <c r="D2409" s="3" t="s">
        <v>6409</v>
      </c>
      <c r="E2409" s="3" t="s">
        <v>6410</v>
      </c>
      <c r="F2409" s="3" t="s">
        <v>6411</v>
      </c>
      <c r="G2409" s="3" t="str">
        <f>IFERROR(__xludf.DUMMYFUNCTION("GOOGLETRANSLATE(D2409,""fr"",""es"")"),"alineado")</f>
        <v>alineado</v>
      </c>
    </row>
    <row r="2410">
      <c r="A2410" s="3">
        <v>2388.0</v>
      </c>
      <c r="B2410" s="3" t="s">
        <v>189</v>
      </c>
      <c r="C2410" s="3" t="s">
        <v>190</v>
      </c>
      <c r="D2410" s="3" t="s">
        <v>6412</v>
      </c>
      <c r="E2410" s="3" t="s">
        <v>6410</v>
      </c>
      <c r="F2410" s="3" t="s">
        <v>6411</v>
      </c>
      <c r="G2410" s="3" t="str">
        <f>IFERROR(__xludf.DUMMYFUNCTION("GOOGLETRANSLATE(D2410,""fr"",""es"")"),"forrado")</f>
        <v>forrado</v>
      </c>
    </row>
    <row r="2411">
      <c r="A2411" s="3">
        <v>2389.0</v>
      </c>
      <c r="B2411" s="3" t="s">
        <v>189</v>
      </c>
      <c r="C2411" s="3" t="s">
        <v>190</v>
      </c>
      <c r="D2411" s="3" t="s">
        <v>6413</v>
      </c>
      <c r="E2411" s="3" t="s">
        <v>6410</v>
      </c>
      <c r="F2411" s="3" t="s">
        <v>6411</v>
      </c>
      <c r="G2411" s="3" t="str">
        <f>IFERROR(__xludf.DUMMYFUNCTION("GOOGLETRANSLATE(D2411,""fr"",""es"")"),"forrado")</f>
        <v>forrado</v>
      </c>
    </row>
    <row r="2412">
      <c r="A2412" s="3">
        <v>2390.0</v>
      </c>
      <c r="B2412" s="3" t="s">
        <v>189</v>
      </c>
      <c r="C2412" s="3" t="s">
        <v>190</v>
      </c>
      <c r="D2412" s="3" t="s">
        <v>6414</v>
      </c>
      <c r="E2412" s="3" t="s">
        <v>6410</v>
      </c>
      <c r="F2412" s="3" t="s">
        <v>6411</v>
      </c>
      <c r="G2412" s="3" t="str">
        <f>IFERROR(__xludf.DUMMYFUNCTION("GOOGLETRANSLATE(D2412,""fr"",""es"")"),"forrado")</f>
        <v>forrado</v>
      </c>
    </row>
    <row r="2413">
      <c r="A2413" s="3">
        <v>2391.0</v>
      </c>
      <c r="B2413" s="3" t="s">
        <v>189</v>
      </c>
      <c r="C2413" s="3" t="s">
        <v>190</v>
      </c>
      <c r="D2413" s="3" t="s">
        <v>6415</v>
      </c>
      <c r="E2413" s="3" t="s">
        <v>6416</v>
      </c>
      <c r="F2413" s="3" t="s">
        <v>6417</v>
      </c>
      <c r="G2413" s="3" t="str">
        <f>IFERROR(__xludf.DUMMYFUNCTION("GOOGLETRANSLATE(D2413,""fr"",""es"")"),"tibio")</f>
        <v>tibio</v>
      </c>
    </row>
    <row r="2414">
      <c r="A2414" s="3">
        <v>2392.0</v>
      </c>
      <c r="B2414" s="3" t="s">
        <v>189</v>
      </c>
      <c r="C2414" s="3" t="s">
        <v>190</v>
      </c>
      <c r="D2414" s="3" t="s">
        <v>6418</v>
      </c>
      <c r="E2414" s="3" t="s">
        <v>6419</v>
      </c>
      <c r="F2414" s="3" t="s">
        <v>6420</v>
      </c>
      <c r="G2414" s="3" t="str">
        <f>IFERROR(__xludf.DUMMYFUNCTION("GOOGLETRANSLATE(D2414,""fr"",""es"")"),"arrastrar")</f>
        <v>arrastrar</v>
      </c>
    </row>
    <row r="2415">
      <c r="A2415" s="3">
        <v>2393.0</v>
      </c>
      <c r="B2415" s="3" t="s">
        <v>189</v>
      </c>
      <c r="C2415" s="3" t="s">
        <v>190</v>
      </c>
      <c r="D2415" s="3" t="s">
        <v>6421</v>
      </c>
      <c r="E2415" s="3" t="s">
        <v>6419</v>
      </c>
      <c r="F2415" s="3" t="s">
        <v>6420</v>
      </c>
      <c r="G2415" s="3" t="str">
        <f>IFERROR(__xludf.DUMMYFUNCTION("GOOGLETRANSLATE(D2415,""fr"",""es"")"),"arrastrar")</f>
        <v>arrastrar</v>
      </c>
    </row>
    <row r="2416">
      <c r="A2416" s="3">
        <v>2394.0</v>
      </c>
      <c r="B2416" s="3" t="s">
        <v>189</v>
      </c>
      <c r="C2416" s="3" t="s">
        <v>190</v>
      </c>
      <c r="D2416" s="3" t="s">
        <v>6422</v>
      </c>
      <c r="E2416" s="3" t="s">
        <v>6419</v>
      </c>
      <c r="F2416" s="3" t="s">
        <v>6420</v>
      </c>
      <c r="G2416" s="3" t="str">
        <f>IFERROR(__xludf.DUMMYFUNCTION("GOOGLETRANSLATE(D2416,""fr"",""es"")"),"arrastrar")</f>
        <v>arrastrar</v>
      </c>
    </row>
    <row r="2417">
      <c r="A2417" s="3">
        <v>2395.0</v>
      </c>
      <c r="B2417" s="3" t="s">
        <v>189</v>
      </c>
      <c r="C2417" s="3" t="s">
        <v>190</v>
      </c>
      <c r="D2417" s="3" t="s">
        <v>6423</v>
      </c>
      <c r="E2417" s="3" t="s">
        <v>6424</v>
      </c>
      <c r="F2417" s="3" t="s">
        <v>6405</v>
      </c>
      <c r="G2417" s="3" t="str">
        <f>IFERROR(__xludf.DUMMYFUNCTION("GOOGLETRANSLATE(D2417,""fr"",""es"")"),"tapizado")</f>
        <v>tapizado</v>
      </c>
    </row>
    <row r="2418">
      <c r="A2418" s="3">
        <v>2396.0</v>
      </c>
      <c r="B2418" s="3" t="s">
        <v>189</v>
      </c>
      <c r="C2418" s="3" t="s">
        <v>190</v>
      </c>
      <c r="D2418" s="3" t="s">
        <v>6425</v>
      </c>
      <c r="E2418" s="3" t="s">
        <v>6424</v>
      </c>
      <c r="F2418" s="3" t="s">
        <v>6405</v>
      </c>
      <c r="G2418" s="3" t="str">
        <f>IFERROR(__xludf.DUMMYFUNCTION("GOOGLETRANSLATE(D2418,""fr"",""es"")"),"lide")</f>
        <v>lide</v>
      </c>
    </row>
    <row r="2419">
      <c r="A2419" s="3">
        <v>2397.0</v>
      </c>
      <c r="B2419" s="3" t="s">
        <v>189</v>
      </c>
      <c r="C2419" s="3" t="s">
        <v>190</v>
      </c>
      <c r="D2419" s="3" t="s">
        <v>6426</v>
      </c>
      <c r="E2419" s="3" t="s">
        <v>6424</v>
      </c>
      <c r="F2419" s="3" t="s">
        <v>6405</v>
      </c>
      <c r="G2419" s="3" t="str">
        <f>IFERROR(__xludf.DUMMYFUNCTION("GOOGLETRANSLATE(D2419,""fr"",""es"")"),"tocar")</f>
        <v>tocar</v>
      </c>
    </row>
    <row r="2420">
      <c r="A2420" s="3">
        <v>2398.0</v>
      </c>
      <c r="B2420" s="3" t="s">
        <v>189</v>
      </c>
      <c r="C2420" s="3" t="s">
        <v>190</v>
      </c>
      <c r="D2420" s="3" t="s">
        <v>6427</v>
      </c>
      <c r="E2420" s="3" t="s">
        <v>6380</v>
      </c>
      <c r="F2420" s="3" t="s">
        <v>6379</v>
      </c>
      <c r="G2420" s="3" t="str">
        <f>IFERROR(__xludf.DUMMYFUNCTION("GOOGLETRANSLATE(D2420,""fr"",""es"")"),"tocar")</f>
        <v>tocar</v>
      </c>
    </row>
    <row r="2421">
      <c r="A2421" s="3">
        <v>2399.0</v>
      </c>
      <c r="B2421" s="3" t="s">
        <v>189</v>
      </c>
      <c r="C2421" s="3" t="s">
        <v>190</v>
      </c>
      <c r="D2421" s="3" t="s">
        <v>6428</v>
      </c>
      <c r="E2421" s="3" t="s">
        <v>6380</v>
      </c>
      <c r="F2421" s="3" t="s">
        <v>6379</v>
      </c>
      <c r="G2421" s="3" t="str">
        <f>IFERROR(__xludf.DUMMYFUNCTION("GOOGLETRANSLATE(D2421,""fr"",""es"")"),"topador")</f>
        <v>topador</v>
      </c>
    </row>
    <row r="2422">
      <c r="A2422" s="3">
        <v>2400.0</v>
      </c>
      <c r="B2422" s="3" t="s">
        <v>189</v>
      </c>
      <c r="C2422" s="3" t="s">
        <v>190</v>
      </c>
      <c r="D2422" s="3" t="s">
        <v>6429</v>
      </c>
      <c r="E2422" s="3" t="s">
        <v>6430</v>
      </c>
      <c r="F2422" s="3" t="s">
        <v>6431</v>
      </c>
      <c r="G2422" s="3" t="str">
        <f>IFERROR(__xludf.DUMMYFUNCTION("GOOGLETRANSLATE(D2422,""fr"",""es"")"),"listón")</f>
        <v>listón</v>
      </c>
    </row>
    <row r="2423">
      <c r="A2423" s="3">
        <v>2401.0</v>
      </c>
      <c r="B2423" s="3" t="s">
        <v>189</v>
      </c>
      <c r="C2423" s="3" t="s">
        <v>190</v>
      </c>
      <c r="D2423" s="3" t="s">
        <v>6432</v>
      </c>
      <c r="E2423" s="3" t="s">
        <v>6430</v>
      </c>
      <c r="F2423" s="3" t="s">
        <v>6431</v>
      </c>
      <c r="G2423" s="3" t="str">
        <f>IFERROR(__xludf.DUMMYFUNCTION("GOOGLETRANSLATE(D2423,""fr"",""es"")"),"etiquetas")</f>
        <v>etiquetas</v>
      </c>
    </row>
    <row r="2424">
      <c r="A2424" s="3">
        <v>2402.0</v>
      </c>
      <c r="B2424" s="3" t="s">
        <v>189</v>
      </c>
      <c r="C2424" s="3" t="s">
        <v>190</v>
      </c>
      <c r="D2424" s="3" t="s">
        <v>6433</v>
      </c>
      <c r="E2424" s="3" t="s">
        <v>6434</v>
      </c>
      <c r="F2424" s="3" t="s">
        <v>6435</v>
      </c>
      <c r="G2424" s="3" t="str">
        <f>IFERROR(__xludf.DUMMYFUNCTION("GOOGLETRANSLATE(D2424,""fr"",""es"")"),"broma")</f>
        <v>broma</v>
      </c>
    </row>
    <row r="2425">
      <c r="A2425" s="3">
        <v>2403.0</v>
      </c>
      <c r="B2425" s="3" t="s">
        <v>189</v>
      </c>
      <c r="C2425" s="3" t="s">
        <v>190</v>
      </c>
      <c r="D2425" s="3" t="s">
        <v>6436</v>
      </c>
      <c r="E2425" s="3" t="s">
        <v>6434</v>
      </c>
      <c r="F2425" s="3" t="s">
        <v>6435</v>
      </c>
      <c r="G2425" s="3" t="str">
        <f>IFERROR(__xludf.DUMMYFUNCTION("GOOGLETRANSLATE(D2425,""fr"",""es"")"),"broma")</f>
        <v>broma</v>
      </c>
    </row>
    <row r="2426">
      <c r="A2426" s="3">
        <v>2404.0</v>
      </c>
      <c r="B2426" s="3" t="s">
        <v>189</v>
      </c>
      <c r="C2426" s="3" t="s">
        <v>190</v>
      </c>
      <c r="D2426" s="3" t="s">
        <v>6437</v>
      </c>
      <c r="E2426" s="3" t="s">
        <v>6434</v>
      </c>
      <c r="F2426" s="3" t="s">
        <v>6435</v>
      </c>
      <c r="G2426" s="3" t="str">
        <f>IFERROR(__xludf.DUMMYFUNCTION("GOOGLETRANSLATE(D2426,""fr"",""es"")"),"broma")</f>
        <v>broma</v>
      </c>
    </row>
    <row r="2427">
      <c r="A2427" s="3">
        <v>2405.0</v>
      </c>
      <c r="B2427" s="3" t="s">
        <v>189</v>
      </c>
      <c r="C2427" s="3" t="s">
        <v>190</v>
      </c>
      <c r="D2427" s="3" t="s">
        <v>6438</v>
      </c>
      <c r="E2427" s="3" t="s">
        <v>6434</v>
      </c>
      <c r="F2427" s="3" t="s">
        <v>6435</v>
      </c>
      <c r="G2427" s="3" t="str">
        <f>IFERROR(__xludf.DUMMYFUNCTION("GOOGLETRANSLATE(D2427,""fr"",""es"")"),"desestimado")</f>
        <v>desestimado</v>
      </c>
    </row>
    <row r="2428">
      <c r="A2428" s="3">
        <v>2406.0</v>
      </c>
      <c r="B2428" s="3" t="s">
        <v>189</v>
      </c>
      <c r="C2428" s="3" t="s">
        <v>190</v>
      </c>
      <c r="D2428" s="3" t="s">
        <v>6439</v>
      </c>
      <c r="E2428" s="3" t="s">
        <v>6440</v>
      </c>
      <c r="F2428" s="3" t="s">
        <v>6441</v>
      </c>
      <c r="G2428" s="3" t="str">
        <f>IFERROR(__xludf.DUMMYFUNCTION("GOOGLETRANSLATE(D2428,""fr"",""es"")"),"desestimado")</f>
        <v>desestimado</v>
      </c>
    </row>
    <row r="2429">
      <c r="A2429" s="3">
        <v>2407.0</v>
      </c>
      <c r="B2429" s="3" t="s">
        <v>189</v>
      </c>
      <c r="C2429" s="3" t="s">
        <v>190</v>
      </c>
      <c r="D2429" s="3" t="s">
        <v>6442</v>
      </c>
      <c r="E2429" s="3" t="s">
        <v>6443</v>
      </c>
      <c r="F2429" s="3" t="s">
        <v>6444</v>
      </c>
      <c r="G2429" s="3" t="str">
        <f>IFERROR(__xludf.DUMMYFUNCTION("GOOGLETRANSLATE(D2429,""fr"",""es"")"),"broma")</f>
        <v>broma</v>
      </c>
    </row>
    <row r="2430">
      <c r="A2430" s="3">
        <v>2408.0</v>
      </c>
      <c r="B2430" s="3" t="s">
        <v>189</v>
      </c>
      <c r="C2430" s="3" t="s">
        <v>190</v>
      </c>
      <c r="D2430" s="3" t="s">
        <v>6445</v>
      </c>
      <c r="E2430" s="3" t="s">
        <v>6443</v>
      </c>
      <c r="F2430" s="3" t="s">
        <v>6444</v>
      </c>
      <c r="G2430" s="3" t="str">
        <f>IFERROR(__xludf.DUMMYFUNCTION("GOOGLETRANSLATE(D2430,""fr"",""es"")"),"fastidiar")</f>
        <v>fastidiar</v>
      </c>
    </row>
    <row r="2431">
      <c r="A2431" s="3">
        <v>2409.0</v>
      </c>
      <c r="B2431" s="3" t="s">
        <v>189</v>
      </c>
      <c r="C2431" s="3" t="s">
        <v>190</v>
      </c>
      <c r="D2431" s="3" t="s">
        <v>6446</v>
      </c>
      <c r="E2431" s="3" t="s">
        <v>6443</v>
      </c>
      <c r="F2431" s="3" t="s">
        <v>6444</v>
      </c>
      <c r="G2431" s="3" t="str">
        <f>IFERROR(__xludf.DUMMYFUNCTION("GOOGLETRANSLATE(D2431,""fr"",""es"")"),"broma")</f>
        <v>broma</v>
      </c>
    </row>
    <row r="2432">
      <c r="A2432" s="3">
        <v>2410.0</v>
      </c>
      <c r="B2432" s="3" t="s">
        <v>189</v>
      </c>
      <c r="C2432" s="3" t="s">
        <v>190</v>
      </c>
      <c r="D2432" s="3" t="s">
        <v>6447</v>
      </c>
      <c r="E2432" s="3" t="s">
        <v>6448</v>
      </c>
      <c r="F2432" s="3" t="s">
        <v>6449</v>
      </c>
      <c r="G2432" s="3" t="str">
        <f>IFERROR(__xludf.DUMMYFUNCTION("GOOGLETRANSLATE(D2432,""fr"",""es"")"),"broma")</f>
        <v>broma</v>
      </c>
    </row>
    <row r="2433">
      <c r="A2433" s="3">
        <v>2411.0</v>
      </c>
      <c r="B2433" s="3" t="s">
        <v>189</v>
      </c>
      <c r="C2433" s="3" t="s">
        <v>190</v>
      </c>
      <c r="D2433" s="3" t="s">
        <v>6450</v>
      </c>
      <c r="E2433" s="3" t="s">
        <v>6448</v>
      </c>
      <c r="F2433" s="3" t="s">
        <v>6449</v>
      </c>
      <c r="G2433" s="3" t="str">
        <f>IFERROR(__xludf.DUMMYFUNCTION("GOOGLETRANSLATE(D2433,""fr"",""es"")"),"fastidiar")</f>
        <v>fastidiar</v>
      </c>
    </row>
    <row r="2434">
      <c r="A2434" s="3">
        <v>2412.0</v>
      </c>
      <c r="B2434" s="3" t="s">
        <v>189</v>
      </c>
      <c r="C2434" s="3" t="s">
        <v>190</v>
      </c>
      <c r="D2434" s="3" t="s">
        <v>6451</v>
      </c>
      <c r="E2434" s="3" t="s">
        <v>6448</v>
      </c>
      <c r="F2434" s="3" t="s">
        <v>6449</v>
      </c>
      <c r="G2434" s="3" t="str">
        <f>IFERROR(__xludf.DUMMYFUNCTION("GOOGLETRANSLATE(D2434,""fr"",""es"")"),"broma")</f>
        <v>broma</v>
      </c>
    </row>
    <row r="2435">
      <c r="A2435" s="3">
        <v>2413.0</v>
      </c>
      <c r="B2435" s="3" t="s">
        <v>189</v>
      </c>
      <c r="C2435" s="3" t="s">
        <v>190</v>
      </c>
      <c r="D2435" s="3" t="s">
        <v>6452</v>
      </c>
      <c r="E2435" s="3" t="s">
        <v>6453</v>
      </c>
      <c r="F2435" s="3" t="s">
        <v>6454</v>
      </c>
      <c r="G2435" s="3" t="str">
        <f>IFERROR(__xludf.DUMMYFUNCTION("GOOGLETRANSLATE(D2435,""fr"",""es"")"),"Tassai")</f>
        <v>Tassai</v>
      </c>
    </row>
    <row r="2436">
      <c r="A2436" s="3">
        <v>2414.0</v>
      </c>
      <c r="B2436" s="3" t="s">
        <v>189</v>
      </c>
      <c r="C2436" s="3" t="s">
        <v>190</v>
      </c>
      <c r="D2436" s="3" t="s">
        <v>6455</v>
      </c>
      <c r="E2436" s="3" t="s">
        <v>6453</v>
      </c>
      <c r="F2436" s="3" t="s">
        <v>6454</v>
      </c>
      <c r="G2436" s="3" t="str">
        <f>IFERROR(__xludf.DUMMYFUNCTION("GOOGLETRANSLATE(D2436,""fr"",""es"")"),"estaban enganchando")</f>
        <v>estaban enganchando</v>
      </c>
    </row>
    <row r="2437">
      <c r="A2437" s="3">
        <v>2415.0</v>
      </c>
      <c r="B2437" s="3" t="s">
        <v>189</v>
      </c>
      <c r="C2437" s="3" t="s">
        <v>190</v>
      </c>
      <c r="D2437" s="3" t="s">
        <v>6456</v>
      </c>
      <c r="E2437" s="3" t="s">
        <v>6453</v>
      </c>
      <c r="F2437" s="3" t="s">
        <v>6454</v>
      </c>
      <c r="G2437" s="3" t="str">
        <f>IFERROR(__xludf.DUMMYFUNCTION("GOOGLETRANSLATE(D2437,""fr"",""es"")"),"mordaz")</f>
        <v>mordaz</v>
      </c>
    </row>
    <row r="2438">
      <c r="A2438" s="3">
        <v>2416.0</v>
      </c>
      <c r="B2438" s="3" t="s">
        <v>189</v>
      </c>
      <c r="C2438" s="3" t="s">
        <v>190</v>
      </c>
      <c r="D2438" s="3" t="s">
        <v>6457</v>
      </c>
      <c r="E2438" s="3" t="s">
        <v>6453</v>
      </c>
      <c r="F2438" s="3" t="s">
        <v>6454</v>
      </c>
      <c r="G2438" s="3" t="str">
        <f>IFERROR(__xludf.DUMMYFUNCTION("GOOGLETRANSLATE(D2438,""fr"",""es"")"),"empacado")</f>
        <v>empacado</v>
      </c>
    </row>
    <row r="2439">
      <c r="A2439" s="3">
        <v>2417.0</v>
      </c>
      <c r="B2439" s="3" t="s">
        <v>189</v>
      </c>
      <c r="C2439" s="3" t="s">
        <v>190</v>
      </c>
      <c r="D2439" s="3" t="s">
        <v>6458</v>
      </c>
      <c r="E2439" s="3" t="s">
        <v>6459</v>
      </c>
      <c r="F2439" s="3" t="s">
        <v>6460</v>
      </c>
      <c r="G2439" s="3" t="str">
        <f>IFERROR(__xludf.DUMMYFUNCTION("GOOGLETRANSLATE(D2439,""fr"",""es"")"),"tassâme")</f>
        <v>tassâme</v>
      </c>
    </row>
    <row r="2440">
      <c r="A2440" s="3">
        <v>2418.0</v>
      </c>
      <c r="B2440" s="3" t="s">
        <v>189</v>
      </c>
      <c r="C2440" s="3" t="s">
        <v>190</v>
      </c>
      <c r="D2440" s="3" t="s">
        <v>6461</v>
      </c>
      <c r="E2440" s="3" t="s">
        <v>6462</v>
      </c>
      <c r="F2440" s="3" t="s">
        <v>6463</v>
      </c>
      <c r="G2440" s="3" t="str">
        <f>IFERROR(__xludf.DUMMYFUNCTION("GOOGLETRANSLATE(D2440,""fr"",""es"")"),"vástago")</f>
        <v>vástago</v>
      </c>
    </row>
    <row r="2441">
      <c r="A2441" s="3">
        <v>2419.0</v>
      </c>
      <c r="B2441" s="3" t="s">
        <v>189</v>
      </c>
      <c r="C2441" s="3" t="s">
        <v>190</v>
      </c>
      <c r="D2441" s="3" t="s">
        <v>6464</v>
      </c>
      <c r="E2441" s="3" t="s">
        <v>6462</v>
      </c>
      <c r="F2441" s="3" t="s">
        <v>6463</v>
      </c>
      <c r="G2441" s="3" t="str">
        <f>IFERROR(__xludf.DUMMYFUNCTION("GOOGLETRANSLATE(D2441,""fr"",""es"")"),"inmersión")</f>
        <v>inmersión</v>
      </c>
    </row>
    <row r="2442">
      <c r="A2442" s="3">
        <v>2420.0</v>
      </c>
      <c r="B2442" s="3" t="s">
        <v>189</v>
      </c>
      <c r="C2442" s="3" t="s">
        <v>190</v>
      </c>
      <c r="D2442" s="3" t="s">
        <v>6465</v>
      </c>
      <c r="E2442" s="3" t="s">
        <v>6462</v>
      </c>
      <c r="F2442" s="3" t="s">
        <v>6463</v>
      </c>
      <c r="G2442" s="3" t="str">
        <f>IFERROR(__xludf.DUMMYFUNCTION("GOOGLETRANSLATE(D2442,""fr"",""es"")"),"vástago")</f>
        <v>vástago</v>
      </c>
    </row>
    <row r="2443">
      <c r="A2443" s="3">
        <v>2421.0</v>
      </c>
      <c r="B2443" s="3" t="s">
        <v>189</v>
      </c>
      <c r="C2443" s="3" t="s">
        <v>190</v>
      </c>
      <c r="D2443" s="3" t="s">
        <v>6466</v>
      </c>
      <c r="E2443" s="3" t="s">
        <v>6467</v>
      </c>
      <c r="F2443" s="3" t="s">
        <v>6468</v>
      </c>
      <c r="G2443" s="3" t="str">
        <f>IFERROR(__xludf.DUMMYFUNCTION("GOOGLETRANSLATE(D2443,""fr"",""es"")"),"taza")</f>
        <v>taza</v>
      </c>
      <c r="H2443" s="3" t="s">
        <v>2186</v>
      </c>
      <c r="I2443" s="3" t="s">
        <v>6469</v>
      </c>
      <c r="J2443" s="3" t="s">
        <v>2186</v>
      </c>
      <c r="K2443" s="3" t="s">
        <v>2186</v>
      </c>
      <c r="L2443" s="3" t="s">
        <v>2186</v>
      </c>
      <c r="M2443" s="3" t="s">
        <v>2186</v>
      </c>
      <c r="N2443" s="3" t="s">
        <v>2187</v>
      </c>
      <c r="O2443" s="3" t="s">
        <v>2186</v>
      </c>
      <c r="P2443" s="3" t="s">
        <v>2186</v>
      </c>
      <c r="Q2443" s="3" t="s">
        <v>2186</v>
      </c>
      <c r="R2443" s="3" t="s">
        <v>2186</v>
      </c>
      <c r="S2443" s="3" t="s">
        <v>6470</v>
      </c>
      <c r="T2443" s="3" t="s">
        <v>2186</v>
      </c>
    </row>
    <row r="2444">
      <c r="A2444" s="3">
        <v>2422.0</v>
      </c>
      <c r="B2444" s="3" t="s">
        <v>189</v>
      </c>
      <c r="C2444" s="3" t="s">
        <v>190</v>
      </c>
      <c r="D2444" s="3" t="s">
        <v>6471</v>
      </c>
      <c r="E2444" s="3" t="s">
        <v>6467</v>
      </c>
      <c r="F2444" s="3" t="s">
        <v>6468</v>
      </c>
      <c r="G2444" s="3" t="str">
        <f>IFERROR(__xludf.DUMMYFUNCTION("GOOGLETRANSLATE(D2444,""fr"",""es"")"),"tocar")</f>
        <v>tocar</v>
      </c>
    </row>
    <row r="2445">
      <c r="A2445" s="3">
        <v>2423.0</v>
      </c>
      <c r="B2445" s="3" t="s">
        <v>189</v>
      </c>
      <c r="C2445" s="3" t="s">
        <v>190</v>
      </c>
      <c r="D2445" s="3" t="s">
        <v>6472</v>
      </c>
      <c r="E2445" s="3" t="s">
        <v>6467</v>
      </c>
      <c r="F2445" s="3" t="s">
        <v>6468</v>
      </c>
      <c r="G2445" s="3" t="str">
        <f>IFERROR(__xludf.DUMMYFUNCTION("GOOGLETRANSLATE(D2445,""fr"",""es"")"),"tazas")</f>
        <v>tazas</v>
      </c>
    </row>
    <row r="2446">
      <c r="A2446" s="3">
        <v>2424.0</v>
      </c>
      <c r="B2446" s="3" t="s">
        <v>189</v>
      </c>
      <c r="C2446" s="3" t="s">
        <v>190</v>
      </c>
      <c r="D2446" s="3" t="s">
        <v>6473</v>
      </c>
      <c r="E2446" s="3" t="s">
        <v>6474</v>
      </c>
      <c r="F2446" s="3" t="s">
        <v>6475</v>
      </c>
      <c r="G2446" s="3" t="str">
        <f>IFERROR(__xludf.DUMMYFUNCTION("GOOGLETRANSLATE(D2446,""fr"",""es"")"),"sabroso")</f>
        <v>sabroso</v>
      </c>
    </row>
    <row r="2447">
      <c r="A2447" s="3">
        <v>2425.0</v>
      </c>
      <c r="B2447" s="3" t="s">
        <v>189</v>
      </c>
      <c r="C2447" s="3" t="s">
        <v>190</v>
      </c>
      <c r="D2447" s="3" t="s">
        <v>6476</v>
      </c>
      <c r="E2447" s="3" t="s">
        <v>6474</v>
      </c>
      <c r="F2447" s="3" t="s">
        <v>6475</v>
      </c>
      <c r="G2447" s="3" t="str">
        <f>IFERROR(__xludf.DUMMYFUNCTION("GOOGLETRANSLATE(D2447,""fr"",""es"")"),"crecido")</f>
        <v>crecido</v>
      </c>
    </row>
    <row r="2448">
      <c r="A2448" s="3">
        <v>2426.0</v>
      </c>
      <c r="B2448" s="3" t="s">
        <v>189</v>
      </c>
      <c r="C2448" s="3" t="s">
        <v>190</v>
      </c>
      <c r="D2448" s="3" t="s">
        <v>6477</v>
      </c>
      <c r="E2448" s="3" t="s">
        <v>6474</v>
      </c>
      <c r="F2448" s="3" t="s">
        <v>6475</v>
      </c>
      <c r="G2448" s="3" t="str">
        <f>IFERROR(__xludf.DUMMYFUNCTION("GOOGLETRANSLATE(D2448,""fr"",""es"")"),"a tientas")</f>
        <v>a tientas</v>
      </c>
    </row>
    <row r="2449">
      <c r="A2449" s="3">
        <v>2427.0</v>
      </c>
      <c r="B2449" s="3" t="s">
        <v>189</v>
      </c>
      <c r="C2449" s="3" t="s">
        <v>190</v>
      </c>
      <c r="D2449" s="3" t="s">
        <v>6478</v>
      </c>
      <c r="E2449" s="3" t="s">
        <v>6474</v>
      </c>
      <c r="F2449" s="3" t="s">
        <v>6475</v>
      </c>
      <c r="G2449" s="3" t="str">
        <f>IFERROR(__xludf.DUMMYFUNCTION("GOOGLETRANSLATE(D2449,""fr"",""es"")"),"estaba intentando")</f>
        <v>estaba intentando</v>
      </c>
    </row>
    <row r="2450">
      <c r="A2450" s="3">
        <v>2428.0</v>
      </c>
      <c r="B2450" s="3" t="s">
        <v>189</v>
      </c>
      <c r="C2450" s="3" t="s">
        <v>190</v>
      </c>
      <c r="D2450" s="3" t="s">
        <v>6479</v>
      </c>
      <c r="E2450" s="3" t="s">
        <v>6480</v>
      </c>
      <c r="F2450" s="3" t="s">
        <v>6481</v>
      </c>
      <c r="G2450" s="3" t="str">
        <f>IFERROR(__xludf.DUMMYFUNCTION("GOOGLETRANSLATE(D2450,""fr"",""es"")"),"sabroso")</f>
        <v>sabroso</v>
      </c>
    </row>
    <row r="2451">
      <c r="A2451" s="3">
        <v>2429.0</v>
      </c>
      <c r="B2451" s="3" t="s">
        <v>189</v>
      </c>
      <c r="C2451" s="3" t="s">
        <v>190</v>
      </c>
      <c r="D2451" s="3" t="s">
        <v>6482</v>
      </c>
      <c r="E2451" s="3" t="s">
        <v>6483</v>
      </c>
      <c r="F2451" s="3" t="s">
        <v>6482</v>
      </c>
      <c r="G2451" s="3" t="str">
        <f>IFERROR(__xludf.DUMMYFUNCTION("GOOGLETRANSLATE(D2451,""fr"",""es"")"),"tatami")</f>
        <v>tatami</v>
      </c>
    </row>
    <row r="2452">
      <c r="A2452" s="3">
        <v>2430.0</v>
      </c>
      <c r="B2452" s="3" t="s">
        <v>189</v>
      </c>
      <c r="C2452" s="3" t="s">
        <v>190</v>
      </c>
      <c r="D2452" s="3" t="s">
        <v>6484</v>
      </c>
      <c r="E2452" s="3" t="s">
        <v>6483</v>
      </c>
      <c r="F2452" s="3" t="s">
        <v>6482</v>
      </c>
      <c r="G2452" s="3" t="str">
        <f>IFERROR(__xludf.DUMMYFUNCTION("GOOGLETRANSLATE(D2452,""fr"",""es"")"),"tatamis")</f>
        <v>tatamis</v>
      </c>
    </row>
    <row r="2453">
      <c r="A2453" s="3">
        <v>2431.0</v>
      </c>
      <c r="B2453" s="3" t="s">
        <v>189</v>
      </c>
      <c r="C2453" s="3" t="s">
        <v>190</v>
      </c>
      <c r="D2453" s="3" t="s">
        <v>6485</v>
      </c>
      <c r="E2453" s="3" t="s">
        <v>6486</v>
      </c>
      <c r="F2453" s="3" t="s">
        <v>6487</v>
      </c>
      <c r="G2453" s="3" t="str">
        <f>IFERROR(__xludf.DUMMYFUNCTION("GOOGLETRANSLATE(D2453,""fr"",""es"")"),"tatana")</f>
        <v>tatana</v>
      </c>
    </row>
    <row r="2454">
      <c r="A2454" s="3">
        <v>2432.0</v>
      </c>
      <c r="B2454" s="3" t="s">
        <v>189</v>
      </c>
      <c r="C2454" s="3" t="s">
        <v>190</v>
      </c>
      <c r="D2454" s="3" t="s">
        <v>6488</v>
      </c>
      <c r="E2454" s="3" t="s">
        <v>6486</v>
      </c>
      <c r="F2454" s="3" t="s">
        <v>6487</v>
      </c>
      <c r="G2454" s="3" t="str">
        <f>IFERROR(__xludf.DUMMYFUNCTION("GOOGLETRANSLATE(D2454,""fr"",""es"")"),"tatanas")</f>
        <v>tatanas</v>
      </c>
    </row>
    <row r="2455">
      <c r="A2455" s="3">
        <v>2433.0</v>
      </c>
      <c r="B2455" s="3" t="s">
        <v>189</v>
      </c>
      <c r="C2455" s="3" t="s">
        <v>190</v>
      </c>
      <c r="D2455" s="3" t="s">
        <v>6489</v>
      </c>
      <c r="E2455" s="3" t="s">
        <v>6490</v>
      </c>
      <c r="F2455" s="3" t="s">
        <v>6491</v>
      </c>
      <c r="G2455" s="3" t="str">
        <f>IFERROR(__xludf.DUMMYFUNCTION("GOOGLETRANSLATE(D2455,""fr"",""es"")"),"agarre")</f>
        <v>agarre</v>
      </c>
    </row>
    <row r="2456">
      <c r="A2456" s="3">
        <v>2434.0</v>
      </c>
      <c r="B2456" s="3" t="s">
        <v>189</v>
      </c>
      <c r="C2456" s="3" t="s">
        <v>190</v>
      </c>
      <c r="D2456" s="3" t="s">
        <v>6492</v>
      </c>
      <c r="E2456" s="3" t="s">
        <v>6490</v>
      </c>
      <c r="F2456" s="3" t="s">
        <v>6491</v>
      </c>
      <c r="G2456" s="3" t="str">
        <f>IFERROR(__xludf.DUMMYFUNCTION("GOOGLETRANSLATE(D2456,""fr"",""es"")"),"sentir")</f>
        <v>sentir</v>
      </c>
    </row>
    <row r="2457">
      <c r="A2457" s="3">
        <v>2435.0</v>
      </c>
      <c r="B2457" s="3" t="s">
        <v>189</v>
      </c>
      <c r="C2457" s="3" t="s">
        <v>190</v>
      </c>
      <c r="D2457" s="3" t="s">
        <v>6493</v>
      </c>
      <c r="E2457" s="3" t="s">
        <v>6490</v>
      </c>
      <c r="F2457" s="3" t="s">
        <v>6491</v>
      </c>
      <c r="G2457" s="3" t="str">
        <f>IFERROR(__xludf.DUMMYFUNCTION("GOOGLETRANSLATE(D2457,""fr"",""es"")"),"nimiedad")</f>
        <v>nimiedad</v>
      </c>
    </row>
    <row r="2458">
      <c r="A2458" s="3">
        <v>2436.0</v>
      </c>
      <c r="B2458" s="3" t="s">
        <v>189</v>
      </c>
      <c r="C2458" s="3" t="s">
        <v>190</v>
      </c>
      <c r="D2458" s="3" t="s">
        <v>6494</v>
      </c>
      <c r="E2458" s="3" t="s">
        <v>6495</v>
      </c>
      <c r="F2458" s="3" t="s">
        <v>6496</v>
      </c>
      <c r="G2458" s="3" t="str">
        <f>IFERROR(__xludf.DUMMYFUNCTION("GOOGLETRANSLATE(D2458,""fr"",""es"")"),"armadillo")</f>
        <v>armadillo</v>
      </c>
      <c r="H2458" s="3" t="s">
        <v>6497</v>
      </c>
    </row>
    <row r="2459">
      <c r="A2459" s="3">
        <v>2437.0</v>
      </c>
      <c r="B2459" s="3" t="s">
        <v>189</v>
      </c>
      <c r="C2459" s="3" t="s">
        <v>190</v>
      </c>
      <c r="D2459" s="3" t="s">
        <v>6498</v>
      </c>
      <c r="E2459" s="3" t="s">
        <v>6495</v>
      </c>
      <c r="F2459" s="3" t="s">
        <v>6496</v>
      </c>
      <c r="G2459" s="3" t="str">
        <f>IFERROR(__xludf.DUMMYFUNCTION("GOOGLETRANSLATE(D2459,""fr"",""es"")"),"tatuaje")</f>
        <v>tatuaje</v>
      </c>
    </row>
    <row r="2460">
      <c r="A2460" s="3">
        <v>2438.0</v>
      </c>
      <c r="B2460" s="3" t="s">
        <v>189</v>
      </c>
      <c r="C2460" s="3" t="s">
        <v>190</v>
      </c>
      <c r="D2460" s="3" t="s">
        <v>6499</v>
      </c>
      <c r="E2460" s="3" t="s">
        <v>6495</v>
      </c>
      <c r="F2460" s="3" t="s">
        <v>6496</v>
      </c>
      <c r="G2460" s="3" t="str">
        <f>IFERROR(__xludf.DUMMYFUNCTION("GOOGLETRANSLATE(D2460,""fr"",""es"")"),"tatuaje")</f>
        <v>tatuaje</v>
      </c>
    </row>
    <row r="2461">
      <c r="A2461" s="3">
        <v>2439.0</v>
      </c>
      <c r="B2461" s="3" t="s">
        <v>189</v>
      </c>
      <c r="C2461" s="3" t="s">
        <v>190</v>
      </c>
      <c r="D2461" s="3" t="s">
        <v>6500</v>
      </c>
      <c r="E2461" s="3" t="s">
        <v>6495</v>
      </c>
      <c r="F2461" s="3" t="s">
        <v>6496</v>
      </c>
      <c r="G2461" s="3" t="str">
        <f>IFERROR(__xludf.DUMMYFUNCTION("GOOGLETRANSLATE(D2461,""fr"",""es"")"),"tatuaje")</f>
        <v>tatuaje</v>
      </c>
    </row>
    <row r="2462">
      <c r="A2462" s="3">
        <v>2440.0</v>
      </c>
      <c r="B2462" s="3" t="s">
        <v>189</v>
      </c>
      <c r="C2462" s="3" t="s">
        <v>190</v>
      </c>
      <c r="D2462" s="3" t="s">
        <v>6501</v>
      </c>
      <c r="E2462" s="3" t="s">
        <v>6495</v>
      </c>
      <c r="F2462" s="3" t="s">
        <v>6496</v>
      </c>
      <c r="G2462" s="3" t="str">
        <f>IFERROR(__xludf.DUMMYFUNCTION("GOOGLETRANSLATE(D2462,""fr"",""es"")"),"tatoso")</f>
        <v>tatoso</v>
      </c>
    </row>
    <row r="2463">
      <c r="A2463" s="3">
        <v>2441.0</v>
      </c>
      <c r="B2463" s="3" t="s">
        <v>189</v>
      </c>
      <c r="C2463" s="3" t="s">
        <v>190</v>
      </c>
      <c r="D2463" s="3" t="s">
        <v>6502</v>
      </c>
      <c r="E2463" s="3" t="s">
        <v>6196</v>
      </c>
      <c r="F2463" s="3" t="s">
        <v>6197</v>
      </c>
      <c r="G2463" s="3" t="str">
        <f>IFERROR(__xludf.DUMMYFUNCTION("GOOGLETRANSLATE(D2463,""fr"",""es"")"),"teca")</f>
        <v>teca</v>
      </c>
      <c r="H2463" s="3" t="s">
        <v>6503</v>
      </c>
      <c r="I2463" s="3" t="s">
        <v>6504</v>
      </c>
      <c r="J2463" s="3" t="s">
        <v>6503</v>
      </c>
      <c r="K2463" s="3" t="s">
        <v>6505</v>
      </c>
    </row>
    <row r="2464">
      <c r="A2464" s="3">
        <v>2442.0</v>
      </c>
      <c r="B2464" s="3" t="s">
        <v>189</v>
      </c>
      <c r="C2464" s="3" t="s">
        <v>190</v>
      </c>
      <c r="D2464" s="3" t="s">
        <v>6506</v>
      </c>
      <c r="E2464" s="3" t="s">
        <v>6196</v>
      </c>
      <c r="F2464" s="3" t="s">
        <v>6197</v>
      </c>
      <c r="G2464" s="3" t="str">
        <f>IFERROR(__xludf.DUMMYFUNCTION("GOOGLETRANSLATE(D2464,""fr"",""es"")"),"tocos")</f>
        <v>tocos</v>
      </c>
    </row>
    <row r="2465">
      <c r="A2465" s="3">
        <v>2443.0</v>
      </c>
      <c r="B2465" s="3" t="s">
        <v>189</v>
      </c>
      <c r="C2465" s="3" t="s">
        <v>190</v>
      </c>
      <c r="D2465" s="3" t="s">
        <v>6507</v>
      </c>
      <c r="E2465" s="3" t="s">
        <v>6508</v>
      </c>
      <c r="F2465" s="3" t="s">
        <v>6509</v>
      </c>
      <c r="G2465" s="3" t="str">
        <f>IFERROR(__xludf.DUMMYFUNCTION("GOOGLETRANSLATE(D2465,""fr"",""es"")"),"extendido")</f>
        <v>extendido</v>
      </c>
    </row>
    <row r="2466">
      <c r="A2466" s="3">
        <v>2444.0</v>
      </c>
      <c r="B2466" s="3" t="s">
        <v>189</v>
      </c>
      <c r="C2466" s="3" t="s">
        <v>190</v>
      </c>
      <c r="D2466" s="3" t="s">
        <v>6510</v>
      </c>
      <c r="E2466" s="3" t="s">
        <v>6508</v>
      </c>
      <c r="F2466" s="3" t="s">
        <v>6509</v>
      </c>
      <c r="G2466" s="3" t="str">
        <f>IFERROR(__xludf.DUMMYFUNCTION("GOOGLETRANSLATE(D2466,""fr"",""es"")"),"teigna")</f>
        <v>teigna</v>
      </c>
    </row>
    <row r="2467">
      <c r="A2467" s="3">
        <v>2445.0</v>
      </c>
      <c r="B2467" s="3" t="s">
        <v>189</v>
      </c>
      <c r="C2467" s="3" t="s">
        <v>190</v>
      </c>
      <c r="D2467" s="3" t="s">
        <v>6511</v>
      </c>
      <c r="E2467" s="3" t="s">
        <v>6508</v>
      </c>
      <c r="F2467" s="3" t="s">
        <v>6509</v>
      </c>
      <c r="G2467" s="3" t="str">
        <f>IFERROR(__xludf.DUMMYFUNCTION("GOOGLETRANSLATE(D2467,""fr"",""es"")"),"estaba muriendo")</f>
        <v>estaba muriendo</v>
      </c>
    </row>
    <row r="2468">
      <c r="A2468" s="3">
        <v>2446.0</v>
      </c>
      <c r="B2468" s="3" t="s">
        <v>189</v>
      </c>
      <c r="C2468" s="3" t="s">
        <v>190</v>
      </c>
      <c r="D2468" s="3" t="s">
        <v>6512</v>
      </c>
      <c r="E2468" s="3" t="s">
        <v>6513</v>
      </c>
      <c r="F2468" s="3" t="s">
        <v>6514</v>
      </c>
      <c r="G2468" s="3" t="str">
        <f>IFERROR(__xludf.DUMMYFUNCTION("GOOGLETRANSLATE(D2468,""fr"",""es"")"),"tiña")</f>
        <v>tiña</v>
      </c>
      <c r="H2468" s="3" t="s">
        <v>6515</v>
      </c>
      <c r="I2468" s="3" t="s">
        <v>6516</v>
      </c>
      <c r="J2468" s="3" t="s">
        <v>6517</v>
      </c>
      <c r="K2468" s="3" t="s">
        <v>6518</v>
      </c>
    </row>
    <row r="2469">
      <c r="A2469" s="3">
        <v>2447.0</v>
      </c>
      <c r="B2469" s="3" t="s">
        <v>189</v>
      </c>
      <c r="C2469" s="3" t="s">
        <v>190</v>
      </c>
      <c r="D2469" s="3" t="s">
        <v>6519</v>
      </c>
      <c r="E2469" s="3" t="s">
        <v>6513</v>
      </c>
      <c r="F2469" s="3" t="s">
        <v>6514</v>
      </c>
      <c r="G2469" s="3" t="str">
        <f>IFERROR(__xludf.DUMMYFUNCTION("GOOGLETRANSLATE(D2469,""fr"",""es"")"),"polilla")</f>
        <v>polilla</v>
      </c>
    </row>
    <row r="2470">
      <c r="A2470" s="3">
        <v>2448.0</v>
      </c>
      <c r="B2470" s="3" t="s">
        <v>189</v>
      </c>
      <c r="C2470" s="3" t="s">
        <v>190</v>
      </c>
      <c r="D2470" s="3" t="s">
        <v>6520</v>
      </c>
      <c r="E2470" s="3" t="s">
        <v>6513</v>
      </c>
      <c r="F2470" s="3" t="s">
        <v>6514</v>
      </c>
      <c r="G2470" s="3" t="str">
        <f>IFERROR(__xludf.DUMMYFUNCTION("GOOGLETRANSLATE(D2470,""fr"",""es"")"),"polilla")</f>
        <v>polilla</v>
      </c>
    </row>
    <row r="2471">
      <c r="A2471" s="3">
        <v>2449.0</v>
      </c>
      <c r="B2471" s="3" t="s">
        <v>189</v>
      </c>
      <c r="C2471" s="3" t="s">
        <v>190</v>
      </c>
      <c r="D2471" s="3" t="s">
        <v>6521</v>
      </c>
      <c r="E2471" s="3" t="s">
        <v>6522</v>
      </c>
      <c r="F2471" s="3" t="s">
        <v>6523</v>
      </c>
      <c r="G2471" s="3" t="str">
        <f>IFERROR(__xludf.DUMMYFUNCTION("GOOGLETRANSLATE(D2471,""fr"",""es"")"),"teignîmes")</f>
        <v>teignîmes</v>
      </c>
    </row>
    <row r="2472">
      <c r="A2472" s="3">
        <v>2450.0</v>
      </c>
      <c r="B2472" s="3" t="s">
        <v>189</v>
      </c>
      <c r="C2472" s="3" t="s">
        <v>190</v>
      </c>
      <c r="D2472" s="3" t="s">
        <v>6524</v>
      </c>
      <c r="E2472" s="3" t="s">
        <v>6525</v>
      </c>
      <c r="F2472" s="3" t="s">
        <v>6526</v>
      </c>
      <c r="G2472" s="3" t="str">
        <f>IFERROR(__xludf.DUMMYFUNCTION("GOOGLETRANSLATE(D2472,""fr"",""es"")"),"teignis")</f>
        <v>teignis</v>
      </c>
    </row>
    <row r="2473">
      <c r="A2473" s="3">
        <v>2451.0</v>
      </c>
      <c r="B2473" s="3" t="s">
        <v>189</v>
      </c>
      <c r="C2473" s="3" t="s">
        <v>190</v>
      </c>
      <c r="D2473" s="3" t="s">
        <v>6527</v>
      </c>
      <c r="E2473" s="3" t="s">
        <v>6528</v>
      </c>
      <c r="F2473" s="3" t="s">
        <v>6529</v>
      </c>
      <c r="G2473" s="3" t="str">
        <f>IFERROR(__xludf.DUMMYFUNCTION("GOOGLETRANSLATE(D2473,""fr"",""es"")"),"hojas")</f>
        <v>hojas</v>
      </c>
    </row>
    <row r="2474">
      <c r="A2474" s="3">
        <v>2452.0</v>
      </c>
      <c r="B2474" s="3" t="s">
        <v>189</v>
      </c>
      <c r="C2474" s="3" t="s">
        <v>190</v>
      </c>
      <c r="D2474" s="3" t="s">
        <v>6530</v>
      </c>
      <c r="E2474" s="3" t="s">
        <v>6528</v>
      </c>
      <c r="F2474" s="3" t="s">
        <v>6529</v>
      </c>
      <c r="G2474" s="3" t="str">
        <f>IFERROR(__xludf.DUMMYFUNCTION("GOOGLETRANSLATE(D2474,""fr"",""es"")"),"lágrima")</f>
        <v>lágrima</v>
      </c>
    </row>
    <row r="2475">
      <c r="A2475" s="3">
        <v>2453.0</v>
      </c>
      <c r="B2475" s="3" t="s">
        <v>189</v>
      </c>
      <c r="C2475" s="3" t="s">
        <v>190</v>
      </c>
      <c r="D2475" s="3" t="s">
        <v>6531</v>
      </c>
      <c r="E2475" s="3" t="s">
        <v>6528</v>
      </c>
      <c r="F2475" s="3" t="s">
        <v>6529</v>
      </c>
      <c r="G2475" s="3" t="str">
        <f>IFERROR(__xludf.DUMMYFUNCTION("GOOGLETRANSLATE(D2475,""fr"",""es"")"),"tendis")</f>
        <v>tendis</v>
      </c>
    </row>
    <row r="2476">
      <c r="A2476" s="3">
        <v>2454.0</v>
      </c>
      <c r="B2476" s="3" t="s">
        <v>189</v>
      </c>
      <c r="C2476" s="3" t="s">
        <v>190</v>
      </c>
      <c r="D2476" s="3" t="s">
        <v>6532</v>
      </c>
      <c r="E2476" s="3" t="s">
        <v>6525</v>
      </c>
      <c r="F2476" s="3" t="s">
        <v>6526</v>
      </c>
      <c r="G2476" s="3" t="str">
        <f>IFERROR(__xludf.DUMMYFUNCTION("GOOGLETRANSLATE(D2476,""fr"",""es"")"),"té")</f>
        <v>té</v>
      </c>
    </row>
    <row r="2477">
      <c r="A2477" s="3">
        <v>2455.0</v>
      </c>
      <c r="B2477" s="3" t="s">
        <v>189</v>
      </c>
      <c r="C2477" s="3" t="s">
        <v>190</v>
      </c>
      <c r="D2477" s="3" t="s">
        <v>6533</v>
      </c>
      <c r="E2477" s="3" t="s">
        <v>6525</v>
      </c>
      <c r="F2477" s="3" t="s">
        <v>6526</v>
      </c>
      <c r="G2477" s="3" t="str">
        <f>IFERROR(__xludf.DUMMYFUNCTION("GOOGLETRANSLATE(D2477,""fr"",""es"")"),"tewl")</f>
        <v>tewl</v>
      </c>
    </row>
    <row r="2478">
      <c r="A2478" s="3">
        <v>2456.0</v>
      </c>
      <c r="B2478" s="3" t="s">
        <v>189</v>
      </c>
      <c r="C2478" s="3" t="s">
        <v>190</v>
      </c>
      <c r="D2478" s="3" t="s">
        <v>6534</v>
      </c>
      <c r="E2478" s="3" t="s">
        <v>6196</v>
      </c>
      <c r="F2478" s="3" t="s">
        <v>6197</v>
      </c>
      <c r="G2478" s="3" t="str">
        <f>IFERROR(__xludf.DUMMYFUNCTION("GOOGLETRANSLATE(D2478,""fr"",""es"")"),"tek")</f>
        <v>tek</v>
      </c>
    </row>
    <row r="2479">
      <c r="A2479" s="3">
        <v>2457.0</v>
      </c>
      <c r="B2479" s="3" t="s">
        <v>189</v>
      </c>
      <c r="C2479" s="3" t="s">
        <v>190</v>
      </c>
      <c r="D2479" s="3" t="s">
        <v>6535</v>
      </c>
      <c r="E2479" s="3" t="s">
        <v>6196</v>
      </c>
      <c r="F2479" s="3" t="s">
        <v>6197</v>
      </c>
      <c r="G2479" s="3" t="str">
        <f>IFERROR(__xludf.DUMMYFUNCTION("GOOGLETRANSLATE(D2479,""fr"",""es"")"),"teks")</f>
        <v>teks</v>
      </c>
    </row>
    <row r="2480">
      <c r="A2480" s="3">
        <v>2458.0</v>
      </c>
      <c r="B2480" s="3" t="s">
        <v>189</v>
      </c>
      <c r="C2480" s="3" t="s">
        <v>190</v>
      </c>
      <c r="D2480" s="3" t="s">
        <v>6536</v>
      </c>
      <c r="E2480" s="3" t="s">
        <v>6326</v>
      </c>
      <c r="F2480" s="3" t="s">
        <v>6327</v>
      </c>
      <c r="G2480" s="3" t="str">
        <f>IFERROR(__xludf.DUMMYFUNCTION("GOOGLETRANSLATE(D2480,""fr"",""es"")"),"Teléfono")</f>
        <v>Teléfono</v>
      </c>
      <c r="H2480" s="3" t="s">
        <v>6537</v>
      </c>
      <c r="I2480" s="3" t="s">
        <v>6538</v>
      </c>
      <c r="J2480" s="3">
        <v>1.0</v>
      </c>
      <c r="K2480" s="3" t="s">
        <v>2350</v>
      </c>
      <c r="L2480" s="3" t="s">
        <v>6539</v>
      </c>
      <c r="M2480" s="3" t="s">
        <v>6540</v>
      </c>
      <c r="N2480" s="3" t="s">
        <v>6541</v>
      </c>
    </row>
    <row r="2481">
      <c r="A2481" s="3">
        <v>2459.0</v>
      </c>
      <c r="B2481" s="3" t="s">
        <v>189</v>
      </c>
      <c r="C2481" s="3" t="s">
        <v>190</v>
      </c>
      <c r="D2481" s="3" t="s">
        <v>6542</v>
      </c>
      <c r="E2481" s="3" t="s">
        <v>6326</v>
      </c>
      <c r="F2481" s="3" t="s">
        <v>6327</v>
      </c>
      <c r="G2481" s="3" t="str">
        <f>IFERROR(__xludf.DUMMYFUNCTION("GOOGLETRANSLATE(D2481,""fr"",""es"")"),"tal")</f>
        <v>tal</v>
      </c>
    </row>
    <row r="2482">
      <c r="A2482" s="3">
        <v>2460.0</v>
      </c>
      <c r="B2482" s="3" t="s">
        <v>189</v>
      </c>
      <c r="C2482" s="3" t="s">
        <v>190</v>
      </c>
      <c r="D2482" s="3" t="s">
        <v>6543</v>
      </c>
      <c r="E2482" s="3" t="s">
        <v>6326</v>
      </c>
      <c r="F2482" s="3" t="s">
        <v>6327</v>
      </c>
      <c r="G2482" s="3" t="str">
        <f>IFERROR(__xludf.DUMMYFUNCTION("GOOGLETRANSLATE(D2482,""fr"",""es"")"),"como")</f>
        <v>como</v>
      </c>
    </row>
    <row r="2483">
      <c r="A2483" s="3">
        <v>2461.0</v>
      </c>
      <c r="B2483" s="3" t="s">
        <v>189</v>
      </c>
      <c r="C2483" s="3" t="s">
        <v>190</v>
      </c>
      <c r="D2483" s="3" t="s">
        <v>6544</v>
      </c>
      <c r="E2483" s="3" t="s">
        <v>6326</v>
      </c>
      <c r="F2483" s="3" t="s">
        <v>6327</v>
      </c>
      <c r="G2483" s="3" t="str">
        <f>IFERROR(__xludf.DUMMYFUNCTION("GOOGLETRANSLATE(D2483,""fr"",""es"")"),"tal")</f>
        <v>tal</v>
      </c>
    </row>
    <row r="2484">
      <c r="A2484" s="3">
        <v>2462.0</v>
      </c>
      <c r="B2484" s="3" t="s">
        <v>189</v>
      </c>
      <c r="C2484" s="3" t="s">
        <v>190</v>
      </c>
      <c r="D2484" s="3" t="s">
        <v>6545</v>
      </c>
      <c r="E2484" s="3" t="s">
        <v>6467</v>
      </c>
      <c r="F2484" s="3" t="s">
        <v>6468</v>
      </c>
      <c r="G2484" s="3" t="str">
        <f>IFERROR(__xludf.DUMMYFUNCTION("GOOGLETRANSLATE(D2484,""fr"",""es"")"),"prueba")</f>
        <v>prueba</v>
      </c>
      <c r="H2484" s="3" t="s">
        <v>6546</v>
      </c>
      <c r="I2484" s="3" t="s">
        <v>6545</v>
      </c>
      <c r="J2484" s="3" t="s">
        <v>6547</v>
      </c>
      <c r="K2484" s="3" t="s">
        <v>6545</v>
      </c>
      <c r="L2484" s="3" t="s">
        <v>6545</v>
      </c>
      <c r="M2484" s="3" t="s">
        <v>6548</v>
      </c>
      <c r="N2484" s="3" t="s">
        <v>1621</v>
      </c>
      <c r="O2484" s="3" t="s">
        <v>6545</v>
      </c>
      <c r="P2484" s="3" t="s">
        <v>6548</v>
      </c>
      <c r="Q2484" s="3" t="s">
        <v>6545</v>
      </c>
      <c r="R2484" s="3" t="s">
        <v>6545</v>
      </c>
      <c r="S2484" s="3" t="s">
        <v>6549</v>
      </c>
      <c r="T2484" s="3" t="s">
        <v>6550</v>
      </c>
      <c r="U2484" s="3" t="s">
        <v>6551</v>
      </c>
      <c r="V2484" s="3" t="s">
        <v>6545</v>
      </c>
      <c r="W2484" s="3" t="s">
        <v>6545</v>
      </c>
      <c r="X2484" s="3" t="s">
        <v>996</v>
      </c>
      <c r="Y2484" s="3" t="s">
        <v>6545</v>
      </c>
      <c r="Z2484" s="3" t="s">
        <v>6545</v>
      </c>
      <c r="AA2484" s="3" t="s">
        <v>6548</v>
      </c>
      <c r="AB2484" s="3" t="s">
        <v>6552</v>
      </c>
      <c r="AC2484" s="3" t="s">
        <v>6545</v>
      </c>
      <c r="AD2484" s="3" t="s">
        <v>6553</v>
      </c>
      <c r="AE2484" s="3" t="s">
        <v>6554</v>
      </c>
      <c r="AF2484" s="3" t="s">
        <v>6555</v>
      </c>
      <c r="AG2484" s="3" t="s">
        <v>6545</v>
      </c>
    </row>
    <row r="2485">
      <c r="A2485" s="3">
        <v>2463.0</v>
      </c>
      <c r="B2485" s="3" t="s">
        <v>189</v>
      </c>
      <c r="C2485" s="3" t="s">
        <v>190</v>
      </c>
      <c r="D2485" s="3" t="s">
        <v>6556</v>
      </c>
      <c r="E2485" s="3" t="s">
        <v>6467</v>
      </c>
      <c r="F2485" s="3" t="s">
        <v>6468</v>
      </c>
      <c r="G2485" s="3" t="str">
        <f>IFERROR(__xludf.DUMMYFUNCTION("GOOGLETRANSLATE(D2485,""fr"",""es"")"),"prueba")</f>
        <v>prueba</v>
      </c>
    </row>
    <row r="2486">
      <c r="A2486" s="3">
        <v>2464.0</v>
      </c>
      <c r="B2486" s="3" t="s">
        <v>189</v>
      </c>
      <c r="C2486" s="3" t="s">
        <v>190</v>
      </c>
      <c r="D2486" s="3" t="s">
        <v>6557</v>
      </c>
      <c r="E2486" s="3" t="s">
        <v>6467</v>
      </c>
      <c r="F2486" s="3" t="s">
        <v>6468</v>
      </c>
      <c r="G2486" s="3" t="str">
        <f>IFERROR(__xludf.DUMMYFUNCTION("GOOGLETRANSLATE(D2486,""fr"",""es"")"),"prueba")</f>
        <v>prueba</v>
      </c>
    </row>
    <row r="2487">
      <c r="A2487" s="3">
        <v>2465.0</v>
      </c>
      <c r="B2487" s="3" t="s">
        <v>189</v>
      </c>
      <c r="C2487" s="3" t="s">
        <v>190</v>
      </c>
      <c r="D2487" s="3" t="s">
        <v>6558</v>
      </c>
      <c r="E2487" s="3" t="s">
        <v>6467</v>
      </c>
      <c r="F2487" s="3" t="s">
        <v>6468</v>
      </c>
      <c r="G2487" s="3" t="str">
        <f>IFERROR(__xludf.DUMMYFUNCTION("GOOGLETRANSLATE(D2487,""fr"",""es"")"),"pruebas")</f>
        <v>pruebas</v>
      </c>
    </row>
    <row r="2488">
      <c r="A2488" s="3">
        <v>2466.0</v>
      </c>
      <c r="B2488" s="3" t="s">
        <v>189</v>
      </c>
      <c r="C2488" s="3" t="s">
        <v>190</v>
      </c>
      <c r="D2488" s="3" t="s">
        <v>6559</v>
      </c>
      <c r="E2488" s="3" t="s">
        <v>6467</v>
      </c>
      <c r="F2488" s="3" t="s">
        <v>6468</v>
      </c>
      <c r="G2488" s="3" t="str">
        <f>IFERROR(__xludf.DUMMYFUNCTION("GOOGLETRANSLATE(D2488,""fr"",""es"")"),"pruebas")</f>
        <v>pruebas</v>
      </c>
    </row>
    <row r="2489">
      <c r="A2489" s="3">
        <v>2467.0</v>
      </c>
      <c r="B2489" s="3" t="s">
        <v>189</v>
      </c>
      <c r="C2489" s="3" t="s">
        <v>190</v>
      </c>
      <c r="D2489" s="3" t="s">
        <v>6560</v>
      </c>
      <c r="E2489" s="3" t="s">
        <v>6310</v>
      </c>
      <c r="F2489" s="3" t="s">
        <v>6311</v>
      </c>
      <c r="G2489" s="3" t="str">
        <f>IFERROR(__xludf.DUMMYFUNCTION("GOOGLETRANSLATE(D2489,""fr"",""es"")"),"tailandés")</f>
        <v>tailandés</v>
      </c>
      <c r="H2489" s="3" t="s">
        <v>6561</v>
      </c>
      <c r="I2489" s="3" t="s">
        <v>6562</v>
      </c>
      <c r="J2489" s="3" t="s">
        <v>6563</v>
      </c>
      <c r="K2489" s="3" t="s">
        <v>6561</v>
      </c>
      <c r="L2489" s="3" t="s">
        <v>6562</v>
      </c>
      <c r="M2489" s="3" t="s">
        <v>6563</v>
      </c>
      <c r="N2489" s="3" t="s">
        <v>6561</v>
      </c>
      <c r="O2489" s="3" t="s">
        <v>6562</v>
      </c>
      <c r="P2489" s="3" t="s">
        <v>6563</v>
      </c>
      <c r="Q2489" s="3" t="s">
        <v>6561</v>
      </c>
      <c r="R2489" s="3" t="s">
        <v>6563</v>
      </c>
      <c r="S2489" s="3" t="s">
        <v>6564</v>
      </c>
      <c r="T2489" s="3" t="s">
        <v>6561</v>
      </c>
      <c r="U2489" s="3" t="s">
        <v>6562</v>
      </c>
      <c r="V2489" s="3" t="s">
        <v>6563</v>
      </c>
    </row>
    <row r="2490">
      <c r="A2490" s="3">
        <v>2468.0</v>
      </c>
      <c r="B2490" s="3" t="s">
        <v>189</v>
      </c>
      <c r="C2490" s="3" t="s">
        <v>190</v>
      </c>
      <c r="D2490" s="3" t="s">
        <v>6565</v>
      </c>
      <c r="E2490" s="3" t="s">
        <v>6566</v>
      </c>
      <c r="F2490" s="3" t="s">
        <v>6567</v>
      </c>
      <c r="G2490" s="3" t="str">
        <f>IFERROR(__xludf.DUMMYFUNCTION("GOOGLETRANSLATE(D2490,""fr"",""es"")"),"tema")</f>
        <v>tema</v>
      </c>
      <c r="H2490" s="3" t="s">
        <v>6568</v>
      </c>
      <c r="I2490" s="3" t="s">
        <v>6568</v>
      </c>
      <c r="J2490" s="3" t="s">
        <v>6569</v>
      </c>
      <c r="K2490" s="3" t="s">
        <v>6570</v>
      </c>
      <c r="L2490" s="3" t="s">
        <v>6571</v>
      </c>
      <c r="M2490" s="3" t="s">
        <v>5472</v>
      </c>
      <c r="N2490" s="3" t="s">
        <v>6004</v>
      </c>
      <c r="O2490" s="3" t="s">
        <v>6568</v>
      </c>
      <c r="P2490" s="3" t="s">
        <v>6572</v>
      </c>
      <c r="Q2490" s="3" t="s">
        <v>6573</v>
      </c>
      <c r="R2490" s="3" t="s">
        <v>6574</v>
      </c>
      <c r="S2490" s="3" t="s">
        <v>6575</v>
      </c>
      <c r="T2490" s="3" t="s">
        <v>6568</v>
      </c>
      <c r="U2490" s="3" t="s">
        <v>6576</v>
      </c>
      <c r="V2490" s="3" t="s">
        <v>6577</v>
      </c>
      <c r="W2490" s="3" t="s">
        <v>6568</v>
      </c>
      <c r="X2490" s="3" t="s">
        <v>6568</v>
      </c>
      <c r="Y2490" s="3" t="s">
        <v>6578</v>
      </c>
      <c r="Z2490" s="3" t="s">
        <v>6579</v>
      </c>
      <c r="AA2490" s="3" t="s">
        <v>6580</v>
      </c>
    </row>
    <row r="2491">
      <c r="A2491" s="3">
        <v>2469.0</v>
      </c>
      <c r="B2491" s="3" t="s">
        <v>189</v>
      </c>
      <c r="C2491" s="3" t="s">
        <v>190</v>
      </c>
      <c r="D2491" s="3" t="s">
        <v>6581</v>
      </c>
      <c r="E2491" s="3" t="s">
        <v>6566</v>
      </c>
      <c r="F2491" s="3" t="s">
        <v>6567</v>
      </c>
      <c r="G2491" s="3" t="str">
        <f>IFERROR(__xludf.DUMMYFUNCTION("GOOGLETRANSLATE(D2491,""fr"",""es"")"),"temas")</f>
        <v>temas</v>
      </c>
    </row>
    <row r="2492">
      <c r="A2492" s="3">
        <v>2470.0</v>
      </c>
      <c r="B2492" s="3" t="s">
        <v>189</v>
      </c>
      <c r="C2492" s="3" t="s">
        <v>190</v>
      </c>
      <c r="D2492" s="3" t="s">
        <v>6582</v>
      </c>
      <c r="E2492" s="3" t="s">
        <v>6583</v>
      </c>
      <c r="F2492" s="3" t="s">
        <v>6584</v>
      </c>
      <c r="G2492" s="3" t="str">
        <f>IFERROR(__xludf.DUMMYFUNCTION("GOOGLETRANSLATE(D2492,""fr"",""es"")"),"toquei")</f>
        <v>toquei</v>
      </c>
    </row>
    <row r="2493">
      <c r="A2493" s="3">
        <v>2471.0</v>
      </c>
      <c r="B2493" s="3" t="s">
        <v>189</v>
      </c>
      <c r="C2493" s="3" t="s">
        <v>190</v>
      </c>
      <c r="D2493" s="3" t="s">
        <v>6585</v>
      </c>
      <c r="E2493" s="3" t="s">
        <v>6583</v>
      </c>
      <c r="F2493" s="3" t="s">
        <v>6584</v>
      </c>
      <c r="G2493" s="3" t="str">
        <f>IFERROR(__xludf.DUMMYFUNCTION("GOOGLETRANSLATE(D2493,""fr"",""es"")"),"tocado")</f>
        <v>tocado</v>
      </c>
    </row>
    <row r="2494">
      <c r="A2494" s="3">
        <v>2472.0</v>
      </c>
      <c r="B2494" s="3" t="s">
        <v>189</v>
      </c>
      <c r="C2494" s="3" t="s">
        <v>190</v>
      </c>
      <c r="D2494" s="3" t="s">
        <v>6586</v>
      </c>
      <c r="E2494" s="3" t="s">
        <v>6583</v>
      </c>
      <c r="F2494" s="3" t="s">
        <v>6584</v>
      </c>
      <c r="G2494" s="3" t="str">
        <f>IFERROR(__xludf.DUMMYFUNCTION("GOOGLETRANSLATE(D2494,""fr"",""es"")"),"Touchais")</f>
        <v>Touchais</v>
      </c>
    </row>
    <row r="2495">
      <c r="A2495" s="3">
        <v>2473.0</v>
      </c>
      <c r="B2495" s="3" t="s">
        <v>189</v>
      </c>
      <c r="C2495" s="3" t="s">
        <v>190</v>
      </c>
      <c r="D2495" s="3" t="s">
        <v>6587</v>
      </c>
      <c r="E2495" s="3" t="s">
        <v>6583</v>
      </c>
      <c r="F2495" s="3" t="s">
        <v>6584</v>
      </c>
      <c r="G2495" s="3" t="str">
        <f>IFERROR(__xludf.DUMMYFUNCTION("GOOGLETRANSLATE(D2495,""fr"",""es"")"),"tocado")</f>
        <v>tocado</v>
      </c>
    </row>
    <row r="2496">
      <c r="A2496" s="3">
        <v>2474.0</v>
      </c>
      <c r="B2496" s="3" t="s">
        <v>189</v>
      </c>
      <c r="C2496" s="3" t="s">
        <v>190</v>
      </c>
      <c r="D2496" s="3" t="s">
        <v>6588</v>
      </c>
      <c r="E2496" s="3" t="s">
        <v>6589</v>
      </c>
      <c r="F2496" s="3" t="s">
        <v>6590</v>
      </c>
      <c r="G2496" s="3" t="str">
        <f>IFERROR(__xludf.DUMMYFUNCTION("GOOGLETRANSLATE(D2496,""fr"",""es"")"),"tocar")</f>
        <v>tocar</v>
      </c>
    </row>
    <row r="2497">
      <c r="A2497" s="3">
        <v>2475.0</v>
      </c>
      <c r="B2497" s="3" t="s">
        <v>189</v>
      </c>
      <c r="C2497" s="3" t="s">
        <v>190</v>
      </c>
      <c r="D2497" s="3" t="s">
        <v>6591</v>
      </c>
      <c r="E2497" s="3" t="s">
        <v>6592</v>
      </c>
      <c r="F2497" s="3" t="s">
        <v>6593</v>
      </c>
      <c r="G2497" s="3" t="str">
        <f>IFERROR(__xludf.DUMMYFUNCTION("GOOGLETRANSLATE(D2497,""fr"",""es"")"),"conmovedora")</f>
        <v>conmovedora</v>
      </c>
    </row>
    <row r="2498">
      <c r="A2498" s="3">
        <v>2476.0</v>
      </c>
      <c r="B2498" s="3" t="s">
        <v>189</v>
      </c>
      <c r="C2498" s="3" t="s">
        <v>190</v>
      </c>
      <c r="D2498" s="3" t="s">
        <v>6594</v>
      </c>
      <c r="E2498" s="3" t="s">
        <v>6592</v>
      </c>
      <c r="F2498" s="3" t="s">
        <v>6593</v>
      </c>
      <c r="G2498" s="3" t="str">
        <f>IFERROR(__xludf.DUMMYFUNCTION("GOOGLETRANSLATE(D2498,""fr"",""es"")"),"tocar")</f>
        <v>tocar</v>
      </c>
    </row>
    <row r="2499">
      <c r="A2499" s="3">
        <v>2477.0</v>
      </c>
      <c r="B2499" s="3" t="s">
        <v>189</v>
      </c>
      <c r="C2499" s="3" t="s">
        <v>190</v>
      </c>
      <c r="D2499" s="3" t="s">
        <v>6595</v>
      </c>
      <c r="E2499" s="3" t="s">
        <v>6592</v>
      </c>
      <c r="F2499" s="3" t="s">
        <v>6593</v>
      </c>
      <c r="G2499" s="3" t="str">
        <f>IFERROR(__xludf.DUMMYFUNCTION("GOOGLETRANSLATE(D2499,""fr"",""es"")"),"tocar")</f>
        <v>tocar</v>
      </c>
    </row>
    <row r="2500">
      <c r="A2500" s="3">
        <v>2478.0</v>
      </c>
      <c r="B2500" s="3" t="s">
        <v>189</v>
      </c>
      <c r="C2500" s="3" t="s">
        <v>190</v>
      </c>
      <c r="D2500" s="3" t="s">
        <v>6596</v>
      </c>
      <c r="E2500" s="3" t="s">
        <v>6597</v>
      </c>
      <c r="F2500" s="3" t="s">
        <v>6598</v>
      </c>
      <c r="G2500" s="3" t="str">
        <f>IFERROR(__xludf.DUMMYFUNCTION("GOOGLETRANSLATE(D2500,""fr"",""es"")"),"toques")</f>
        <v>toques</v>
      </c>
      <c r="H2500" s="3" t="s">
        <v>6599</v>
      </c>
      <c r="I2500" s="3" t="s">
        <v>6600</v>
      </c>
      <c r="J2500" s="3" t="s">
        <v>6601</v>
      </c>
      <c r="K2500" s="3" t="s">
        <v>6602</v>
      </c>
      <c r="L2500" s="3" t="s">
        <v>6603</v>
      </c>
      <c r="M2500" s="3" t="s">
        <v>6604</v>
      </c>
      <c r="N2500" s="3" t="s">
        <v>6605</v>
      </c>
      <c r="O2500" s="3" t="s">
        <v>6605</v>
      </c>
      <c r="P2500" s="3" t="s">
        <v>6605</v>
      </c>
      <c r="Q2500" s="3" t="s">
        <v>6606</v>
      </c>
      <c r="R2500" s="3" t="s">
        <v>6605</v>
      </c>
      <c r="S2500" s="3" t="s">
        <v>6605</v>
      </c>
      <c r="T2500" s="3" t="s">
        <v>6605</v>
      </c>
      <c r="U2500" s="3" t="s">
        <v>6607</v>
      </c>
      <c r="V2500" s="3" t="s">
        <v>6608</v>
      </c>
      <c r="W2500" s="3" t="s">
        <v>6609</v>
      </c>
      <c r="X2500" s="3" t="s">
        <v>6610</v>
      </c>
      <c r="Y2500" s="3" t="s">
        <v>6605</v>
      </c>
      <c r="Z2500" s="3" t="s">
        <v>6605</v>
      </c>
      <c r="AA2500" s="3" t="s">
        <v>6605</v>
      </c>
      <c r="AB2500" s="3" t="s">
        <v>6605</v>
      </c>
      <c r="AC2500" s="3" t="s">
        <v>6605</v>
      </c>
      <c r="AD2500" s="3" t="s">
        <v>6605</v>
      </c>
      <c r="AE2500" s="3" t="s">
        <v>2136</v>
      </c>
      <c r="AF2500" s="3" t="s">
        <v>6605</v>
      </c>
      <c r="AG2500" s="3" t="s">
        <v>6611</v>
      </c>
      <c r="AH2500" s="3" t="s">
        <v>6605</v>
      </c>
      <c r="AI2500" s="3" t="s">
        <v>6612</v>
      </c>
      <c r="AJ2500" s="3" t="s">
        <v>6613</v>
      </c>
      <c r="AK2500" s="3" t="s">
        <v>6614</v>
      </c>
      <c r="AL2500" s="3" t="s">
        <v>6615</v>
      </c>
      <c r="AM2500" s="3" t="s">
        <v>6616</v>
      </c>
      <c r="AN2500" s="3" t="s">
        <v>6617</v>
      </c>
      <c r="AO2500" s="3" t="s">
        <v>6605</v>
      </c>
      <c r="AP2500" s="3" t="s">
        <v>6605</v>
      </c>
    </row>
    <row r="2501">
      <c r="A2501" s="3">
        <v>2479.0</v>
      </c>
      <c r="B2501" s="3" t="s">
        <v>189</v>
      </c>
      <c r="C2501" s="3" t="s">
        <v>190</v>
      </c>
      <c r="D2501" s="3" t="s">
        <v>6618</v>
      </c>
      <c r="E2501" s="3" t="s">
        <v>6619</v>
      </c>
      <c r="F2501" s="3" t="s">
        <v>6620</v>
      </c>
      <c r="G2501" s="3" t="str">
        <f>IFERROR(__xludf.DUMMYFUNCTION("GOOGLETRANSLATE(D2501,""fr"",""es"")"),"toca todo")</f>
        <v>toca todo</v>
      </c>
      <c r="H2501" s="3" t="s">
        <v>6621</v>
      </c>
      <c r="I2501" s="3" t="s">
        <v>6622</v>
      </c>
      <c r="J2501" s="3" t="s">
        <v>6623</v>
      </c>
      <c r="K2501" s="3" t="s">
        <v>6624</v>
      </c>
      <c r="L2501" s="3" t="s">
        <v>6625</v>
      </c>
      <c r="M2501" s="3" t="s">
        <v>6626</v>
      </c>
      <c r="N2501" s="3" t="s">
        <v>6627</v>
      </c>
      <c r="O2501" s="3" t="s">
        <v>6628</v>
      </c>
    </row>
    <row r="2502">
      <c r="A2502" s="3">
        <v>2480.0</v>
      </c>
      <c r="B2502" s="3" t="s">
        <v>189</v>
      </c>
      <c r="C2502" s="3" t="s">
        <v>190</v>
      </c>
      <c r="D2502" s="3" t="s">
        <v>6629</v>
      </c>
      <c r="E2502" s="3" t="s">
        <v>6597</v>
      </c>
      <c r="F2502" s="3" t="s">
        <v>6598</v>
      </c>
      <c r="G2502" s="3" t="str">
        <f>IFERROR(__xludf.DUMMYFUNCTION("GOOGLETRANSLATE(D2502,""fr"",""es"")"),"tocar")</f>
        <v>tocar</v>
      </c>
    </row>
    <row r="2503">
      <c r="A2503" s="3">
        <v>2481.0</v>
      </c>
      <c r="B2503" s="3" t="s">
        <v>189</v>
      </c>
      <c r="C2503" s="3" t="s">
        <v>190</v>
      </c>
      <c r="D2503" s="3" t="s">
        <v>6630</v>
      </c>
      <c r="E2503" s="3" t="s">
        <v>6597</v>
      </c>
      <c r="F2503" s="3" t="s">
        <v>6598</v>
      </c>
      <c r="G2503" s="3" t="str">
        <f>IFERROR(__xludf.DUMMYFUNCTION("GOOGLETRANSLATE(D2503,""fr"",""es"")"),"llaves")</f>
        <v>llaves</v>
      </c>
    </row>
    <row r="2504">
      <c r="A2504" s="3">
        <v>2482.0</v>
      </c>
      <c r="B2504" s="3" t="s">
        <v>189</v>
      </c>
      <c r="C2504" s="3" t="s">
        <v>190</v>
      </c>
      <c r="D2504" s="3" t="s">
        <v>6631</v>
      </c>
      <c r="E2504" s="3" t="s">
        <v>6632</v>
      </c>
      <c r="F2504" s="3" t="s">
        <v>6633</v>
      </c>
      <c r="G2504" s="3" t="str">
        <f>IFERROR(__xludf.DUMMYFUNCTION("GOOGLETRANSLATE(D2504,""fr"",""es"")"),"Touillai")</f>
        <v>Touillai</v>
      </c>
    </row>
    <row r="2505">
      <c r="A2505" s="3">
        <v>2483.0</v>
      </c>
      <c r="B2505" s="3" t="s">
        <v>189</v>
      </c>
      <c r="C2505" s="3" t="s">
        <v>190</v>
      </c>
      <c r="D2505" s="3" t="s">
        <v>6634</v>
      </c>
      <c r="E2505" s="3" t="s">
        <v>6632</v>
      </c>
      <c r="F2505" s="3" t="s">
        <v>6633</v>
      </c>
      <c r="G2505" s="3" t="str">
        <f>IFERROR(__xludf.DUMMYFUNCTION("GOOGLETRANSLATE(D2505,""fr"",""es"")"),"estaba rutizando")</f>
        <v>estaba rutizando</v>
      </c>
    </row>
    <row r="2506">
      <c r="A2506" s="3">
        <v>2484.0</v>
      </c>
      <c r="B2506" s="3" t="s">
        <v>189</v>
      </c>
      <c r="C2506" s="3" t="s">
        <v>190</v>
      </c>
      <c r="D2506" s="3" t="s">
        <v>6635</v>
      </c>
      <c r="E2506" s="3" t="s">
        <v>6632</v>
      </c>
      <c r="F2506" s="3" t="s">
        <v>6633</v>
      </c>
      <c r="G2506" s="3" t="str">
        <f>IFERROR(__xludf.DUMMYFUNCTION("GOOGLETRANSLATE(D2506,""fr"",""es"")"),"Touillais")</f>
        <v>Touillais</v>
      </c>
    </row>
    <row r="2507">
      <c r="A2507" s="3">
        <v>2485.0</v>
      </c>
      <c r="B2507" s="3" t="s">
        <v>189</v>
      </c>
      <c r="C2507" s="3" t="s">
        <v>190</v>
      </c>
      <c r="D2507" s="3" t="s">
        <v>6636</v>
      </c>
      <c r="E2507" s="3" t="s">
        <v>6632</v>
      </c>
      <c r="F2507" s="3" t="s">
        <v>6633</v>
      </c>
      <c r="G2507" s="3" t="str">
        <f>IFERROR(__xludf.DUMMYFUNCTION("GOOGLETRANSLATE(D2507,""fr"",""es"")"),"de gira")</f>
        <v>de gira</v>
      </c>
    </row>
    <row r="2508">
      <c r="A2508" s="3">
        <v>2486.0</v>
      </c>
      <c r="B2508" s="3" t="s">
        <v>189</v>
      </c>
      <c r="C2508" s="3" t="s">
        <v>190</v>
      </c>
      <c r="D2508" s="3" t="s">
        <v>6637</v>
      </c>
      <c r="E2508" s="3" t="s">
        <v>6638</v>
      </c>
      <c r="F2508" s="3" t="s">
        <v>6639</v>
      </c>
      <c r="G2508" s="3" t="str">
        <f>IFERROR(__xludf.DUMMYFUNCTION("GOOGLETRANSLATE(D2508,""fr"",""es"")"),"touillâme")</f>
        <v>touillâme</v>
      </c>
    </row>
    <row r="2509">
      <c r="A2509" s="3">
        <v>2487.0</v>
      </c>
      <c r="B2509" s="3" t="s">
        <v>189</v>
      </c>
      <c r="C2509" s="3" t="s">
        <v>190</v>
      </c>
      <c r="D2509" s="3" t="s">
        <v>6640</v>
      </c>
      <c r="E2509" s="3" t="s">
        <v>6641</v>
      </c>
      <c r="F2509" s="3" t="s">
        <v>6642</v>
      </c>
      <c r="G2509" s="3" t="str">
        <f>IFERROR(__xludf.DUMMYFUNCTION("GOOGLETRANSLATE(D2509,""fr"",""es"")"),"touillage")</f>
        <v>touillage</v>
      </c>
    </row>
    <row r="2510">
      <c r="A2510" s="3">
        <v>2488.0</v>
      </c>
      <c r="B2510" s="3" t="s">
        <v>189</v>
      </c>
      <c r="C2510" s="3" t="s">
        <v>190</v>
      </c>
      <c r="D2510" s="3" t="s">
        <v>6643</v>
      </c>
      <c r="E2510" s="3" t="s">
        <v>6641</v>
      </c>
      <c r="F2510" s="3" t="s">
        <v>6642</v>
      </c>
      <c r="G2510" s="3" t="str">
        <f>IFERROR(__xludf.DUMMYFUNCTION("GOOGLETRANSLATE(D2510,""fr"",""es"")"),"Touillage")</f>
        <v>Touillage</v>
      </c>
    </row>
    <row r="2511">
      <c r="A2511" s="3">
        <v>2489.0</v>
      </c>
      <c r="B2511" s="3" t="s">
        <v>189</v>
      </c>
      <c r="C2511" s="3" t="s">
        <v>190</v>
      </c>
      <c r="D2511" s="3" t="s">
        <v>6644</v>
      </c>
      <c r="E2511" s="3" t="s">
        <v>6641</v>
      </c>
      <c r="F2511" s="3" t="s">
        <v>6642</v>
      </c>
      <c r="G2511" s="3" t="str">
        <f>IFERROR(__xludf.DUMMYFUNCTION("GOOGLETRANSLATE(D2511,""fr"",""es"")"),"touillasses")</f>
        <v>touillasses</v>
      </c>
    </row>
    <row r="2512">
      <c r="A2512" s="3">
        <v>2490.0</v>
      </c>
      <c r="B2512" s="3" t="s">
        <v>189</v>
      </c>
      <c r="C2512" s="3" t="s">
        <v>190</v>
      </c>
      <c r="D2512" s="3" t="s">
        <v>6645</v>
      </c>
      <c r="E2512" s="3" t="s">
        <v>6646</v>
      </c>
      <c r="F2512" s="3" t="s">
        <v>6647</v>
      </c>
      <c r="G2512" s="3" t="str">
        <f>IFERROR(__xludf.DUMMYFUNCTION("GOOGLETRANSLATE(D2512,""fr"",""es"")"),"sacudida")</f>
        <v>sacudida</v>
      </c>
    </row>
    <row r="2513">
      <c r="A2513" s="3">
        <v>2491.0</v>
      </c>
      <c r="B2513" s="3" t="s">
        <v>189</v>
      </c>
      <c r="C2513" s="3" t="s">
        <v>190</v>
      </c>
      <c r="D2513" s="3" t="s">
        <v>6648</v>
      </c>
      <c r="E2513" s="3" t="s">
        <v>6646</v>
      </c>
      <c r="F2513" s="3" t="s">
        <v>6647</v>
      </c>
      <c r="G2513" s="3" t="str">
        <f>IFERROR(__xludf.DUMMYFUNCTION("GOOGLETRANSLATE(D2513,""fr"",""es"")"),"Touille")</f>
        <v>Touille</v>
      </c>
    </row>
    <row r="2514">
      <c r="A2514" s="3">
        <v>2492.0</v>
      </c>
      <c r="B2514" s="3" t="s">
        <v>189</v>
      </c>
      <c r="C2514" s="3" t="s">
        <v>190</v>
      </c>
      <c r="D2514" s="3" t="s">
        <v>6649</v>
      </c>
      <c r="E2514" s="3" t="s">
        <v>6646</v>
      </c>
      <c r="F2514" s="3" t="s">
        <v>6647</v>
      </c>
      <c r="G2514" s="3" t="str">
        <f>IFERROR(__xludf.DUMMYFUNCTION("GOOGLETRANSLATE(D2514,""fr"",""es"")"),"medir")</f>
        <v>medir</v>
      </c>
    </row>
    <row r="2515">
      <c r="A2515" s="3">
        <v>2493.0</v>
      </c>
      <c r="B2515" s="3" t="s">
        <v>189</v>
      </c>
      <c r="C2515" s="3" t="s">
        <v>190</v>
      </c>
      <c r="D2515" s="3" t="s">
        <v>6650</v>
      </c>
      <c r="E2515" s="3" t="s">
        <v>6651</v>
      </c>
      <c r="F2515" s="3" t="s">
        <v>6652</v>
      </c>
      <c r="G2515" s="3" t="str">
        <f>IFERROR(__xludf.DUMMYFUNCTION("GOOGLETRANSLATE(D2515,""fr"",""es"")"),"toune")</f>
        <v>toune</v>
      </c>
    </row>
    <row r="2516">
      <c r="A2516" s="3">
        <v>2494.0</v>
      </c>
      <c r="B2516" s="3" t="s">
        <v>189</v>
      </c>
      <c r="C2516" s="3" t="s">
        <v>190</v>
      </c>
      <c r="D2516" s="3" t="s">
        <v>6653</v>
      </c>
      <c r="E2516" s="3" t="s">
        <v>6651</v>
      </c>
      <c r="F2516" s="3" t="s">
        <v>6652</v>
      </c>
      <c r="G2516" s="3" t="str">
        <f>IFERROR(__xludf.DUMMYFUNCTION("GOOGLETRANSLATE(D2516,""fr"",""es"")"),"tounes")</f>
        <v>tounes</v>
      </c>
    </row>
    <row r="2517">
      <c r="A2517" s="3">
        <v>2495.0</v>
      </c>
      <c r="B2517" s="3" t="s">
        <v>189</v>
      </c>
      <c r="C2517" s="3" t="s">
        <v>190</v>
      </c>
      <c r="D2517" s="3" t="s">
        <v>6654</v>
      </c>
      <c r="E2517" s="3" t="s">
        <v>6655</v>
      </c>
      <c r="F2517" s="3" t="s">
        <v>6656</v>
      </c>
      <c r="G2517" s="3" t="str">
        <f>IFERROR(__xludf.DUMMYFUNCTION("GOOGLETRANSLATE(D2517,""fr"",""es"")"),"toupet")</f>
        <v>toupet</v>
      </c>
      <c r="H2517" s="3" t="s">
        <v>6657</v>
      </c>
      <c r="I2517" s="3" t="s">
        <v>6658</v>
      </c>
      <c r="J2517" s="3" t="s">
        <v>6659</v>
      </c>
      <c r="K2517" s="3" t="s">
        <v>6660</v>
      </c>
      <c r="L2517" s="3" t="s">
        <v>6661</v>
      </c>
      <c r="M2517" s="3" t="s">
        <v>6662</v>
      </c>
      <c r="N2517" s="3" t="s">
        <v>6663</v>
      </c>
    </row>
    <row r="2518">
      <c r="A2518" s="3">
        <v>2496.0</v>
      </c>
      <c r="B2518" s="3" t="s">
        <v>189</v>
      </c>
      <c r="C2518" s="3" t="s">
        <v>190</v>
      </c>
      <c r="D2518" s="3" t="s">
        <v>6664</v>
      </c>
      <c r="E2518" s="3" t="s">
        <v>6655</v>
      </c>
      <c r="F2518" s="3" t="s">
        <v>6656</v>
      </c>
      <c r="G2518" s="3" t="str">
        <f>IFERROR(__xludf.DUMMYFUNCTION("GOOGLETRANSLATE(D2518,""fr"",""es"")"),"topets")</f>
        <v>topets</v>
      </c>
    </row>
    <row r="2519">
      <c r="A2519" s="3">
        <v>2497.0</v>
      </c>
      <c r="B2519" s="3" t="s">
        <v>189</v>
      </c>
      <c r="C2519" s="3" t="s">
        <v>190</v>
      </c>
      <c r="D2519" s="3" t="s">
        <v>6665</v>
      </c>
      <c r="E2519" s="3" t="s">
        <v>6666</v>
      </c>
      <c r="F2519" s="3" t="s">
        <v>6667</v>
      </c>
      <c r="G2519" s="3" t="str">
        <f>IFERROR(__xludf.DUMMYFUNCTION("GOOGLETRANSLATE(D2519,""fr"",""es"")"),"hilado")</f>
        <v>hilado</v>
      </c>
      <c r="H2519" s="3" t="s">
        <v>1957</v>
      </c>
      <c r="I2519" s="3" t="s">
        <v>6668</v>
      </c>
      <c r="J2519" s="3" t="s">
        <v>6669</v>
      </c>
      <c r="K2519" s="3" t="s">
        <v>6670</v>
      </c>
    </row>
    <row r="2520">
      <c r="A2520" s="3">
        <v>2498.0</v>
      </c>
      <c r="B2520" s="3" t="s">
        <v>189</v>
      </c>
      <c r="C2520" s="3" t="s">
        <v>190</v>
      </c>
      <c r="D2520" s="3" t="s">
        <v>6671</v>
      </c>
      <c r="E2520" s="3" t="s">
        <v>6666</v>
      </c>
      <c r="F2520" s="3" t="s">
        <v>6667</v>
      </c>
      <c r="G2520" s="3" t="str">
        <f>IFERROR(__xludf.DUMMYFUNCTION("GOOGLETRANSLATE(D2520,""fr"",""es"")"),"toupías")</f>
        <v>toupías</v>
      </c>
    </row>
    <row r="2521">
      <c r="A2521" s="3">
        <v>2499.0</v>
      </c>
      <c r="B2521" s="3" t="s">
        <v>189</v>
      </c>
      <c r="C2521" s="3" t="s">
        <v>190</v>
      </c>
      <c r="D2521" s="3" t="s">
        <v>6672</v>
      </c>
      <c r="E2521" s="3" t="s">
        <v>6673</v>
      </c>
      <c r="F2521" s="3" t="s">
        <v>6674</v>
      </c>
      <c r="G2521" s="3" t="str">
        <f>IFERROR(__xludf.DUMMYFUNCTION("GOOGLETRANSLATE(D2521,""fr"",""es"")"),"tos")</f>
        <v>tos</v>
      </c>
    </row>
    <row r="2522">
      <c r="A2522" s="3">
        <v>2500.0</v>
      </c>
      <c r="B2522" s="3" t="s">
        <v>189</v>
      </c>
      <c r="C2522" s="3" t="s">
        <v>190</v>
      </c>
      <c r="D2522" s="3" t="s">
        <v>6675</v>
      </c>
      <c r="E2522" s="3" t="s">
        <v>6673</v>
      </c>
      <c r="F2522" s="3" t="s">
        <v>6674</v>
      </c>
      <c r="G2522" s="3" t="str">
        <f>IFERROR(__xludf.DUMMYFUNCTION("GOOGLETRANSLATE(D2522,""fr"",""es"")"),"estaban tosiendo")</f>
        <v>estaban tosiendo</v>
      </c>
    </row>
    <row r="2523">
      <c r="A2523" s="3">
        <v>2501.0</v>
      </c>
      <c r="B2523" s="3" t="s">
        <v>189</v>
      </c>
      <c r="C2523" s="3" t="s">
        <v>190</v>
      </c>
      <c r="D2523" s="3" t="s">
        <v>6676</v>
      </c>
      <c r="E2523" s="3" t="s">
        <v>6673</v>
      </c>
      <c r="F2523" s="3" t="s">
        <v>6674</v>
      </c>
      <c r="G2523" s="3" t="str">
        <f>IFERROR(__xludf.DUMMYFUNCTION("GOOGLETRANSLATE(D2523,""fr"",""es"")"),"tos")</f>
        <v>tos</v>
      </c>
    </row>
    <row r="2524">
      <c r="A2524" s="3">
        <v>2502.0</v>
      </c>
      <c r="B2524" s="3" t="s">
        <v>189</v>
      </c>
      <c r="C2524" s="3" t="s">
        <v>190</v>
      </c>
      <c r="D2524" s="3" t="s">
        <v>6677</v>
      </c>
      <c r="E2524" s="3" t="s">
        <v>6673</v>
      </c>
      <c r="F2524" s="3" t="s">
        <v>6674</v>
      </c>
      <c r="G2524" s="3" t="str">
        <f>IFERROR(__xludf.DUMMYFUNCTION("GOOGLETRANSLATE(D2524,""fr"",""es"")"),"tos")</f>
        <v>tos</v>
      </c>
    </row>
    <row r="2525">
      <c r="A2525" s="3">
        <v>2503.0</v>
      </c>
      <c r="B2525" s="3" t="s">
        <v>189</v>
      </c>
      <c r="C2525" s="3" t="s">
        <v>190</v>
      </c>
      <c r="D2525" s="3" t="s">
        <v>6678</v>
      </c>
      <c r="E2525" s="3" t="s">
        <v>6679</v>
      </c>
      <c r="F2525" s="3" t="s">
        <v>6680</v>
      </c>
      <c r="G2525" s="3" t="str">
        <f>IFERROR(__xludf.DUMMYFUNCTION("GOOGLETRANSLATE(D2525,""fr"",""es"")"),"tos")</f>
        <v>tos</v>
      </c>
    </row>
    <row r="2526">
      <c r="A2526" s="3">
        <v>2504.0</v>
      </c>
      <c r="B2526" s="3" t="s">
        <v>189</v>
      </c>
      <c r="C2526" s="3" t="s">
        <v>190</v>
      </c>
      <c r="D2526" s="3" t="s">
        <v>6681</v>
      </c>
      <c r="E2526" s="3" t="s">
        <v>6682</v>
      </c>
      <c r="F2526" s="3" t="s">
        <v>6683</v>
      </c>
      <c r="G2526" s="3" t="str">
        <f>IFERROR(__xludf.DUMMYFUNCTION("GOOGLETRANSLATE(D2526,""fr"",""es"")"),"tos")</f>
        <v>tos</v>
      </c>
    </row>
    <row r="2527">
      <c r="A2527" s="3">
        <v>2505.0</v>
      </c>
      <c r="B2527" s="3" t="s">
        <v>189</v>
      </c>
      <c r="C2527" s="3" t="s">
        <v>190</v>
      </c>
      <c r="D2527" s="3" t="s">
        <v>6684</v>
      </c>
      <c r="E2527" s="3" t="s">
        <v>6682</v>
      </c>
      <c r="F2527" s="3" t="s">
        <v>6683</v>
      </c>
      <c r="G2527" s="3" t="str">
        <f>IFERROR(__xludf.DUMMYFUNCTION("GOOGLETRANSLATE(D2527,""fr"",""es"")"),"tos")</f>
        <v>tos</v>
      </c>
    </row>
    <row r="2528">
      <c r="A2528" s="3">
        <v>2506.0</v>
      </c>
      <c r="B2528" s="3" t="s">
        <v>189</v>
      </c>
      <c r="C2528" s="3" t="s">
        <v>190</v>
      </c>
      <c r="D2528" s="3" t="s">
        <v>6685</v>
      </c>
      <c r="E2528" s="3" t="s">
        <v>6682</v>
      </c>
      <c r="F2528" s="3" t="s">
        <v>6683</v>
      </c>
      <c r="G2528" s="3" t="str">
        <f>IFERROR(__xludf.DUMMYFUNCTION("GOOGLETRANSLATE(D2528,""fr"",""es"")"),"tos")</f>
        <v>tos</v>
      </c>
    </row>
    <row r="2529">
      <c r="A2529" s="3">
        <v>2507.0</v>
      </c>
      <c r="B2529" s="3" t="s">
        <v>189</v>
      </c>
      <c r="C2529" s="3" t="s">
        <v>190</v>
      </c>
      <c r="D2529" s="3" t="s">
        <v>6686</v>
      </c>
      <c r="E2529" s="3" t="s">
        <v>6687</v>
      </c>
      <c r="F2529" s="3" t="s">
        <v>6688</v>
      </c>
      <c r="G2529" s="3" t="str">
        <f>IFERROR(__xludf.DUMMYFUNCTION("GOOGLETRANSLATE(D2529,""fr"",""es"")"),"tos")</f>
        <v>tos</v>
      </c>
    </row>
    <row r="2530">
      <c r="A2530" s="3">
        <v>2508.0</v>
      </c>
      <c r="B2530" s="3" t="s">
        <v>189</v>
      </c>
      <c r="C2530" s="3" t="s">
        <v>190</v>
      </c>
      <c r="D2530" s="3" t="s">
        <v>6689</v>
      </c>
      <c r="E2530" s="3" t="s">
        <v>6687</v>
      </c>
      <c r="F2530" s="3" t="s">
        <v>6688</v>
      </c>
      <c r="G2530" s="3" t="str">
        <f>IFERROR(__xludf.DUMMYFUNCTION("GOOGLETRANSLATE(D2530,""fr"",""es"")"),"tos")</f>
        <v>tos</v>
      </c>
    </row>
    <row r="2531">
      <c r="A2531" s="3">
        <v>2509.0</v>
      </c>
      <c r="B2531" s="3" t="s">
        <v>189</v>
      </c>
      <c r="C2531" s="3" t="s">
        <v>190</v>
      </c>
      <c r="D2531" s="3" t="s">
        <v>6690</v>
      </c>
      <c r="E2531" s="3" t="s">
        <v>6687</v>
      </c>
      <c r="F2531" s="3" t="s">
        <v>6688</v>
      </c>
      <c r="G2531" s="3" t="str">
        <f>IFERROR(__xludf.DUMMYFUNCTION("GOOGLETRANSLATE(D2531,""fr"",""es"")"),"mostrador")</f>
        <v>mostrador</v>
      </c>
    </row>
    <row r="2532">
      <c r="A2532" s="3">
        <v>2510.0</v>
      </c>
      <c r="B2532" s="3" t="s">
        <v>189</v>
      </c>
      <c r="C2532" s="3" t="s">
        <v>190</v>
      </c>
      <c r="D2532" s="3" t="s">
        <v>6691</v>
      </c>
      <c r="E2532" s="3" t="s">
        <v>6692</v>
      </c>
      <c r="F2532" s="3" t="s">
        <v>6693</v>
      </c>
      <c r="G2532" s="3" t="str">
        <f>IFERROR(__xludf.DUMMYFUNCTION("GOOGLETRANSLATE(D2532,""fr"",""es"")"),"de repente")</f>
        <v>de repente</v>
      </c>
    </row>
    <row r="2533">
      <c r="A2533" s="3">
        <v>2511.0</v>
      </c>
      <c r="B2533" s="3" t="s">
        <v>189</v>
      </c>
      <c r="C2533" s="3" t="s">
        <v>190</v>
      </c>
      <c r="D2533" s="3" t="s">
        <v>6694</v>
      </c>
      <c r="E2533" s="3" t="s">
        <v>6695</v>
      </c>
      <c r="F2533" s="3" t="s">
        <v>6696</v>
      </c>
      <c r="G2533" s="3" t="str">
        <f>IFERROR(__xludf.DUMMYFUNCTION("GOOGLETRANSLATE(D2533,""fr"",""es"")"),"perrito")</f>
        <v>perrito</v>
      </c>
      <c r="H2533" s="3" t="s">
        <v>6697</v>
      </c>
      <c r="I2533" s="3" t="s">
        <v>6698</v>
      </c>
      <c r="J2533" s="3" t="s">
        <v>6699</v>
      </c>
      <c r="K2533" s="3" t="s">
        <v>6700</v>
      </c>
      <c r="L2533" s="3" t="s">
        <v>6701</v>
      </c>
    </row>
    <row r="2534">
      <c r="A2534" s="3">
        <v>2512.0</v>
      </c>
      <c r="B2534" s="3" t="s">
        <v>189</v>
      </c>
      <c r="C2534" s="3" t="s">
        <v>190</v>
      </c>
      <c r="D2534" s="3" t="s">
        <v>6702</v>
      </c>
      <c r="E2534" s="3" t="s">
        <v>6695</v>
      </c>
      <c r="F2534" s="3" t="s">
        <v>6696</v>
      </c>
      <c r="G2534" s="3" t="str">
        <f>IFERROR(__xludf.DUMMYFUNCTION("GOOGLETRANSLATE(D2534,""fr"",""es"")"),"perrito")</f>
        <v>perrito</v>
      </c>
    </row>
    <row r="2535">
      <c r="A2535" s="3">
        <v>2513.0</v>
      </c>
      <c r="B2535" s="3" t="s">
        <v>189</v>
      </c>
      <c r="C2535" s="3" t="s">
        <v>190</v>
      </c>
      <c r="D2535" s="3" t="s">
        <v>6703</v>
      </c>
      <c r="E2535" s="3" t="s">
        <v>6704</v>
      </c>
      <c r="F2535" s="3" t="s">
        <v>6705</v>
      </c>
      <c r="G2535" s="3" t="str">
        <f>IFERROR(__xludf.DUMMYFUNCTION("GOOGLETRANSLATE(D2535,""fr"",""es"")"),"tos")</f>
        <v>tos</v>
      </c>
      <c r="H2535" s="3" t="s">
        <v>6706</v>
      </c>
      <c r="I2535" s="3" t="s">
        <v>6706</v>
      </c>
      <c r="J2535" s="3" t="s">
        <v>6707</v>
      </c>
    </row>
    <row r="2536">
      <c r="A2536" s="3">
        <v>2514.0</v>
      </c>
      <c r="B2536" s="3" t="s">
        <v>189</v>
      </c>
      <c r="C2536" s="3" t="s">
        <v>190</v>
      </c>
      <c r="D2536" s="3" t="s">
        <v>6708</v>
      </c>
      <c r="E2536" s="3" t="s">
        <v>2267</v>
      </c>
      <c r="F2536" s="3" t="s">
        <v>2268</v>
      </c>
      <c r="G2536" s="3" t="str">
        <f>IFERROR(__xludf.DUMMYFUNCTION("GOOGLETRANSLATE(D2536,""fr"",""es"")"),"Y")</f>
        <v>Y</v>
      </c>
      <c r="H2536" s="3" t="s">
        <v>6709</v>
      </c>
      <c r="I2536" s="3" t="s">
        <v>6708</v>
      </c>
      <c r="J2536" s="3" t="s">
        <v>6710</v>
      </c>
      <c r="K2536" s="3" t="s">
        <v>6711</v>
      </c>
      <c r="L2536" s="3" t="s">
        <v>6709</v>
      </c>
      <c r="M2536" s="3" t="s">
        <v>6712</v>
      </c>
    </row>
    <row r="2537">
      <c r="A2537" s="3">
        <v>2515.0</v>
      </c>
      <c r="B2537" s="3" t="s">
        <v>189</v>
      </c>
      <c r="C2537" s="3" t="s">
        <v>190</v>
      </c>
      <c r="D2537" s="3" t="s">
        <v>6713</v>
      </c>
      <c r="E2537" s="3" t="s">
        <v>6714</v>
      </c>
      <c r="F2537" s="3" t="s">
        <v>6715</v>
      </c>
      <c r="G2537" s="3" t="str">
        <f>IFERROR(__xludf.DUMMYFUNCTION("GOOGLETRANSLATE(D2537,""fr"",""es"")"),"quemar")</f>
        <v>quemar</v>
      </c>
      <c r="H2537" s="3" t="s">
        <v>6715</v>
      </c>
      <c r="I2537" s="3" t="s">
        <v>6716</v>
      </c>
      <c r="J2537" s="3" t="s">
        <v>6715</v>
      </c>
      <c r="K2537" s="3" t="s">
        <v>6713</v>
      </c>
      <c r="L2537" s="3" t="s">
        <v>6717</v>
      </c>
      <c r="M2537" s="3" t="s">
        <v>6718</v>
      </c>
      <c r="N2537" s="3" t="s">
        <v>6719</v>
      </c>
    </row>
    <row r="2538">
      <c r="A2538" s="3">
        <v>2516.0</v>
      </c>
      <c r="B2538" s="3" t="s">
        <v>189</v>
      </c>
      <c r="C2538" s="3" t="s">
        <v>190</v>
      </c>
      <c r="D2538" s="3" t="s">
        <v>6720</v>
      </c>
      <c r="E2538" s="3" t="s">
        <v>6714</v>
      </c>
      <c r="F2538" s="3" t="s">
        <v>6715</v>
      </c>
      <c r="G2538" s="3" t="str">
        <f>IFERROR(__xludf.DUMMYFUNCTION("GOOGLETRANSLATE(D2538,""fr"",""es"")"),"ya")</f>
        <v>ya</v>
      </c>
    </row>
    <row r="2539">
      <c r="A2539" s="3">
        <v>2517.0</v>
      </c>
      <c r="B2539" s="3" t="s">
        <v>189</v>
      </c>
      <c r="C2539" s="3" t="s">
        <v>190</v>
      </c>
      <c r="D2539" s="3" t="s">
        <v>6715</v>
      </c>
      <c r="E2539" s="3" t="s">
        <v>6714</v>
      </c>
      <c r="F2539" s="3" t="s">
        <v>6715</v>
      </c>
      <c r="G2539" s="3" t="str">
        <f>IFERROR(__xludf.DUMMYFUNCTION("GOOGLETRANSLATE(D2539,""fr"",""es"")"),"yak")</f>
        <v>yak</v>
      </c>
      <c r="H2539" s="3" t="s">
        <v>6715</v>
      </c>
      <c r="I2539" s="3" t="s">
        <v>6716</v>
      </c>
      <c r="J2539" s="3" t="s">
        <v>6715</v>
      </c>
      <c r="K2539" s="3" t="s">
        <v>6713</v>
      </c>
      <c r="L2539" s="3" t="s">
        <v>6717</v>
      </c>
      <c r="M2539" s="3" t="s">
        <v>6718</v>
      </c>
      <c r="N2539" s="3" t="s">
        <v>6719</v>
      </c>
    </row>
    <row r="2540">
      <c r="A2540" s="3">
        <v>2518.0</v>
      </c>
      <c r="B2540" s="3" t="s">
        <v>189</v>
      </c>
      <c r="C2540" s="3" t="s">
        <v>190</v>
      </c>
      <c r="D2540" s="3" t="s">
        <v>6721</v>
      </c>
      <c r="E2540" s="3" t="s">
        <v>6714</v>
      </c>
      <c r="F2540" s="3" t="s">
        <v>6715</v>
      </c>
      <c r="G2540" s="3" t="str">
        <f>IFERROR(__xludf.DUMMYFUNCTION("GOOGLETRANSLATE(D2540,""fr"",""es"")"),"yaks")</f>
        <v>yaks</v>
      </c>
    </row>
    <row r="2541">
      <c r="A2541" s="3">
        <v>2519.0</v>
      </c>
      <c r="B2541" s="3" t="s">
        <v>189</v>
      </c>
      <c r="C2541" s="3" t="s">
        <v>190</v>
      </c>
      <c r="D2541" s="3" t="s">
        <v>6722</v>
      </c>
      <c r="E2541" s="3" t="s">
        <v>6723</v>
      </c>
      <c r="F2541" s="3" t="s">
        <v>6724</v>
      </c>
      <c r="G2541" s="3" t="str">
        <f>IFERROR(__xludf.DUMMYFUNCTION("GOOGLETRANSLATE(D2541,""fr"",""es"")"),"yass")</f>
        <v>yass</v>
      </c>
    </row>
    <row r="2542">
      <c r="A2542" s="3">
        <v>2520.0</v>
      </c>
      <c r="B2542" s="3" t="s">
        <v>189</v>
      </c>
      <c r="C2542" s="3" t="s">
        <v>190</v>
      </c>
      <c r="D2542" s="3" t="s">
        <v>6725</v>
      </c>
      <c r="E2542" s="3" t="s">
        <v>2329</v>
      </c>
      <c r="F2542" s="3" t="s">
        <v>2330</v>
      </c>
      <c r="G2542" s="3" t="str">
        <f>IFERROR(__xludf.DUMMYFUNCTION("GOOGLETRANSLATE(D2542,""fr"",""es"")"),"yen")</f>
        <v>yen</v>
      </c>
    </row>
    <row r="2543">
      <c r="A2543" s="3">
        <v>2521.0</v>
      </c>
      <c r="B2543" s="3" t="s">
        <v>189</v>
      </c>
      <c r="C2543" s="3" t="s">
        <v>190</v>
      </c>
      <c r="D2543" s="3" t="s">
        <v>6726</v>
      </c>
      <c r="E2543" s="3" t="s">
        <v>2329</v>
      </c>
      <c r="F2543" s="3" t="s">
        <v>2330</v>
      </c>
      <c r="G2543" s="3" t="str">
        <f>IFERROR(__xludf.DUMMYFUNCTION("GOOGLETRANSLATE(D2543,""fr"",""es"")"),"yen")</f>
        <v>yen</v>
      </c>
    </row>
    <row r="2544">
      <c r="A2544" s="3">
        <v>2522.0</v>
      </c>
      <c r="B2544" s="3" t="s">
        <v>189</v>
      </c>
      <c r="C2544" s="3" t="s">
        <v>190</v>
      </c>
      <c r="D2544" s="3" t="s">
        <v>6727</v>
      </c>
      <c r="E2544" s="3" t="s">
        <v>6728</v>
      </c>
      <c r="F2544" s="3" t="s">
        <v>6727</v>
      </c>
      <c r="G2544" s="3" t="str">
        <f>IFERROR(__xludf.DUMMYFUNCTION("GOOGLETRANSLATE(D2544,""fr"",""es"")"),"yin")</f>
        <v>yin</v>
      </c>
      <c r="H2544" s="3" t="s">
        <v>6727</v>
      </c>
    </row>
    <row r="2545">
      <c r="A2545" s="3">
        <v>2523.0</v>
      </c>
      <c r="B2545" s="3" t="s">
        <v>189</v>
      </c>
      <c r="C2545" s="3" t="s">
        <v>190</v>
      </c>
      <c r="D2545" s="3" t="s">
        <v>6729</v>
      </c>
      <c r="E2545" s="3" t="s">
        <v>6730</v>
      </c>
      <c r="F2545" s="3" t="s">
        <v>6731</v>
      </c>
      <c r="G2545" s="3" t="str">
        <f>IFERROR(__xludf.DUMMYFUNCTION("GOOGLETRANSLATE(D2545,""fr"",""es"")"),"Yoepi")</f>
        <v>Yoepi</v>
      </c>
      <c r="H2545" s="3" t="s">
        <v>6732</v>
      </c>
    </row>
    <row r="2546">
      <c r="A2546" s="3">
        <v>2524.0</v>
      </c>
      <c r="B2546" s="3" t="s">
        <v>189</v>
      </c>
      <c r="C2546" s="3" t="s">
        <v>190</v>
      </c>
      <c r="D2546" s="3" t="s">
        <v>6733</v>
      </c>
      <c r="E2546" s="3" t="s">
        <v>6734</v>
      </c>
      <c r="F2546" s="3" t="s">
        <v>6735</v>
      </c>
      <c r="G2546" s="3" t="str">
        <f>IFERROR(__xludf.DUMMYFUNCTION("GOOGLETRANSLATE(D2546,""fr"",""es"")"),"YouPine")</f>
        <v>YouPine</v>
      </c>
    </row>
    <row r="2547">
      <c r="A2547" s="3">
        <v>2525.0</v>
      </c>
      <c r="B2547" s="3" t="s">
        <v>189</v>
      </c>
      <c r="C2547" s="3" t="s">
        <v>190</v>
      </c>
      <c r="D2547" s="3" t="s">
        <v>6736</v>
      </c>
      <c r="E2547" s="3" t="s">
        <v>6734</v>
      </c>
      <c r="F2547" s="3" t="s">
        <v>6735</v>
      </c>
      <c r="G2547" s="3" t="str">
        <f>IFERROR(__xludf.DUMMYFUNCTION("GOOGLETRANSLATE(D2547,""fr"",""es"")"),"YouPines")</f>
        <v>YouPines</v>
      </c>
    </row>
    <row r="2548">
      <c r="A2548" s="3">
        <v>2526.0</v>
      </c>
      <c r="B2548" s="3" t="s">
        <v>189</v>
      </c>
      <c r="C2548" s="3" t="s">
        <v>190</v>
      </c>
      <c r="D2548" s="3" t="s">
        <v>6737</v>
      </c>
      <c r="E2548" s="3" t="s">
        <v>6730</v>
      </c>
      <c r="F2548" s="3" t="s">
        <v>6731</v>
      </c>
      <c r="G2548" s="3" t="str">
        <f>IFERROR(__xludf.DUMMYFUNCTION("GOOGLETRANSLATE(D2548,""fr"",""es"")"),"yuppie")</f>
        <v>yuppie</v>
      </c>
      <c r="H2548" s="3" t="s">
        <v>6737</v>
      </c>
    </row>
    <row r="2549">
      <c r="A2549" s="3">
        <v>1.0</v>
      </c>
      <c r="B2549" s="3" t="s">
        <v>6738</v>
      </c>
      <c r="C2549" s="3" t="s">
        <v>190</v>
      </c>
      <c r="D2549" s="3" t="s">
        <v>191</v>
      </c>
      <c r="E2549" s="3" t="s">
        <v>192</v>
      </c>
      <c r="F2549" s="3" t="s">
        <v>191</v>
      </c>
      <c r="G2549" s="3" t="str">
        <f>IFERROR(__xludf.DUMMYFUNCTION("GOOGLETRANSLATE(D2549,""fr"",""es"")"),"posee")</f>
        <v>posee</v>
      </c>
      <c r="H2549" s="3" t="s">
        <v>193</v>
      </c>
      <c r="I2549" s="3" t="s">
        <v>194</v>
      </c>
      <c r="J2549" s="3" t="s">
        <v>195</v>
      </c>
      <c r="K2549" s="3" t="s">
        <v>196</v>
      </c>
      <c r="L2549" s="3" t="s">
        <v>197</v>
      </c>
      <c r="M2549" s="3" t="s">
        <v>198</v>
      </c>
    </row>
    <row r="2550">
      <c r="A2550" s="3">
        <v>2.0</v>
      </c>
      <c r="B2550" s="3" t="s">
        <v>6738</v>
      </c>
      <c r="C2550" s="3" t="s">
        <v>190</v>
      </c>
      <c r="D2550" s="3" t="s">
        <v>198</v>
      </c>
      <c r="E2550" s="3" t="s">
        <v>192</v>
      </c>
      <c r="F2550" s="3" t="s">
        <v>191</v>
      </c>
      <c r="G2550" s="3" t="str">
        <f>IFERROR(__xludf.DUMMYFUNCTION("GOOGLETRANSLATE(D2550,""fr"",""es"")"),"POSEE")</f>
        <v>POSEE</v>
      </c>
      <c r="H2550" s="3" t="s">
        <v>193</v>
      </c>
      <c r="I2550" s="3" t="s">
        <v>194</v>
      </c>
      <c r="J2550" s="3" t="s">
        <v>195</v>
      </c>
      <c r="K2550" s="3" t="s">
        <v>196</v>
      </c>
      <c r="L2550" s="3" t="s">
        <v>197</v>
      </c>
      <c r="M2550" s="3" t="s">
        <v>198</v>
      </c>
    </row>
    <row r="2551">
      <c r="A2551" s="3">
        <v>3.0</v>
      </c>
      <c r="B2551" s="3" t="s">
        <v>6738</v>
      </c>
      <c r="C2551" s="3" t="s">
        <v>190</v>
      </c>
      <c r="D2551" s="3" t="s">
        <v>199</v>
      </c>
      <c r="E2551" s="3" t="s">
        <v>192</v>
      </c>
      <c r="F2551" s="3" t="s">
        <v>191</v>
      </c>
      <c r="G2551" s="3" t="str">
        <f>IFERROR(__xludf.DUMMYFUNCTION("GOOGLETRANSLATE(D2551,""fr"",""es"")"),"a")</f>
        <v>a</v>
      </c>
      <c r="H2551" s="3" t="s">
        <v>200</v>
      </c>
      <c r="I2551" s="3" t="s">
        <v>201</v>
      </c>
      <c r="J2551" s="3" t="s">
        <v>202</v>
      </c>
      <c r="K2551" s="3" t="s">
        <v>203</v>
      </c>
      <c r="L2551" s="3" t="s">
        <v>204</v>
      </c>
      <c r="M2551" s="3" t="s">
        <v>121</v>
      </c>
      <c r="N2551" s="3" t="s">
        <v>122</v>
      </c>
      <c r="O2551" s="3" t="s">
        <v>123</v>
      </c>
    </row>
    <row r="2552">
      <c r="A2552" s="3">
        <v>4.0</v>
      </c>
      <c r="B2552" s="3" t="s">
        <v>6738</v>
      </c>
      <c r="C2552" s="3" t="s">
        <v>190</v>
      </c>
      <c r="D2552" s="3" t="s">
        <v>205</v>
      </c>
      <c r="E2552" s="3" t="s">
        <v>206</v>
      </c>
      <c r="F2552" s="3" t="s">
        <v>207</v>
      </c>
      <c r="G2552" s="3" t="str">
        <f>IFERROR(__xludf.DUMMYFUNCTION("GOOGLETRANSLATE(D2552,""fr"",""es"")"),"De repente")</f>
        <v>De repente</v>
      </c>
      <c r="H2552" s="3" t="s">
        <v>208</v>
      </c>
      <c r="I2552" s="3" t="s">
        <v>209</v>
      </c>
      <c r="J2552" s="3" t="s">
        <v>210</v>
      </c>
      <c r="K2552" s="3" t="s">
        <v>211</v>
      </c>
      <c r="L2552" s="3" t="s">
        <v>212</v>
      </c>
      <c r="M2552" s="3" t="s">
        <v>213</v>
      </c>
      <c r="N2552" s="3" t="s">
        <v>214</v>
      </c>
      <c r="O2552" s="3" t="s">
        <v>215</v>
      </c>
    </row>
    <row r="2553">
      <c r="A2553" s="3">
        <v>5.0</v>
      </c>
      <c r="B2553" s="3" t="s">
        <v>6738</v>
      </c>
      <c r="C2553" s="3" t="s">
        <v>190</v>
      </c>
      <c r="D2553" s="3" t="s">
        <v>216</v>
      </c>
      <c r="E2553" s="3" t="s">
        <v>206</v>
      </c>
      <c r="F2553" s="3" t="s">
        <v>207</v>
      </c>
      <c r="G2553" s="3" t="str">
        <f>IFERROR(__xludf.DUMMYFUNCTION("GOOGLETRANSLATE(D2553,""fr"",""es"")"),"a golpes")</f>
        <v>a golpes</v>
      </c>
      <c r="H2553" s="3" t="s">
        <v>212</v>
      </c>
    </row>
    <row r="2554">
      <c r="A2554" s="3">
        <v>6.0</v>
      </c>
      <c r="B2554" s="3" t="s">
        <v>6738</v>
      </c>
      <c r="C2554" s="3" t="s">
        <v>190</v>
      </c>
      <c r="D2554" s="3" t="s">
        <v>217</v>
      </c>
      <c r="E2554" s="3" t="s">
        <v>6739</v>
      </c>
      <c r="F2554" s="3" t="s">
        <v>219</v>
      </c>
      <c r="G2554" s="3" t="str">
        <f>IFERROR(__xludf.DUMMYFUNCTION("GOOGLETRANSLATE(D2554,""fr"",""es"")"),"recogedor")</f>
        <v>recogedor</v>
      </c>
    </row>
    <row r="2555">
      <c r="A2555" s="3">
        <v>7.0</v>
      </c>
      <c r="B2555" s="3" t="s">
        <v>6738</v>
      </c>
      <c r="C2555" s="3" t="s">
        <v>190</v>
      </c>
      <c r="D2555" s="3" t="s">
        <v>6740</v>
      </c>
      <c r="E2555" s="3" t="s">
        <v>6741</v>
      </c>
      <c r="F2555" s="3" t="s">
        <v>222</v>
      </c>
      <c r="G2555" s="3" t="str">
        <f>IFERROR(__xludf.DUMMYFUNCTION("GOOGLETRANSLATE(D2555,""fr"",""es"")"),"dar a luz")</f>
        <v>dar a luz</v>
      </c>
    </row>
    <row r="2556">
      <c r="A2556" s="3">
        <v>8.0</v>
      </c>
      <c r="B2556" s="3" t="s">
        <v>6738</v>
      </c>
      <c r="C2556" s="3" t="s">
        <v>190</v>
      </c>
      <c r="D2556" s="3" t="s">
        <v>226</v>
      </c>
      <c r="E2556" s="3" t="s">
        <v>6742</v>
      </c>
      <c r="F2556" s="3" t="s">
        <v>228</v>
      </c>
      <c r="G2556" s="3" t="str">
        <f>IFERROR(__xludf.DUMMYFUNCTION("GOOGLETRANSLATE(D2556,""fr"",""es"")"),"nacimiento")</f>
        <v>nacimiento</v>
      </c>
    </row>
    <row r="2557">
      <c r="A2557" s="3">
        <v>9.0</v>
      </c>
      <c r="B2557" s="3" t="s">
        <v>6738</v>
      </c>
      <c r="C2557" s="3" t="s">
        <v>190</v>
      </c>
      <c r="D2557" s="3" t="s">
        <v>6743</v>
      </c>
      <c r="E2557" s="3" t="s">
        <v>6741</v>
      </c>
      <c r="F2557" s="3" t="s">
        <v>222</v>
      </c>
      <c r="G2557" s="3" t="str">
        <f>IFERROR(__xludf.DUMMYFUNCTION("GOOGLETRANSLATE(D2557,""fr"",""es"")"),"donación")</f>
        <v>donación</v>
      </c>
    </row>
    <row r="2558">
      <c r="A2558" s="3">
        <v>10.0</v>
      </c>
      <c r="B2558" s="3" t="s">
        <v>6738</v>
      </c>
      <c r="C2558" s="3" t="s">
        <v>190</v>
      </c>
      <c r="D2558" s="3" t="s">
        <v>229</v>
      </c>
      <c r="E2558" s="3" t="s">
        <v>6744</v>
      </c>
      <c r="F2558" s="3" t="s">
        <v>231</v>
      </c>
      <c r="G2558" s="3" t="str">
        <f>IFERROR(__xludf.DUMMYFUNCTION("GOOGLETRANSLATE(D2558,""fr"",""es"")"),"Dar a luz")</f>
        <v>Dar a luz</v>
      </c>
    </row>
    <row r="2559">
      <c r="A2559" s="3">
        <v>11.0</v>
      </c>
      <c r="B2559" s="3" t="s">
        <v>6738</v>
      </c>
      <c r="C2559" s="3" t="s">
        <v>190</v>
      </c>
      <c r="D2559" s="3" t="s">
        <v>232</v>
      </c>
      <c r="E2559" s="3" t="s">
        <v>6744</v>
      </c>
      <c r="F2559" s="3" t="s">
        <v>231</v>
      </c>
      <c r="G2559" s="3" t="str">
        <f>IFERROR(__xludf.DUMMYFUNCTION("GOOGLETRANSLATE(D2559,""fr"",""es"")"),"dar a luz")</f>
        <v>dar a luz</v>
      </c>
    </row>
    <row r="2560">
      <c r="A2560" s="3">
        <v>12.0</v>
      </c>
      <c r="B2560" s="3" t="s">
        <v>6738</v>
      </c>
      <c r="C2560" s="3" t="s">
        <v>190</v>
      </c>
      <c r="D2560" s="3" t="s">
        <v>233</v>
      </c>
      <c r="E2560" s="3" t="s">
        <v>6744</v>
      </c>
      <c r="F2560" s="3" t="s">
        <v>231</v>
      </c>
      <c r="G2560" s="3" t="str">
        <f>IFERROR(__xludf.DUMMYFUNCTION("GOOGLETRANSLATE(D2560,""fr"",""es"")"),"Dar a luz")</f>
        <v>Dar a luz</v>
      </c>
    </row>
    <row r="2561">
      <c r="A2561" s="3">
        <v>13.0</v>
      </c>
      <c r="B2561" s="3" t="s">
        <v>6738</v>
      </c>
      <c r="C2561" s="3" t="s">
        <v>190</v>
      </c>
      <c r="D2561" s="3" t="s">
        <v>6745</v>
      </c>
      <c r="E2561" s="3" t="s">
        <v>6741</v>
      </c>
      <c r="F2561" s="3" t="s">
        <v>222</v>
      </c>
      <c r="G2561" s="3" t="str">
        <f>IFERROR(__xludf.DUMMYFUNCTION("GOOGLETRANSLATE(D2561,""fr"",""es"")"),"dar a luz")</f>
        <v>dar a luz</v>
      </c>
    </row>
    <row r="2562">
      <c r="A2562" s="3">
        <v>14.0</v>
      </c>
      <c r="B2562" s="3" t="s">
        <v>6738</v>
      </c>
      <c r="C2562" s="3" t="s">
        <v>190</v>
      </c>
      <c r="D2562" s="3" t="s">
        <v>234</v>
      </c>
      <c r="E2562" s="3" t="s">
        <v>6746</v>
      </c>
      <c r="F2562" s="3" t="s">
        <v>236</v>
      </c>
      <c r="G2562" s="3" t="str">
        <f>IFERROR(__xludf.DUMMYFUNCTION("GOOGLETRANSLATE(D2562,""fr"",""es"")"),"dar a luz")</f>
        <v>dar a luz</v>
      </c>
    </row>
    <row r="2563">
      <c r="A2563" s="3">
        <v>15.0</v>
      </c>
      <c r="B2563" s="3" t="s">
        <v>6738</v>
      </c>
      <c r="C2563" s="3" t="s">
        <v>190</v>
      </c>
      <c r="D2563" s="3" t="s">
        <v>237</v>
      </c>
      <c r="E2563" s="3" t="s">
        <v>6746</v>
      </c>
      <c r="F2563" s="3" t="s">
        <v>236</v>
      </c>
      <c r="G2563" s="3" t="str">
        <f>IFERROR(__xludf.DUMMYFUNCTION("GOOGLETRANSLATE(D2563,""fr"",""es"")"),"dar a luz")</f>
        <v>dar a luz</v>
      </c>
    </row>
    <row r="2564">
      <c r="A2564" s="3">
        <v>16.0</v>
      </c>
      <c r="B2564" s="3" t="s">
        <v>6738</v>
      </c>
      <c r="C2564" s="3" t="s">
        <v>190</v>
      </c>
      <c r="D2564" s="3" t="s">
        <v>238</v>
      </c>
      <c r="E2564" s="3" t="s">
        <v>6746</v>
      </c>
      <c r="F2564" s="3" t="s">
        <v>236</v>
      </c>
      <c r="G2564" s="3" t="str">
        <f>IFERROR(__xludf.DUMMYFUNCTION("GOOGLETRANSLATE(D2564,""fr"",""es"")"),"cumpleaños")</f>
        <v>cumpleaños</v>
      </c>
    </row>
    <row r="2565">
      <c r="A2565" s="3">
        <v>17.0</v>
      </c>
      <c r="B2565" s="3" t="s">
        <v>6738</v>
      </c>
      <c r="C2565" s="3" t="s">
        <v>190</v>
      </c>
      <c r="D2565" s="3" t="s">
        <v>6747</v>
      </c>
      <c r="E2565" s="3" t="s">
        <v>6748</v>
      </c>
      <c r="F2565" s="3" t="s">
        <v>6749</v>
      </c>
      <c r="G2565" s="3" t="str">
        <f>IFERROR(__xludf.DUMMYFUNCTION("GOOGLETRANSLATE(D2565,""fr"",""es"")"),"compra")</f>
        <v>compra</v>
      </c>
      <c r="H2565" s="3" t="s">
        <v>6750</v>
      </c>
      <c r="I2565" s="3" t="s">
        <v>6751</v>
      </c>
      <c r="J2565" s="3" t="s">
        <v>6752</v>
      </c>
      <c r="K2565" s="3" t="s">
        <v>6753</v>
      </c>
      <c r="L2565" s="3" t="s">
        <v>6754</v>
      </c>
      <c r="M2565" s="3" t="s">
        <v>6755</v>
      </c>
      <c r="N2565" s="3" t="s">
        <v>6756</v>
      </c>
      <c r="O2565" s="3" t="s">
        <v>6757</v>
      </c>
      <c r="P2565" s="3" t="s">
        <v>6758</v>
      </c>
      <c r="Q2565" s="3" t="s">
        <v>6750</v>
      </c>
      <c r="R2565" s="3" t="s">
        <v>6759</v>
      </c>
      <c r="S2565" s="3" t="s">
        <v>6750</v>
      </c>
      <c r="T2565" s="3" t="s">
        <v>6760</v>
      </c>
      <c r="U2565" s="3" t="s">
        <v>6750</v>
      </c>
      <c r="V2565" s="3" t="s">
        <v>6761</v>
      </c>
      <c r="W2565" s="3" t="s">
        <v>6762</v>
      </c>
      <c r="X2565" s="3" t="s">
        <v>6763</v>
      </c>
    </row>
    <row r="2566">
      <c r="A2566" s="3">
        <v>18.0</v>
      </c>
      <c r="B2566" s="3" t="s">
        <v>6738</v>
      </c>
      <c r="C2566" s="3" t="s">
        <v>190</v>
      </c>
      <c r="D2566" s="3" t="s">
        <v>6764</v>
      </c>
      <c r="E2566" s="3" t="s">
        <v>6748</v>
      </c>
      <c r="F2566" s="3" t="s">
        <v>6749</v>
      </c>
      <c r="G2566" s="3" t="str">
        <f>IFERROR(__xludf.DUMMYFUNCTION("GOOGLETRANSLATE(D2566,""fr"",""es"")"),"compras")</f>
        <v>compras</v>
      </c>
      <c r="H2566" s="3" t="s">
        <v>6765</v>
      </c>
      <c r="I2566" s="3" t="s">
        <v>6766</v>
      </c>
      <c r="J2566" s="3" t="s">
        <v>6767</v>
      </c>
    </row>
    <row r="2567">
      <c r="A2567" s="3">
        <v>19.0</v>
      </c>
      <c r="B2567" s="3" t="s">
        <v>6738</v>
      </c>
      <c r="C2567" s="3" t="s">
        <v>190</v>
      </c>
      <c r="D2567" s="3" t="s">
        <v>257</v>
      </c>
      <c r="E2567" s="3" t="s">
        <v>6768</v>
      </c>
      <c r="F2567" s="3" t="s">
        <v>259</v>
      </c>
      <c r="G2567" s="3" t="str">
        <f>IFERROR(__xludf.DUMMYFUNCTION("GOOGLETRANSLATE(D2567,""fr"",""es"")"),"Achille")</f>
        <v>Achille</v>
      </c>
      <c r="H2567" s="3" t="s">
        <v>260</v>
      </c>
      <c r="I2567" s="3" t="s">
        <v>261</v>
      </c>
      <c r="J2567" s="3" t="s">
        <v>262</v>
      </c>
      <c r="K2567" s="3" t="s">
        <v>263</v>
      </c>
      <c r="L2567" s="3" t="s">
        <v>264</v>
      </c>
      <c r="M2567" s="3" t="s">
        <v>265</v>
      </c>
      <c r="N2567" s="3" t="s">
        <v>266</v>
      </c>
    </row>
    <row r="2568">
      <c r="A2568" s="3">
        <v>20.0</v>
      </c>
      <c r="B2568" s="3" t="s">
        <v>6738</v>
      </c>
      <c r="C2568" s="3" t="s">
        <v>190</v>
      </c>
      <c r="D2568" s="3" t="s">
        <v>271</v>
      </c>
      <c r="E2568" s="3" t="s">
        <v>272</v>
      </c>
      <c r="F2568" s="3" t="s">
        <v>273</v>
      </c>
      <c r="G2568" s="3" t="str">
        <f>IFERROR(__xludf.DUMMYFUNCTION("GOOGLETRANSLATE(D2568,""fr"",""es"")"),"adquirido")</f>
        <v>adquirido</v>
      </c>
      <c r="H2568" s="3" t="s">
        <v>274</v>
      </c>
      <c r="I2568" s="3" t="s">
        <v>275</v>
      </c>
    </row>
    <row r="2569">
      <c r="A2569" s="3">
        <v>21.0</v>
      </c>
      <c r="B2569" s="3" t="s">
        <v>6738</v>
      </c>
      <c r="C2569" s="3" t="s">
        <v>190</v>
      </c>
      <c r="D2569" s="3" t="s">
        <v>276</v>
      </c>
      <c r="E2569" s="3" t="s">
        <v>272</v>
      </c>
      <c r="F2569" s="3" t="s">
        <v>273</v>
      </c>
      <c r="G2569" s="3" t="str">
        <f>IFERROR(__xludf.DUMMYFUNCTION("GOOGLETRANSLATE(D2569,""fr"",""es"")"),"absolver")</f>
        <v>absolver</v>
      </c>
    </row>
    <row r="2570">
      <c r="A2570" s="3">
        <v>22.0</v>
      </c>
      <c r="B2570" s="3" t="s">
        <v>6738</v>
      </c>
      <c r="C2570" s="3" t="s">
        <v>190</v>
      </c>
      <c r="D2570" s="3" t="s">
        <v>277</v>
      </c>
      <c r="E2570" s="3" t="s">
        <v>272</v>
      </c>
      <c r="F2570" s="3" t="s">
        <v>273</v>
      </c>
      <c r="G2570" s="3" t="str">
        <f>IFERROR(__xludf.DUMMYFUNCTION("GOOGLETRANSLATE(D2570,""fr"",""es"")"),"absurdo")</f>
        <v>absurdo</v>
      </c>
    </row>
    <row r="2571">
      <c r="A2571" s="3">
        <v>23.0</v>
      </c>
      <c r="B2571" s="3" t="s">
        <v>6738</v>
      </c>
      <c r="C2571" s="3" t="s">
        <v>190</v>
      </c>
      <c r="D2571" s="3" t="s">
        <v>6769</v>
      </c>
      <c r="E2571" s="3" t="s">
        <v>6770</v>
      </c>
      <c r="F2571" s="3" t="s">
        <v>280</v>
      </c>
      <c r="G2571" s="3" t="str">
        <f>IFERROR(__xludf.DUMMYFUNCTION("GOOGLETRANSLATE(D2571,""fr"",""es"")"),"absoluto")</f>
        <v>absoluto</v>
      </c>
    </row>
    <row r="2572">
      <c r="A2572" s="3">
        <v>24.0</v>
      </c>
      <c r="B2572" s="3" t="s">
        <v>6738</v>
      </c>
      <c r="C2572" s="3" t="s">
        <v>190</v>
      </c>
      <c r="D2572" s="3" t="s">
        <v>284</v>
      </c>
      <c r="E2572" s="3" t="s">
        <v>6771</v>
      </c>
      <c r="F2572" s="3" t="s">
        <v>286</v>
      </c>
      <c r="G2572" s="3" t="str">
        <f>IFERROR(__xludf.DUMMYFUNCTION("GOOGLETRANSLATE(D2572,""fr"",""es"")"),"absoluto")</f>
        <v>absoluto</v>
      </c>
    </row>
    <row r="2573">
      <c r="A2573" s="3">
        <v>25.0</v>
      </c>
      <c r="B2573" s="3" t="s">
        <v>6738</v>
      </c>
      <c r="C2573" s="3" t="s">
        <v>190</v>
      </c>
      <c r="D2573" s="3" t="s">
        <v>6772</v>
      </c>
      <c r="E2573" s="3" t="s">
        <v>6770</v>
      </c>
      <c r="F2573" s="3" t="s">
        <v>280</v>
      </c>
      <c r="G2573" s="3" t="str">
        <f>IFERROR(__xludf.DUMMYFUNCTION("GOOGLETRANSLATE(D2573,""fr"",""es"")"),"abogados")</f>
        <v>abogados</v>
      </c>
    </row>
    <row r="2574">
      <c r="A2574" s="3">
        <v>26.0</v>
      </c>
      <c r="B2574" s="3" t="s">
        <v>6738</v>
      </c>
      <c r="C2574" s="3" t="s">
        <v>190</v>
      </c>
      <c r="D2574" s="3" t="s">
        <v>287</v>
      </c>
      <c r="E2574" s="3" t="s">
        <v>6773</v>
      </c>
      <c r="F2574" s="3" t="s">
        <v>289</v>
      </c>
      <c r="G2574" s="3" t="str">
        <f>IFERROR(__xludf.DUMMYFUNCTION("GOOGLETRANSLATE(D2574,""fr"",""es"")"),"abogado")</f>
        <v>abogado</v>
      </c>
    </row>
    <row r="2575">
      <c r="A2575" s="3">
        <v>27.0</v>
      </c>
      <c r="B2575" s="3" t="s">
        <v>6738</v>
      </c>
      <c r="C2575" s="3" t="s">
        <v>190</v>
      </c>
      <c r="D2575" s="3" t="s">
        <v>290</v>
      </c>
      <c r="E2575" s="3" t="s">
        <v>6773</v>
      </c>
      <c r="F2575" s="3" t="s">
        <v>289</v>
      </c>
      <c r="G2575" s="3" t="str">
        <f>IFERROR(__xludf.DUMMYFUNCTION("GOOGLETRANSLATE(D2575,""fr"",""es"")"),"absolver")</f>
        <v>absolver</v>
      </c>
    </row>
    <row r="2576">
      <c r="A2576" s="3">
        <v>28.0</v>
      </c>
      <c r="B2576" s="3" t="s">
        <v>6738</v>
      </c>
      <c r="C2576" s="3" t="s">
        <v>190</v>
      </c>
      <c r="D2576" s="3" t="s">
        <v>291</v>
      </c>
      <c r="E2576" s="3" t="s">
        <v>6773</v>
      </c>
      <c r="F2576" s="3" t="s">
        <v>289</v>
      </c>
      <c r="G2576" s="3" t="str">
        <f>IFERROR(__xludf.DUMMYFUNCTION("GOOGLETRANSLATE(D2576,""fr"",""es"")"),"incorporación")</f>
        <v>incorporación</v>
      </c>
    </row>
    <row r="2577">
      <c r="A2577" s="3">
        <v>29.0</v>
      </c>
      <c r="B2577" s="3" t="s">
        <v>6738</v>
      </c>
      <c r="C2577" s="3" t="s">
        <v>190</v>
      </c>
      <c r="D2577" s="3" t="s">
        <v>6774</v>
      </c>
      <c r="E2577" s="3" t="s">
        <v>6770</v>
      </c>
      <c r="F2577" s="3" t="s">
        <v>280</v>
      </c>
      <c r="G2577" s="3" t="str">
        <f>IFERROR(__xludf.DUMMYFUNCTION("GOOGLETRANSLATE(D2577,""fr"",""es"")"),"abogado")</f>
        <v>abogado</v>
      </c>
    </row>
    <row r="2578">
      <c r="A2578" s="3">
        <v>30.0</v>
      </c>
      <c r="B2578" s="3" t="s">
        <v>6738</v>
      </c>
      <c r="C2578" s="3" t="s">
        <v>190</v>
      </c>
      <c r="D2578" s="3" t="s">
        <v>339</v>
      </c>
      <c r="E2578" s="3" t="s">
        <v>192</v>
      </c>
      <c r="F2578" s="3" t="s">
        <v>191</v>
      </c>
      <c r="G2578" s="3" t="str">
        <f>IFERROR(__xludf.DUMMYFUNCTION("GOOGLETRANSLATE(D2578,""fr"",""es"")"),"ahorcado")</f>
        <v>ahorcado</v>
      </c>
    </row>
    <row r="2579">
      <c r="A2579" s="3">
        <v>31.0</v>
      </c>
      <c r="B2579" s="3" t="s">
        <v>6738</v>
      </c>
      <c r="C2579" s="3" t="s">
        <v>190</v>
      </c>
      <c r="D2579" s="3" t="s">
        <v>352</v>
      </c>
      <c r="E2579" s="3" t="s">
        <v>353</v>
      </c>
      <c r="F2579" s="3" t="s">
        <v>354</v>
      </c>
      <c r="G2579" s="3" t="str">
        <f>IFERROR(__xludf.DUMMYFUNCTION("GOOGLETRANSLATE(D2579,""fr"",""es"")"),"Ay")</f>
        <v>Ay</v>
      </c>
    </row>
    <row r="2580">
      <c r="A2580" s="3">
        <v>32.0</v>
      </c>
      <c r="B2580" s="3" t="s">
        <v>6738</v>
      </c>
      <c r="C2580" s="3" t="s">
        <v>190</v>
      </c>
      <c r="D2580" s="3" t="s">
        <v>357</v>
      </c>
      <c r="E2580" s="3" t="s">
        <v>353</v>
      </c>
      <c r="F2580" s="3" t="s">
        <v>354</v>
      </c>
      <c r="G2580" s="3" t="str">
        <f>IFERROR(__xludf.DUMMYFUNCTION("GOOGLETRANSLATE(D2580,""fr"",""es"")"),"ajo")</f>
        <v>ajo</v>
      </c>
      <c r="H2580" s="3" t="s">
        <v>358</v>
      </c>
      <c r="I2580" s="3" t="s">
        <v>357</v>
      </c>
      <c r="J2580" s="3" t="s">
        <v>358</v>
      </c>
      <c r="K2580" s="3" t="s">
        <v>359</v>
      </c>
    </row>
    <row r="2581">
      <c r="A2581" s="3">
        <v>33.0</v>
      </c>
      <c r="B2581" s="3" t="s">
        <v>6738</v>
      </c>
      <c r="C2581" s="3" t="s">
        <v>190</v>
      </c>
      <c r="D2581" s="3" t="s">
        <v>6775</v>
      </c>
      <c r="E2581" s="3" t="s">
        <v>376</v>
      </c>
      <c r="F2581" s="3" t="s">
        <v>377</v>
      </c>
      <c r="G2581" s="3" t="str">
        <f>IFERROR(__xludf.DUMMYFUNCTION("GOOGLETRANSLATE(D2581,""fr"",""es"")"),"Ailla")</f>
        <v>Ailla</v>
      </c>
    </row>
    <row r="2582">
      <c r="A2582" s="3">
        <v>34.0</v>
      </c>
      <c r="B2582" s="3" t="s">
        <v>6738</v>
      </c>
      <c r="C2582" s="3" t="s">
        <v>190</v>
      </c>
      <c r="D2582" s="3" t="s">
        <v>381</v>
      </c>
      <c r="E2582" s="3" t="s">
        <v>382</v>
      </c>
      <c r="F2582" s="3" t="s">
        <v>383</v>
      </c>
      <c r="G2582" s="3" t="str">
        <f>IFERROR(__xludf.DUMMYFUNCTION("GOOGLETRANSLATE(D2582,""fr"",""es"")"),"aillâme")</f>
        <v>aillâme</v>
      </c>
    </row>
    <row r="2583">
      <c r="A2583" s="3">
        <v>35.0</v>
      </c>
      <c r="B2583" s="3" t="s">
        <v>6738</v>
      </c>
      <c r="C2583" s="3" t="s">
        <v>190</v>
      </c>
      <c r="D2583" s="3" t="s">
        <v>6776</v>
      </c>
      <c r="E2583" s="3" t="s">
        <v>376</v>
      </c>
      <c r="F2583" s="3" t="s">
        <v>377</v>
      </c>
      <c r="G2583" s="3" t="str">
        <f>IFERROR(__xludf.DUMMYFUNCTION("GOOGLETRANSLATE(D2583,""fr"",""es"")"),"aillas")</f>
        <v>aillas</v>
      </c>
    </row>
    <row r="2584">
      <c r="A2584" s="3">
        <v>36.0</v>
      </c>
      <c r="B2584" s="3" t="s">
        <v>6738</v>
      </c>
      <c r="C2584" s="3" t="s">
        <v>190</v>
      </c>
      <c r="D2584" s="3" t="s">
        <v>384</v>
      </c>
      <c r="E2584" s="3" t="s">
        <v>385</v>
      </c>
      <c r="F2584" s="3" t="s">
        <v>386</v>
      </c>
      <c r="G2584" s="3" t="str">
        <f>IFERROR(__xludf.DUMMYFUNCTION("GOOGLETRANSLATE(D2584,""fr"",""es"")"),"aillasse")</f>
        <v>aillasse</v>
      </c>
    </row>
    <row r="2585">
      <c r="A2585" s="3">
        <v>37.0</v>
      </c>
      <c r="B2585" s="3" t="s">
        <v>6738</v>
      </c>
      <c r="C2585" s="3" t="s">
        <v>190</v>
      </c>
      <c r="D2585" s="3" t="s">
        <v>387</v>
      </c>
      <c r="E2585" s="3" t="s">
        <v>385</v>
      </c>
      <c r="F2585" s="3" t="s">
        <v>386</v>
      </c>
      <c r="G2585" s="3" t="str">
        <f>IFERROR(__xludf.DUMMYFUNCTION("GOOGLETRANSLATE(D2585,""fr"",""es"")"),"molestar")</f>
        <v>molestar</v>
      </c>
    </row>
    <row r="2586">
      <c r="A2586" s="3">
        <v>38.0</v>
      </c>
      <c r="B2586" s="3" t="s">
        <v>6738</v>
      </c>
      <c r="C2586" s="3" t="s">
        <v>190</v>
      </c>
      <c r="D2586" s="3" t="s">
        <v>388</v>
      </c>
      <c r="E2586" s="3" t="s">
        <v>385</v>
      </c>
      <c r="F2586" s="3" t="s">
        <v>386</v>
      </c>
      <c r="G2586" s="3" t="str">
        <f>IFERROR(__xludf.DUMMYFUNCTION("GOOGLETRANSLATE(D2586,""fr"",""es"")"),"aillses")</f>
        <v>aillses</v>
      </c>
    </row>
    <row r="2587">
      <c r="A2587" s="3">
        <v>39.0</v>
      </c>
      <c r="B2587" s="3" t="s">
        <v>6738</v>
      </c>
      <c r="C2587" s="3" t="s">
        <v>190</v>
      </c>
      <c r="D2587" s="3" t="s">
        <v>6777</v>
      </c>
      <c r="E2587" s="3" t="s">
        <v>376</v>
      </c>
      <c r="F2587" s="3" t="s">
        <v>377</v>
      </c>
      <c r="G2587" s="3" t="str">
        <f>IFERROR(__xludf.DUMMYFUNCTION("GOOGLETRANSLATE(D2587,""fr"",""es"")"),"aillât")</f>
        <v>aillât</v>
      </c>
    </row>
    <row r="2588">
      <c r="A2588" s="3">
        <v>40.0</v>
      </c>
      <c r="B2588" s="3" t="s">
        <v>6738</v>
      </c>
      <c r="C2588" s="3" t="s">
        <v>190</v>
      </c>
      <c r="D2588" s="3" t="s">
        <v>389</v>
      </c>
      <c r="E2588" s="3" t="s">
        <v>353</v>
      </c>
      <c r="F2588" s="3" t="s">
        <v>354</v>
      </c>
      <c r="G2588" s="3" t="str">
        <f>IFERROR(__xludf.DUMMYFUNCTION("GOOGLETRANSLATE(D2588,""fr"",""es"")"),"ala")</f>
        <v>ala</v>
      </c>
    </row>
    <row r="2589">
      <c r="A2589" s="3">
        <v>41.0</v>
      </c>
      <c r="B2589" s="3" t="s">
        <v>6738</v>
      </c>
      <c r="C2589" s="3" t="s">
        <v>190</v>
      </c>
      <c r="D2589" s="3" t="s">
        <v>390</v>
      </c>
      <c r="E2589" s="3" t="s">
        <v>353</v>
      </c>
      <c r="F2589" s="3" t="s">
        <v>354</v>
      </c>
      <c r="G2589" s="3" t="str">
        <f>IFERROR(__xludf.DUMMYFUNCTION("GOOGLETRANSLATE(D2589,""fr"",""es"")"),"Vamos")</f>
        <v>Vamos</v>
      </c>
    </row>
    <row r="2590">
      <c r="A2590" s="3">
        <v>42.0</v>
      </c>
      <c r="B2590" s="3" t="s">
        <v>6738</v>
      </c>
      <c r="C2590" s="3" t="s">
        <v>190</v>
      </c>
      <c r="D2590" s="3" t="s">
        <v>391</v>
      </c>
      <c r="E2590" s="3" t="s">
        <v>353</v>
      </c>
      <c r="F2590" s="3" t="s">
        <v>354</v>
      </c>
      <c r="G2590" s="3" t="str">
        <f>IFERROR(__xludf.DUMMYFUNCTION("GOOGLETRANSLATE(D2590,""fr"",""es"")"),"heridas")</f>
        <v>heridas</v>
      </c>
    </row>
    <row r="2591">
      <c r="A2591" s="3">
        <v>43.0</v>
      </c>
      <c r="B2591" s="3" t="s">
        <v>6738</v>
      </c>
      <c r="C2591" s="3" t="s">
        <v>190</v>
      </c>
      <c r="D2591" s="3" t="s">
        <v>392</v>
      </c>
      <c r="E2591" s="3" t="s">
        <v>353</v>
      </c>
      <c r="F2591" s="3" t="s">
        <v>354</v>
      </c>
      <c r="G2591" s="3" t="str">
        <f>IFERROR(__xludf.DUMMYFUNCTION("GOOGLETRANSLATE(D2591,""fr"",""es"")"),"almacenamiento")</f>
        <v>almacenamiento</v>
      </c>
    </row>
    <row r="2592">
      <c r="A2592" s="3">
        <v>44.0</v>
      </c>
      <c r="B2592" s="3" t="s">
        <v>6738</v>
      </c>
      <c r="C2592" s="3" t="s">
        <v>190</v>
      </c>
      <c r="D2592" s="3" t="s">
        <v>362</v>
      </c>
      <c r="E2592" s="3" t="s">
        <v>361</v>
      </c>
      <c r="F2592" s="3" t="s">
        <v>362</v>
      </c>
      <c r="G2592" s="3" t="str">
        <f>IFERROR(__xludf.DUMMYFUNCTION("GOOGLETRANSLATE(D2592,""fr"",""es"")"),"Alabama")</f>
        <v>Alabama</v>
      </c>
      <c r="H2592" s="3" t="s">
        <v>438</v>
      </c>
      <c r="I2592" s="3" t="s">
        <v>439</v>
      </c>
      <c r="J2592" s="3" t="s">
        <v>440</v>
      </c>
      <c r="K2592" s="3" t="s">
        <v>441</v>
      </c>
      <c r="L2592" s="3" t="s">
        <v>442</v>
      </c>
    </row>
    <row r="2593">
      <c r="A2593" s="3">
        <v>45.0</v>
      </c>
      <c r="B2593" s="3" t="s">
        <v>6738</v>
      </c>
      <c r="C2593" s="3" t="s">
        <v>190</v>
      </c>
      <c r="D2593" s="3" t="s">
        <v>443</v>
      </c>
      <c r="E2593" s="3" t="s">
        <v>361</v>
      </c>
      <c r="F2593" s="3" t="s">
        <v>362</v>
      </c>
      <c r="G2593" s="3" t="str">
        <f>IFERROR(__xludf.DUMMYFUNCTION("GOOGLETRANSLATE(D2593,""fr"",""es"")"),"cerveza inglesa")</f>
        <v>cerveza inglesa</v>
      </c>
      <c r="H2593" s="3" t="s">
        <v>443</v>
      </c>
      <c r="I2593" s="3" t="s">
        <v>443</v>
      </c>
    </row>
    <row r="2594">
      <c r="A2594" s="3">
        <v>46.0</v>
      </c>
      <c r="B2594" s="3" t="s">
        <v>6738</v>
      </c>
      <c r="C2594" s="3" t="s">
        <v>190</v>
      </c>
      <c r="D2594" s="3" t="s">
        <v>444</v>
      </c>
      <c r="E2594" s="3" t="s">
        <v>361</v>
      </c>
      <c r="F2594" s="3" t="s">
        <v>362</v>
      </c>
      <c r="G2594" s="3" t="str">
        <f>IFERROR(__xludf.DUMMYFUNCTION("GOOGLETRANSLATE(D2594,""fr"",""es"")"),"a los")</f>
        <v>a los</v>
      </c>
    </row>
    <row r="2595">
      <c r="A2595" s="3">
        <v>47.0</v>
      </c>
      <c r="B2595" s="3" t="s">
        <v>6738</v>
      </c>
      <c r="C2595" s="3" t="s">
        <v>190</v>
      </c>
      <c r="D2595" s="3" t="s">
        <v>6778</v>
      </c>
      <c r="E2595" s="3" t="s">
        <v>446</v>
      </c>
      <c r="F2595" s="3" t="s">
        <v>447</v>
      </c>
      <c r="G2595" s="3" t="str">
        <f>IFERROR(__xludf.DUMMYFUNCTION("GOOGLETRANSLATE(D2595,""fr"",""es"")"),"Aligna")</f>
        <v>Aligna</v>
      </c>
    </row>
    <row r="2596">
      <c r="A2596" s="3">
        <v>48.0</v>
      </c>
      <c r="B2596" s="3" t="s">
        <v>6738</v>
      </c>
      <c r="C2596" s="3" t="s">
        <v>190</v>
      </c>
      <c r="D2596" s="3" t="s">
        <v>451</v>
      </c>
      <c r="E2596" s="3" t="s">
        <v>452</v>
      </c>
      <c r="F2596" s="3" t="s">
        <v>453</v>
      </c>
      <c r="G2596" s="3" t="str">
        <f>IFERROR(__xludf.DUMMYFUNCTION("GOOGLETRANSLATE(D2596,""fr"",""es"")"),"alinear")</f>
        <v>alinear</v>
      </c>
    </row>
    <row r="2597">
      <c r="A2597" s="3">
        <v>49.0</v>
      </c>
      <c r="B2597" s="3" t="s">
        <v>6738</v>
      </c>
      <c r="C2597" s="3" t="s">
        <v>190</v>
      </c>
      <c r="D2597" s="3" t="s">
        <v>6779</v>
      </c>
      <c r="E2597" s="3" t="s">
        <v>446</v>
      </c>
      <c r="F2597" s="3" t="s">
        <v>447</v>
      </c>
      <c r="G2597" s="3" t="str">
        <f>IFERROR(__xludf.DUMMYFUNCTION("GOOGLETRANSLATE(D2597,""fr"",""es"")"),"alignas")</f>
        <v>alignas</v>
      </c>
    </row>
    <row r="2598">
      <c r="A2598" s="3">
        <v>50.0</v>
      </c>
      <c r="B2598" s="3" t="s">
        <v>6738</v>
      </c>
      <c r="C2598" s="3" t="s">
        <v>190</v>
      </c>
      <c r="D2598" s="3" t="s">
        <v>454</v>
      </c>
      <c r="E2598" s="3" t="s">
        <v>455</v>
      </c>
      <c r="F2598" s="3" t="s">
        <v>456</v>
      </c>
      <c r="G2598" s="3" t="str">
        <f>IFERROR(__xludf.DUMMYFUNCTION("GOOGLETRANSLATE(D2598,""fr"",""es"")"),"alignasa")</f>
        <v>alignasa</v>
      </c>
    </row>
    <row r="2599">
      <c r="A2599" s="3">
        <v>51.0</v>
      </c>
      <c r="B2599" s="3" t="s">
        <v>6738</v>
      </c>
      <c r="C2599" s="3" t="s">
        <v>190</v>
      </c>
      <c r="D2599" s="3" t="s">
        <v>457</v>
      </c>
      <c r="E2599" s="3" t="s">
        <v>455</v>
      </c>
      <c r="F2599" s="3" t="s">
        <v>456</v>
      </c>
      <c r="G2599" s="3" t="str">
        <f>IFERROR(__xludf.DUMMYFUNCTION("GOOGLETRANSLATE(D2599,""fr"",""es"")"),"alineado")</f>
        <v>alineado</v>
      </c>
    </row>
    <row r="2600">
      <c r="A2600" s="3">
        <v>52.0</v>
      </c>
      <c r="B2600" s="3" t="s">
        <v>6738</v>
      </c>
      <c r="C2600" s="3" t="s">
        <v>190</v>
      </c>
      <c r="D2600" s="3" t="s">
        <v>458</v>
      </c>
      <c r="E2600" s="3" t="s">
        <v>455</v>
      </c>
      <c r="F2600" s="3" t="s">
        <v>456</v>
      </c>
      <c r="G2600" s="3" t="str">
        <f>IFERROR(__xludf.DUMMYFUNCTION("GOOGLETRANSLATE(D2600,""fr"",""es"")"),"alineado")</f>
        <v>alineado</v>
      </c>
    </row>
    <row r="2601">
      <c r="A2601" s="3">
        <v>53.0</v>
      </c>
      <c r="B2601" s="3" t="s">
        <v>6738</v>
      </c>
      <c r="C2601" s="3" t="s">
        <v>190</v>
      </c>
      <c r="D2601" s="3" t="s">
        <v>6780</v>
      </c>
      <c r="E2601" s="3" t="s">
        <v>446</v>
      </c>
      <c r="F2601" s="3" t="s">
        <v>447</v>
      </c>
      <c r="G2601" s="3" t="str">
        <f>IFERROR(__xludf.DUMMYFUNCTION("GOOGLETRANSLATE(D2601,""fr"",""es"")"),"alinearse")</f>
        <v>alinearse</v>
      </c>
    </row>
    <row r="2602">
      <c r="A2602" s="3">
        <v>54.0</v>
      </c>
      <c r="B2602" s="3" t="s">
        <v>6738</v>
      </c>
      <c r="C2602" s="3" t="s">
        <v>190</v>
      </c>
      <c r="D2602" s="3" t="s">
        <v>459</v>
      </c>
      <c r="E2602" s="3" t="s">
        <v>460</v>
      </c>
      <c r="F2602" s="3" t="s">
        <v>461</v>
      </c>
      <c r="G2602" s="3" t="str">
        <f>IFERROR(__xludf.DUMMYFUNCTION("GOOGLETRANSLATE(D2602,""fr"",""es"")"),"alinear")</f>
        <v>alinear</v>
      </c>
    </row>
    <row r="2603">
      <c r="A2603" s="3">
        <v>55.0</v>
      </c>
      <c r="B2603" s="3" t="s">
        <v>6738</v>
      </c>
      <c r="C2603" s="3" t="s">
        <v>190</v>
      </c>
      <c r="D2603" s="3" t="s">
        <v>462</v>
      </c>
      <c r="E2603" s="3" t="s">
        <v>460</v>
      </c>
      <c r="F2603" s="3" t="s">
        <v>461</v>
      </c>
      <c r="G2603" s="3" t="str">
        <f>IFERROR(__xludf.DUMMYFUNCTION("GOOGLETRANSLATE(D2603,""fr"",""es"")"),"alinear")</f>
        <v>alinear</v>
      </c>
    </row>
    <row r="2604">
      <c r="A2604" s="3">
        <v>56.0</v>
      </c>
      <c r="B2604" s="3" t="s">
        <v>6738</v>
      </c>
      <c r="C2604" s="3" t="s">
        <v>190</v>
      </c>
      <c r="D2604" s="3" t="s">
        <v>463</v>
      </c>
      <c r="E2604" s="3" t="s">
        <v>460</v>
      </c>
      <c r="F2604" s="3" t="s">
        <v>461</v>
      </c>
      <c r="G2604" s="3" t="str">
        <f>IFERROR(__xludf.DUMMYFUNCTION("GOOGLETRANSLATE(D2604,""fr"",""es"")"),"alignes")</f>
        <v>alignes</v>
      </c>
    </row>
    <row r="2605">
      <c r="A2605" s="3">
        <v>57.0</v>
      </c>
      <c r="B2605" s="3" t="s">
        <v>6738</v>
      </c>
      <c r="C2605" s="3" t="s">
        <v>190</v>
      </c>
      <c r="D2605" s="3" t="s">
        <v>466</v>
      </c>
      <c r="E2605" s="3" t="s">
        <v>6781</v>
      </c>
      <c r="F2605" s="3" t="s">
        <v>466</v>
      </c>
      <c r="G2605" s="3" t="str">
        <f>IFERROR(__xludf.DUMMYFUNCTION("GOOGLETRANSLATE(D2605,""fr"",""es"")"),"Alita")</f>
        <v>Alita</v>
      </c>
    </row>
    <row r="2606">
      <c r="A2606" s="3">
        <v>58.0</v>
      </c>
      <c r="B2606" s="3" t="s">
        <v>6738</v>
      </c>
      <c r="C2606" s="3" t="s">
        <v>190</v>
      </c>
      <c r="D2606" s="3" t="s">
        <v>470</v>
      </c>
      <c r="E2606" s="3" t="s">
        <v>6782</v>
      </c>
      <c r="F2606" s="3" t="s">
        <v>472</v>
      </c>
      <c r="G2606" s="3" t="str">
        <f>IFERROR(__xludf.DUMMYFUNCTION("GOOGLETRANSLATE(D2606,""fr"",""es"")"),"alitâme")</f>
        <v>alitâme</v>
      </c>
    </row>
    <row r="2607">
      <c r="A2607" s="3">
        <v>59.0</v>
      </c>
      <c r="B2607" s="3" t="s">
        <v>6738</v>
      </c>
      <c r="C2607" s="3" t="s">
        <v>190</v>
      </c>
      <c r="D2607" s="3" t="s">
        <v>475</v>
      </c>
      <c r="E2607" s="3" t="s">
        <v>6781</v>
      </c>
      <c r="F2607" s="3" t="s">
        <v>466</v>
      </c>
      <c r="G2607" s="3" t="str">
        <f>IFERROR(__xludf.DUMMYFUNCTION("GOOGLETRANSLATE(D2607,""fr"",""es"")"),"Alitas")</f>
        <v>Alitas</v>
      </c>
    </row>
    <row r="2608">
      <c r="A2608" s="3">
        <v>60.0</v>
      </c>
      <c r="B2608" s="3" t="s">
        <v>6738</v>
      </c>
      <c r="C2608" s="3" t="s">
        <v>190</v>
      </c>
      <c r="D2608" s="3" t="s">
        <v>473</v>
      </c>
      <c r="E2608" s="3" t="s">
        <v>6783</v>
      </c>
      <c r="F2608" s="3" t="s">
        <v>475</v>
      </c>
      <c r="G2608" s="3" t="str">
        <f>IFERROR(__xludf.DUMMYFUNCTION("GOOGLETRANSLATE(D2608,""fr"",""es"")"),"alitasse")</f>
        <v>alitasse</v>
      </c>
    </row>
    <row r="2609">
      <c r="A2609" s="3">
        <v>61.0</v>
      </c>
      <c r="B2609" s="3" t="s">
        <v>6738</v>
      </c>
      <c r="C2609" s="3" t="s">
        <v>190</v>
      </c>
      <c r="D2609" s="3" t="s">
        <v>476</v>
      </c>
      <c r="E2609" s="3" t="s">
        <v>6783</v>
      </c>
      <c r="F2609" s="3" t="s">
        <v>475</v>
      </c>
      <c r="G2609" s="3" t="str">
        <f>IFERROR(__xludf.DUMMYFUNCTION("GOOGLETRANSLATE(D2609,""fr"",""es"")"),"alitasse")</f>
        <v>alitasse</v>
      </c>
    </row>
    <row r="2610">
      <c r="A2610" s="3">
        <v>62.0</v>
      </c>
      <c r="B2610" s="3" t="s">
        <v>6738</v>
      </c>
      <c r="C2610" s="3" t="s">
        <v>190</v>
      </c>
      <c r="D2610" s="3" t="s">
        <v>477</v>
      </c>
      <c r="E2610" s="3" t="s">
        <v>6783</v>
      </c>
      <c r="F2610" s="3" t="s">
        <v>475</v>
      </c>
      <c r="G2610" s="3" t="str">
        <f>IFERROR(__xludf.DUMMYFUNCTION("GOOGLETRANSLATE(D2610,""fr"",""es"")"),"alitas")</f>
        <v>alitas</v>
      </c>
    </row>
    <row r="2611">
      <c r="A2611" s="3">
        <v>63.0</v>
      </c>
      <c r="B2611" s="3" t="s">
        <v>6738</v>
      </c>
      <c r="C2611" s="3" t="s">
        <v>190</v>
      </c>
      <c r="D2611" s="3" t="s">
        <v>6784</v>
      </c>
      <c r="E2611" s="3" t="s">
        <v>6781</v>
      </c>
      <c r="F2611" s="3" t="s">
        <v>466</v>
      </c>
      <c r="G2611" s="3" t="str">
        <f>IFERROR(__xludf.DUMMYFUNCTION("GOOGLETRANSLATE(D2611,""fr"",""es"")"),"alitât")</f>
        <v>alitât</v>
      </c>
    </row>
    <row r="2612">
      <c r="A2612" s="3">
        <v>64.0</v>
      </c>
      <c r="B2612" s="3" t="s">
        <v>6738</v>
      </c>
      <c r="C2612" s="3" t="s">
        <v>190</v>
      </c>
      <c r="D2612" s="3" t="s">
        <v>6785</v>
      </c>
      <c r="E2612" s="3" t="s">
        <v>479</v>
      </c>
      <c r="F2612" s="3" t="s">
        <v>480</v>
      </c>
      <c r="G2612" s="3" t="str">
        <f>IFERROR(__xludf.DUMMYFUNCTION("GOOGLETRANSLATE(D2612,""fr"",""es"")"),"alla")</f>
        <v>alla</v>
      </c>
    </row>
    <row r="2613">
      <c r="A2613" s="3">
        <v>65.0</v>
      </c>
      <c r="B2613" s="3" t="s">
        <v>6738</v>
      </c>
      <c r="C2613" s="3" t="s">
        <v>190</v>
      </c>
      <c r="D2613" s="3" t="s">
        <v>6786</v>
      </c>
      <c r="E2613" s="3" t="s">
        <v>479</v>
      </c>
      <c r="F2613" s="3" t="s">
        <v>480</v>
      </c>
      <c r="G2613" s="3" t="str">
        <f>IFERROR(__xludf.DUMMYFUNCTION("GOOGLETRANSLATE(D2613,""fr"",""es"")"),"Alá")</f>
        <v>Alá</v>
      </c>
      <c r="H2613" s="3" t="s">
        <v>6786</v>
      </c>
    </row>
    <row r="2614">
      <c r="A2614" s="3">
        <v>66.0</v>
      </c>
      <c r="B2614" s="3" t="s">
        <v>6738</v>
      </c>
      <c r="C2614" s="3" t="s">
        <v>190</v>
      </c>
      <c r="D2614" s="3" t="s">
        <v>484</v>
      </c>
      <c r="E2614" s="3" t="s">
        <v>485</v>
      </c>
      <c r="F2614" s="3" t="s">
        <v>486</v>
      </c>
      <c r="G2614" s="3" t="str">
        <f>IFERROR(__xludf.DUMMYFUNCTION("GOOGLETRANSLATE(D2614,""fr"",""es"")"),"permitió")</f>
        <v>permitió</v>
      </c>
    </row>
    <row r="2615">
      <c r="A2615" s="3">
        <v>67.0</v>
      </c>
      <c r="B2615" s="3" t="s">
        <v>6738</v>
      </c>
      <c r="C2615" s="3" t="s">
        <v>190</v>
      </c>
      <c r="D2615" s="3" t="s">
        <v>6787</v>
      </c>
      <c r="E2615" s="3" t="s">
        <v>479</v>
      </c>
      <c r="F2615" s="3" t="s">
        <v>480</v>
      </c>
      <c r="G2615" s="3" t="str">
        <f>IFERROR(__xludf.DUMMYFUNCTION("GOOGLETRANSLATE(D2615,""fr"",""es"")"),"alas")</f>
        <v>alas</v>
      </c>
    </row>
    <row r="2616">
      <c r="A2616" s="3">
        <v>68.0</v>
      </c>
      <c r="B2616" s="3" t="s">
        <v>6738</v>
      </c>
      <c r="C2616" s="3" t="s">
        <v>190</v>
      </c>
      <c r="D2616" s="3" t="s">
        <v>487</v>
      </c>
      <c r="E2616" s="3" t="s">
        <v>488</v>
      </c>
      <c r="F2616" s="3" t="s">
        <v>489</v>
      </c>
      <c r="G2616" s="3" t="str">
        <f>IFERROR(__xludf.DUMMYFUNCTION("GOOGLETRANSLATE(D2616,""fr"",""es"")"),"alegar")</f>
        <v>alegar</v>
      </c>
    </row>
    <row r="2617">
      <c r="A2617" s="3">
        <v>69.0</v>
      </c>
      <c r="B2617" s="3" t="s">
        <v>6738</v>
      </c>
      <c r="C2617" s="3" t="s">
        <v>190</v>
      </c>
      <c r="D2617" s="3" t="s">
        <v>490</v>
      </c>
      <c r="E2617" s="3" t="s">
        <v>488</v>
      </c>
      <c r="F2617" s="3" t="s">
        <v>489</v>
      </c>
      <c r="G2617" s="3" t="str">
        <f>IFERROR(__xludf.DUMMYFUNCTION("GOOGLETRANSLATE(D2617,""fr"",""es"")"),"aliviar")</f>
        <v>aliviar</v>
      </c>
    </row>
    <row r="2618">
      <c r="A2618" s="3">
        <v>70.0</v>
      </c>
      <c r="B2618" s="3" t="s">
        <v>6738</v>
      </c>
      <c r="C2618" s="3" t="s">
        <v>190</v>
      </c>
      <c r="D2618" s="3" t="s">
        <v>491</v>
      </c>
      <c r="E2618" s="3" t="s">
        <v>488</v>
      </c>
      <c r="F2618" s="3" t="s">
        <v>489</v>
      </c>
      <c r="G2618" s="3" t="str">
        <f>IFERROR(__xludf.DUMMYFUNCTION("GOOGLETRANSLATE(D2618,""fr"",""es"")"),"alegar")</f>
        <v>alegar</v>
      </c>
    </row>
    <row r="2619">
      <c r="A2619" s="3">
        <v>71.0</v>
      </c>
      <c r="B2619" s="3" t="s">
        <v>6738</v>
      </c>
      <c r="C2619" s="3" t="s">
        <v>190</v>
      </c>
      <c r="D2619" s="3" t="s">
        <v>497</v>
      </c>
      <c r="E2619" s="3" t="s">
        <v>498</v>
      </c>
      <c r="F2619" s="3" t="s">
        <v>499</v>
      </c>
      <c r="G2619" s="3" t="str">
        <f>IFERROR(__xludf.DUMMYFUNCTION("GOOGLETRANSLATE(D2619,""fr"",""es"")"),"aliado")</f>
        <v>aliado</v>
      </c>
    </row>
    <row r="2620">
      <c r="A2620" s="3">
        <v>72.0</v>
      </c>
      <c r="B2620" s="3" t="s">
        <v>6738</v>
      </c>
      <c r="C2620" s="3" t="s">
        <v>190</v>
      </c>
      <c r="D2620" s="3" t="s">
        <v>500</v>
      </c>
      <c r="E2620" s="3" t="s">
        <v>498</v>
      </c>
      <c r="F2620" s="3" t="s">
        <v>499</v>
      </c>
      <c r="G2620" s="3" t="str">
        <f>IFERROR(__xludf.DUMMYFUNCTION("GOOGLETRANSLATE(D2620,""fr"",""es"")"),"Seducir")</f>
        <v>Seducir</v>
      </c>
    </row>
    <row r="2621">
      <c r="A2621" s="3">
        <v>73.0</v>
      </c>
      <c r="B2621" s="3" t="s">
        <v>6738</v>
      </c>
      <c r="C2621" s="3" t="s">
        <v>190</v>
      </c>
      <c r="D2621" s="3" t="s">
        <v>501</v>
      </c>
      <c r="E2621" s="3" t="s">
        <v>498</v>
      </c>
      <c r="F2621" s="3" t="s">
        <v>499</v>
      </c>
      <c r="G2621" s="3" t="str">
        <f>IFERROR(__xludf.DUMMYFUNCTION("GOOGLETRANSLATE(D2621,""fr"",""es"")"),"aliados")</f>
        <v>aliados</v>
      </c>
    </row>
    <row r="2622">
      <c r="A2622" s="3">
        <v>74.0</v>
      </c>
      <c r="B2622" s="3" t="s">
        <v>6738</v>
      </c>
      <c r="C2622" s="3" t="s">
        <v>190</v>
      </c>
      <c r="D2622" s="3" t="s">
        <v>502</v>
      </c>
      <c r="E2622" s="3" t="s">
        <v>503</v>
      </c>
      <c r="F2622" s="3" t="s">
        <v>504</v>
      </c>
      <c r="G2622" s="3" t="str">
        <f>IFERROR(__xludf.DUMMYFUNCTION("GOOGLETRANSLATE(D2622,""fr"",""es"")"),"asignado")</f>
        <v>asignado</v>
      </c>
    </row>
    <row r="2623">
      <c r="A2623" s="3">
        <v>75.0</v>
      </c>
      <c r="B2623" s="3" t="s">
        <v>6738</v>
      </c>
      <c r="C2623" s="3" t="s">
        <v>190</v>
      </c>
      <c r="D2623" s="3" t="s">
        <v>505</v>
      </c>
      <c r="E2623" s="3" t="s">
        <v>503</v>
      </c>
      <c r="F2623" s="3" t="s">
        <v>504</v>
      </c>
      <c r="G2623" s="3" t="str">
        <f>IFERROR(__xludf.DUMMYFUNCTION("GOOGLETRANSLATE(D2623,""fr"",""es"")"),"asignar")</f>
        <v>asignar</v>
      </c>
    </row>
    <row r="2624">
      <c r="A2624" s="3">
        <v>76.0</v>
      </c>
      <c r="B2624" s="3" t="s">
        <v>6738</v>
      </c>
      <c r="C2624" s="3" t="s">
        <v>190</v>
      </c>
      <c r="D2624" s="3" t="s">
        <v>506</v>
      </c>
      <c r="E2624" s="3" t="s">
        <v>503</v>
      </c>
      <c r="F2624" s="3" t="s">
        <v>504</v>
      </c>
      <c r="G2624" s="3" t="str">
        <f>IFERROR(__xludf.DUMMYFUNCTION("GOOGLETRANSLATE(D2624,""fr"",""es"")"),"asignado")</f>
        <v>asignado</v>
      </c>
    </row>
    <row r="2625">
      <c r="A2625" s="3">
        <v>77.0</v>
      </c>
      <c r="B2625" s="3" t="s">
        <v>6738</v>
      </c>
      <c r="C2625" s="3" t="s">
        <v>190</v>
      </c>
      <c r="D2625" s="3" t="s">
        <v>404</v>
      </c>
      <c r="E2625" s="3" t="s">
        <v>394</v>
      </c>
      <c r="F2625" s="3" t="s">
        <v>395</v>
      </c>
      <c r="G2625" s="3" t="str">
        <f>IFERROR(__xludf.DUMMYFUNCTION("GOOGLETRANSLATE(D2625,""fr"",""es"")"),"grupo")</f>
        <v>grupo</v>
      </c>
      <c r="H2625" s="3" t="s">
        <v>3575</v>
      </c>
      <c r="I2625" s="3" t="s">
        <v>3576</v>
      </c>
      <c r="J2625" s="3" t="s">
        <v>3577</v>
      </c>
      <c r="K2625" s="3" t="s">
        <v>3578</v>
      </c>
      <c r="L2625" s="3" t="s">
        <v>3579</v>
      </c>
      <c r="M2625" s="3" t="s">
        <v>3580</v>
      </c>
      <c r="N2625" s="3" t="s">
        <v>3564</v>
      </c>
      <c r="O2625" s="3" t="s">
        <v>3581</v>
      </c>
      <c r="P2625" s="3" t="s">
        <v>3557</v>
      </c>
      <c r="Q2625" s="3" t="s">
        <v>3582</v>
      </c>
      <c r="R2625" s="3" t="s">
        <v>3583</v>
      </c>
      <c r="S2625" s="3" t="s">
        <v>3584</v>
      </c>
      <c r="T2625" s="3" t="s">
        <v>3585</v>
      </c>
      <c r="U2625" s="3" t="s">
        <v>3586</v>
      </c>
      <c r="V2625" s="3" t="s">
        <v>3587</v>
      </c>
      <c r="W2625" s="3" t="s">
        <v>3588</v>
      </c>
      <c r="X2625" s="3" t="s">
        <v>3563</v>
      </c>
      <c r="Y2625" s="3" t="s">
        <v>3589</v>
      </c>
      <c r="Z2625" s="3" t="s">
        <v>3590</v>
      </c>
      <c r="AA2625" s="3" t="s">
        <v>3591</v>
      </c>
      <c r="AB2625" s="3" t="s">
        <v>3592</v>
      </c>
      <c r="AC2625" s="3" t="s">
        <v>3593</v>
      </c>
      <c r="AD2625" s="3" t="s">
        <v>3594</v>
      </c>
      <c r="AE2625" s="3" t="s">
        <v>3595</v>
      </c>
      <c r="AF2625" s="3" t="s">
        <v>3596</v>
      </c>
      <c r="AG2625" s="3" t="s">
        <v>3597</v>
      </c>
      <c r="AH2625" s="3" t="s">
        <v>3598</v>
      </c>
    </row>
    <row r="2626">
      <c r="A2626" s="3">
        <v>78.0</v>
      </c>
      <c r="B2626" s="3" t="s">
        <v>6738</v>
      </c>
      <c r="C2626" s="3" t="s">
        <v>190</v>
      </c>
      <c r="D2626" s="3" t="s">
        <v>6788</v>
      </c>
      <c r="E2626" s="3" t="s">
        <v>508</v>
      </c>
      <c r="F2626" s="3" t="s">
        <v>509</v>
      </c>
      <c r="G2626" s="3" t="str">
        <f>IFERROR(__xludf.DUMMYFUNCTION("GOOGLETRANSLATE(D2626,""fr"",""es"")"),"amassa")</f>
        <v>amassa</v>
      </c>
    </row>
    <row r="2627">
      <c r="A2627" s="3">
        <v>79.0</v>
      </c>
      <c r="B2627" s="3" t="s">
        <v>6738</v>
      </c>
      <c r="C2627" s="3" t="s">
        <v>190</v>
      </c>
      <c r="D2627" s="3" t="s">
        <v>513</v>
      </c>
      <c r="E2627" s="3" t="s">
        <v>514</v>
      </c>
      <c r="F2627" s="3" t="s">
        <v>515</v>
      </c>
      <c r="G2627" s="3" t="str">
        <f>IFERROR(__xludf.DUMMYFUNCTION("GOOGLETRANSLATE(D2627,""fr"",""es"")"),"amassaâme")</f>
        <v>amassaâme</v>
      </c>
    </row>
    <row r="2628">
      <c r="A2628" s="3">
        <v>80.0</v>
      </c>
      <c r="B2628" s="3" t="s">
        <v>6738</v>
      </c>
      <c r="C2628" s="3" t="s">
        <v>190</v>
      </c>
      <c r="D2628" s="3" t="s">
        <v>6789</v>
      </c>
      <c r="E2628" s="3" t="s">
        <v>508</v>
      </c>
      <c r="F2628" s="3" t="s">
        <v>509</v>
      </c>
      <c r="G2628" s="3" t="str">
        <f>IFERROR(__xludf.DUMMYFUNCTION("GOOGLETRANSLATE(D2628,""fr"",""es"")"),"amasas")</f>
        <v>amasas</v>
      </c>
    </row>
    <row r="2629">
      <c r="A2629" s="3">
        <v>81.0</v>
      </c>
      <c r="B2629" s="3" t="s">
        <v>6738</v>
      </c>
      <c r="C2629" s="3" t="s">
        <v>190</v>
      </c>
      <c r="D2629" s="3" t="s">
        <v>516</v>
      </c>
      <c r="E2629" s="3" t="s">
        <v>517</v>
      </c>
      <c r="F2629" s="3" t="s">
        <v>518</v>
      </c>
      <c r="G2629" s="3" t="str">
        <f>IFERROR(__xludf.DUMMYFUNCTION("GOOGLETRANSLATE(D2629,""fr"",""es"")"),"pasarela")</f>
        <v>pasarela</v>
      </c>
    </row>
    <row r="2630">
      <c r="A2630" s="3">
        <v>82.0</v>
      </c>
      <c r="B2630" s="3" t="s">
        <v>6738</v>
      </c>
      <c r="C2630" s="3" t="s">
        <v>190</v>
      </c>
      <c r="D2630" s="3" t="s">
        <v>519</v>
      </c>
      <c r="E2630" s="3" t="s">
        <v>517</v>
      </c>
      <c r="F2630" s="3" t="s">
        <v>518</v>
      </c>
      <c r="G2630" s="3" t="str">
        <f>IFERROR(__xludf.DUMMYFUNCTION("GOOGLETRANSLATE(D2630,""fr"",""es"")"),"acelerar")</f>
        <v>acelerar</v>
      </c>
    </row>
    <row r="2631">
      <c r="A2631" s="3">
        <v>83.0</v>
      </c>
      <c r="B2631" s="3" t="s">
        <v>6738</v>
      </c>
      <c r="C2631" s="3" t="s">
        <v>190</v>
      </c>
      <c r="D2631" s="3" t="s">
        <v>520</v>
      </c>
      <c r="E2631" s="3" t="s">
        <v>517</v>
      </c>
      <c r="F2631" s="3" t="s">
        <v>518</v>
      </c>
      <c r="G2631" s="3" t="str">
        <f>IFERROR(__xludf.DUMMYFUNCTION("GOOGLETRANSLATE(D2631,""fr"",""es"")"),"vaina")</f>
        <v>vaina</v>
      </c>
    </row>
    <row r="2632">
      <c r="A2632" s="3">
        <v>84.0</v>
      </c>
      <c r="B2632" s="3" t="s">
        <v>6738</v>
      </c>
      <c r="C2632" s="3" t="s">
        <v>190</v>
      </c>
      <c r="D2632" s="3" t="s">
        <v>6790</v>
      </c>
      <c r="E2632" s="3" t="s">
        <v>508</v>
      </c>
      <c r="F2632" s="3" t="s">
        <v>509</v>
      </c>
      <c r="G2632" s="3" t="str">
        <f>IFERROR(__xludf.DUMMYFUNCTION("GOOGLETRANSLATE(D2632,""fr"",""es"")"),"amasas")</f>
        <v>amasas</v>
      </c>
    </row>
    <row r="2633">
      <c r="A2633" s="3">
        <v>85.0</v>
      </c>
      <c r="B2633" s="3" t="s">
        <v>6738</v>
      </c>
      <c r="C2633" s="3" t="s">
        <v>190</v>
      </c>
      <c r="D2633" s="3" t="s">
        <v>521</v>
      </c>
      <c r="E2633" s="3" t="s">
        <v>403</v>
      </c>
      <c r="F2633" s="3" t="s">
        <v>404</v>
      </c>
      <c r="G2633" s="3" t="str">
        <f>IFERROR(__xludf.DUMMYFUNCTION("GOOGLETRANSLATE(D2633,""fr"",""es"")"),"vaina")</f>
        <v>vaina</v>
      </c>
    </row>
    <row r="2634">
      <c r="A2634" s="3">
        <v>86.0</v>
      </c>
      <c r="B2634" s="3" t="s">
        <v>6738</v>
      </c>
      <c r="C2634" s="3" t="s">
        <v>190</v>
      </c>
      <c r="D2634" s="3" t="s">
        <v>522</v>
      </c>
      <c r="E2634" s="3" t="s">
        <v>403</v>
      </c>
      <c r="F2634" s="3" t="s">
        <v>404</v>
      </c>
      <c r="G2634" s="3" t="str">
        <f>IFERROR(__xludf.DUMMYFUNCTION("GOOGLETRANSLATE(D2634,""fr"",""es"")"),"montón")</f>
        <v>montón</v>
      </c>
    </row>
    <row r="2635">
      <c r="A2635" s="3">
        <v>87.0</v>
      </c>
      <c r="B2635" s="3" t="s">
        <v>6738</v>
      </c>
      <c r="C2635" s="3" t="s">
        <v>190</v>
      </c>
      <c r="D2635" s="3" t="s">
        <v>523</v>
      </c>
      <c r="E2635" s="3" t="s">
        <v>403</v>
      </c>
      <c r="F2635" s="3" t="s">
        <v>404</v>
      </c>
      <c r="G2635" s="3" t="str">
        <f>IFERROR(__xludf.DUMMYFUNCTION("GOOGLETRANSLATE(D2635,""fr"",""es"")"),"Almendras")</f>
        <v>Almendras</v>
      </c>
    </row>
    <row r="2636">
      <c r="A2636" s="3">
        <v>88.0</v>
      </c>
      <c r="B2636" s="3" t="s">
        <v>6738</v>
      </c>
      <c r="C2636" s="3" t="s">
        <v>190</v>
      </c>
      <c r="D2636" s="3" t="s">
        <v>524</v>
      </c>
      <c r="E2636" s="3" t="s">
        <v>408</v>
      </c>
      <c r="F2636" s="3" t="s">
        <v>409</v>
      </c>
      <c r="G2636" s="3" t="str">
        <f>IFERROR(__xludf.DUMMYFUNCTION("GOOGLETRANSLATE(D2636,""fr"",""es"")"),"alma")</f>
        <v>alma</v>
      </c>
      <c r="H2636" s="3" t="s">
        <v>525</v>
      </c>
      <c r="I2636" s="3" t="s">
        <v>525</v>
      </c>
      <c r="J2636" s="3" t="s">
        <v>525</v>
      </c>
      <c r="K2636" s="3" t="s">
        <v>526</v>
      </c>
      <c r="L2636" s="3" t="s">
        <v>525</v>
      </c>
      <c r="M2636" s="3" t="s">
        <v>527</v>
      </c>
    </row>
    <row r="2637">
      <c r="A2637" s="3">
        <v>89.0</v>
      </c>
      <c r="B2637" s="3" t="s">
        <v>6738</v>
      </c>
      <c r="C2637" s="3" t="s">
        <v>190</v>
      </c>
      <c r="D2637" s="3" t="s">
        <v>542</v>
      </c>
      <c r="E2637" s="3" t="s">
        <v>408</v>
      </c>
      <c r="F2637" s="3" t="s">
        <v>409</v>
      </c>
      <c r="G2637" s="3" t="str">
        <f>IFERROR(__xludf.DUMMYFUNCTION("GOOGLETRANSLATE(D2637,""fr"",""es"")"),"almas")</f>
        <v>almas</v>
      </c>
    </row>
    <row r="2638">
      <c r="A2638" s="3">
        <v>90.0</v>
      </c>
      <c r="B2638" s="3" t="s">
        <v>6738</v>
      </c>
      <c r="C2638" s="3" t="s">
        <v>190</v>
      </c>
      <c r="D2638" s="3" t="s">
        <v>543</v>
      </c>
      <c r="E2638" s="3" t="s">
        <v>544</v>
      </c>
      <c r="F2638" s="3" t="s">
        <v>543</v>
      </c>
      <c r="G2638" s="3" t="str">
        <f>IFERROR(__xludf.DUMMYFUNCTION("GOOGLETRANSLATE(D2638,""fr"",""es"")"),"amigo")</f>
        <v>amigo</v>
      </c>
      <c r="H2638" s="3" t="s">
        <v>545</v>
      </c>
      <c r="I2638" s="3" t="s">
        <v>546</v>
      </c>
      <c r="J2638" s="3" t="s">
        <v>547</v>
      </c>
      <c r="K2638" s="3" t="s">
        <v>548</v>
      </c>
      <c r="L2638" s="3" t="s">
        <v>549</v>
      </c>
      <c r="M2638" s="3" t="s">
        <v>548</v>
      </c>
      <c r="N2638" s="3" t="s">
        <v>550</v>
      </c>
      <c r="O2638" s="3" t="s">
        <v>551</v>
      </c>
      <c r="P2638" s="3" t="s">
        <v>552</v>
      </c>
      <c r="Q2638" s="3" t="s">
        <v>553</v>
      </c>
      <c r="R2638" s="3" t="s">
        <v>554</v>
      </c>
      <c r="S2638" s="3" t="s">
        <v>548</v>
      </c>
      <c r="T2638" s="3" t="s">
        <v>555</v>
      </c>
      <c r="U2638" s="3" t="s">
        <v>556</v>
      </c>
      <c r="V2638" s="3" t="s">
        <v>557</v>
      </c>
      <c r="W2638" s="3" t="s">
        <v>558</v>
      </c>
      <c r="X2638" s="3" t="s">
        <v>559</v>
      </c>
      <c r="Y2638" s="3" t="s">
        <v>548</v>
      </c>
    </row>
    <row r="2639">
      <c r="A2639" s="3">
        <v>91.0</v>
      </c>
      <c r="B2639" s="3" t="s">
        <v>6738</v>
      </c>
      <c r="C2639" s="3" t="s">
        <v>190</v>
      </c>
      <c r="D2639" s="3" t="s">
        <v>560</v>
      </c>
      <c r="E2639" s="3" t="s">
        <v>6791</v>
      </c>
      <c r="F2639" s="3" t="s">
        <v>562</v>
      </c>
      <c r="G2639" s="3" t="str">
        <f>IFERROR(__xludf.DUMMYFUNCTION("GOOGLETRANSLATE(D2639,""fr"",""es"")"),"amigable")</f>
        <v>amigable</v>
      </c>
      <c r="H2639" s="3" t="s">
        <v>536</v>
      </c>
      <c r="I2639" s="3" t="s">
        <v>537</v>
      </c>
      <c r="J2639" s="3" t="s">
        <v>538</v>
      </c>
      <c r="K2639" s="3" t="s">
        <v>539</v>
      </c>
      <c r="L2639" s="3" t="s">
        <v>563</v>
      </c>
    </row>
    <row r="2640">
      <c r="A2640" s="3">
        <v>92.0</v>
      </c>
      <c r="B2640" s="3" t="s">
        <v>6738</v>
      </c>
      <c r="C2640" s="3" t="s">
        <v>190</v>
      </c>
      <c r="D2640" s="3" t="s">
        <v>564</v>
      </c>
      <c r="E2640" s="3" t="s">
        <v>6791</v>
      </c>
      <c r="F2640" s="3" t="s">
        <v>562</v>
      </c>
      <c r="G2640" s="3" t="str">
        <f>IFERROR(__xludf.DUMMYFUNCTION("GOOGLETRANSLATE(D2640,""fr"",""es"")"),"amigable")</f>
        <v>amigable</v>
      </c>
    </row>
    <row r="2641">
      <c r="A2641" s="3">
        <v>93.0</v>
      </c>
      <c r="B2641" s="3" t="s">
        <v>6738</v>
      </c>
      <c r="C2641" s="3" t="s">
        <v>190</v>
      </c>
      <c r="D2641" s="3" t="s">
        <v>565</v>
      </c>
      <c r="E2641" s="3" t="s">
        <v>6791</v>
      </c>
      <c r="F2641" s="3" t="s">
        <v>562</v>
      </c>
      <c r="G2641" s="3" t="str">
        <f>IFERROR(__xludf.DUMMYFUNCTION("GOOGLETRANSLATE(D2641,""fr"",""es"")"),"amigable")</f>
        <v>amigable</v>
      </c>
    </row>
    <row r="2642">
      <c r="A2642" s="3">
        <v>94.0</v>
      </c>
      <c r="B2642" s="3" t="s">
        <v>6738</v>
      </c>
      <c r="C2642" s="3" t="s">
        <v>190</v>
      </c>
      <c r="D2642" s="3" t="s">
        <v>566</v>
      </c>
      <c r="E2642" s="3" t="s">
        <v>544</v>
      </c>
      <c r="F2642" s="3" t="s">
        <v>543</v>
      </c>
      <c r="G2642" s="3" t="str">
        <f>IFERROR(__xludf.DUMMYFUNCTION("GOOGLETRANSLATE(D2642,""fr"",""es"")"),"amigos")</f>
        <v>amigos</v>
      </c>
    </row>
    <row r="2643">
      <c r="A2643" s="3">
        <v>95.0</v>
      </c>
      <c r="B2643" s="3" t="s">
        <v>6738</v>
      </c>
      <c r="C2643" s="3" t="s">
        <v>190</v>
      </c>
      <c r="D2643" s="3" t="s">
        <v>567</v>
      </c>
      <c r="E2643" s="3" t="s">
        <v>568</v>
      </c>
      <c r="F2643" s="3" t="s">
        <v>567</v>
      </c>
      <c r="G2643" s="3" t="str">
        <f>IFERROR(__xludf.DUMMYFUNCTION("GOOGLETRANSLATE(D2643,""fr"",""es"")"),"anal")</f>
        <v>anal</v>
      </c>
      <c r="H2643" s="3" t="s">
        <v>567</v>
      </c>
      <c r="I2643" s="3" t="s">
        <v>569</v>
      </c>
      <c r="J2643" s="3" t="s">
        <v>567</v>
      </c>
    </row>
    <row r="2644">
      <c r="A2644" s="3">
        <v>96.0</v>
      </c>
      <c r="B2644" s="3" t="s">
        <v>6738</v>
      </c>
      <c r="C2644" s="3" t="s">
        <v>190</v>
      </c>
      <c r="D2644" s="3" t="s">
        <v>570</v>
      </c>
      <c r="E2644" s="3" t="s">
        <v>568</v>
      </c>
      <c r="F2644" s="3" t="s">
        <v>567</v>
      </c>
      <c r="G2644" s="3" t="str">
        <f>IFERROR(__xludf.DUMMYFUNCTION("GOOGLETRANSLATE(D2644,""fr"",""es"")"),"anal")</f>
        <v>anal</v>
      </c>
    </row>
    <row r="2645">
      <c r="A2645" s="3">
        <v>97.0</v>
      </c>
      <c r="B2645" s="3" t="s">
        <v>6738</v>
      </c>
      <c r="C2645" s="3" t="s">
        <v>190</v>
      </c>
      <c r="D2645" s="3" t="s">
        <v>571</v>
      </c>
      <c r="E2645" s="3" t="s">
        <v>568</v>
      </c>
      <c r="F2645" s="3" t="s">
        <v>567</v>
      </c>
      <c r="G2645" s="3" t="str">
        <f>IFERROR(__xludf.DUMMYFUNCTION("GOOGLETRANSLATE(D2645,""fr"",""es"")"),"anal")</f>
        <v>anal</v>
      </c>
    </row>
    <row r="2646">
      <c r="A2646" s="3">
        <v>98.0</v>
      </c>
      <c r="B2646" s="3" t="s">
        <v>6738</v>
      </c>
      <c r="C2646" s="3" t="s">
        <v>190</v>
      </c>
      <c r="D2646" s="3" t="s">
        <v>6792</v>
      </c>
      <c r="E2646" s="3" t="s">
        <v>6793</v>
      </c>
      <c r="F2646" s="3" t="s">
        <v>6794</v>
      </c>
      <c r="G2646" s="3" t="str">
        <f>IFERROR(__xludf.DUMMYFUNCTION("GOOGLETRANSLATE(D2646,""fr"",""es"")"),"analítico")</f>
        <v>analítico</v>
      </c>
      <c r="H2646" s="3" t="s">
        <v>6795</v>
      </c>
      <c r="I2646" s="3" t="s">
        <v>6796</v>
      </c>
      <c r="J2646" s="3" t="s">
        <v>6795</v>
      </c>
      <c r="K2646" s="3" t="s">
        <v>6797</v>
      </c>
      <c r="L2646" s="3" t="s">
        <v>6795</v>
      </c>
      <c r="M2646" s="3" t="s">
        <v>6796</v>
      </c>
      <c r="N2646" s="3" t="s">
        <v>6795</v>
      </c>
    </row>
    <row r="2647">
      <c r="A2647" s="3">
        <v>99.0</v>
      </c>
      <c r="B2647" s="3" t="s">
        <v>6738</v>
      </c>
      <c r="C2647" s="3" t="s">
        <v>190</v>
      </c>
      <c r="D2647" s="3" t="s">
        <v>6798</v>
      </c>
      <c r="E2647" s="3" t="s">
        <v>6793</v>
      </c>
      <c r="F2647" s="3" t="s">
        <v>6794</v>
      </c>
      <c r="G2647" s="3" t="str">
        <f>IFERROR(__xludf.DUMMYFUNCTION("GOOGLETRANSLATE(D2647,""fr"",""es"")"),"analítica")</f>
        <v>analítica</v>
      </c>
    </row>
    <row r="2648">
      <c r="A2648" s="3">
        <v>100.0</v>
      </c>
      <c r="B2648" s="3" t="s">
        <v>6738</v>
      </c>
      <c r="C2648" s="3" t="s">
        <v>190</v>
      </c>
      <c r="D2648" s="3" t="s">
        <v>586</v>
      </c>
      <c r="E2648" s="3" t="s">
        <v>413</v>
      </c>
      <c r="F2648" s="3" t="s">
        <v>414</v>
      </c>
      <c r="G2648" s="3" t="str">
        <f>IFERROR(__xludf.DUMMYFUNCTION("GOOGLETRANSLATE(D2648,""fr"",""es"")"),"Burro")</f>
        <v>Burro</v>
      </c>
      <c r="H2648" s="3" t="s">
        <v>587</v>
      </c>
      <c r="I2648" s="3" t="s">
        <v>588</v>
      </c>
      <c r="J2648" s="3" t="s">
        <v>589</v>
      </c>
      <c r="K2648" s="3" t="s">
        <v>590</v>
      </c>
      <c r="L2648" s="3" t="s">
        <v>591</v>
      </c>
      <c r="M2648" s="3" t="s">
        <v>592</v>
      </c>
      <c r="N2648" s="3" t="s">
        <v>593</v>
      </c>
      <c r="O2648" s="3" t="s">
        <v>589</v>
      </c>
      <c r="P2648" s="3" t="s">
        <v>587</v>
      </c>
      <c r="Q2648" s="3" t="s">
        <v>594</v>
      </c>
      <c r="R2648" s="3" t="s">
        <v>595</v>
      </c>
      <c r="S2648" s="3" t="s">
        <v>596</v>
      </c>
      <c r="T2648" s="3" t="s">
        <v>597</v>
      </c>
      <c r="U2648" s="3" t="s">
        <v>598</v>
      </c>
      <c r="V2648" s="3" t="s">
        <v>599</v>
      </c>
      <c r="W2648" s="3" t="s">
        <v>600</v>
      </c>
      <c r="X2648" s="3" t="s">
        <v>601</v>
      </c>
      <c r="Y2648" s="3" t="s">
        <v>602</v>
      </c>
    </row>
    <row r="2649">
      <c r="A2649" s="3">
        <v>101.0</v>
      </c>
      <c r="B2649" s="3" t="s">
        <v>6738</v>
      </c>
      <c r="C2649" s="3" t="s">
        <v>190</v>
      </c>
      <c r="D2649" s="3" t="s">
        <v>603</v>
      </c>
      <c r="E2649" s="3" t="s">
        <v>413</v>
      </c>
      <c r="F2649" s="3" t="s">
        <v>414</v>
      </c>
      <c r="G2649" s="3" t="str">
        <f>IFERROR(__xludf.DUMMYFUNCTION("GOOGLETRANSLATE(D2649,""fr"",""es"")"),"burro")</f>
        <v>burro</v>
      </c>
    </row>
    <row r="2650">
      <c r="A2650" s="3">
        <v>102.0</v>
      </c>
      <c r="B2650" s="3" t="s">
        <v>6738</v>
      </c>
      <c r="C2650" s="3" t="s">
        <v>190</v>
      </c>
      <c r="D2650" s="3" t="s">
        <v>613</v>
      </c>
      <c r="E2650" s="3" t="s">
        <v>6799</v>
      </c>
      <c r="F2650" s="3" t="s">
        <v>613</v>
      </c>
      <c r="G2650" s="3" t="str">
        <f>IFERROR(__xludf.DUMMYFUNCTION("GOOGLETRANSLATE(D2650,""fr"",""es"")"),"anima")</f>
        <v>anima</v>
      </c>
      <c r="H2650" s="3" t="s">
        <v>613</v>
      </c>
    </row>
    <row r="2651">
      <c r="A2651" s="3">
        <v>103.0</v>
      </c>
      <c r="B2651" s="3" t="s">
        <v>6738</v>
      </c>
      <c r="C2651" s="3" t="s">
        <v>190</v>
      </c>
      <c r="D2651" s="3" t="s">
        <v>617</v>
      </c>
      <c r="E2651" s="3" t="s">
        <v>6800</v>
      </c>
      <c r="F2651" s="3" t="s">
        <v>617</v>
      </c>
      <c r="G2651" s="3" t="str">
        <f>IFERROR(__xludf.DUMMYFUNCTION("GOOGLETRANSLATE(D2651,""fr"",""es"")"),"animal")</f>
        <v>animal</v>
      </c>
      <c r="H2651" s="3" t="s">
        <v>617</v>
      </c>
      <c r="I2651" s="3" t="s">
        <v>619</v>
      </c>
      <c r="J2651" s="3" t="s">
        <v>620</v>
      </c>
      <c r="K2651" s="3" t="s">
        <v>621</v>
      </c>
      <c r="L2651" s="3" t="s">
        <v>622</v>
      </c>
      <c r="M2651" s="3" t="s">
        <v>623</v>
      </c>
      <c r="N2651" s="3" t="s">
        <v>624</v>
      </c>
      <c r="O2651" s="3" t="s">
        <v>625</v>
      </c>
      <c r="P2651" s="3" t="s">
        <v>626</v>
      </c>
      <c r="Q2651" s="3" t="s">
        <v>617</v>
      </c>
      <c r="R2651" s="3" t="s">
        <v>627</v>
      </c>
      <c r="S2651" s="3" t="s">
        <v>628</v>
      </c>
      <c r="T2651" s="3" t="s">
        <v>629</v>
      </c>
    </row>
    <row r="2652">
      <c r="A2652" s="3">
        <v>104.0</v>
      </c>
      <c r="B2652" s="3" t="s">
        <v>6738</v>
      </c>
      <c r="C2652" s="3" t="s">
        <v>190</v>
      </c>
      <c r="D2652" s="3" t="s">
        <v>630</v>
      </c>
      <c r="E2652" s="3" t="s">
        <v>6800</v>
      </c>
      <c r="F2652" s="3" t="s">
        <v>617</v>
      </c>
      <c r="G2652" s="3" t="str">
        <f>IFERROR(__xludf.DUMMYFUNCTION("GOOGLETRANSLATE(D2652,""fr"",""es"")"),"animal")</f>
        <v>animal</v>
      </c>
    </row>
    <row r="2653">
      <c r="A2653" s="3">
        <v>105.0</v>
      </c>
      <c r="B2653" s="3" t="s">
        <v>6738</v>
      </c>
      <c r="C2653" s="3" t="s">
        <v>190</v>
      </c>
      <c r="D2653" s="3" t="s">
        <v>631</v>
      </c>
      <c r="E2653" s="3" t="s">
        <v>6800</v>
      </c>
      <c r="F2653" s="3" t="s">
        <v>617</v>
      </c>
      <c r="G2653" s="3" t="str">
        <f>IFERROR(__xludf.DUMMYFUNCTION("GOOGLETRANSLATE(D2653,""fr"",""es"")"),"animal")</f>
        <v>animal</v>
      </c>
    </row>
    <row r="2654">
      <c r="A2654" s="3">
        <v>106.0</v>
      </c>
      <c r="B2654" s="3" t="s">
        <v>6738</v>
      </c>
      <c r="C2654" s="3" t="s">
        <v>190</v>
      </c>
      <c r="D2654" s="3" t="s">
        <v>632</v>
      </c>
      <c r="E2654" s="3" t="s">
        <v>6801</v>
      </c>
      <c r="F2654" s="3" t="s">
        <v>634</v>
      </c>
      <c r="G2654" s="3" t="str">
        <f>IFERROR(__xludf.DUMMYFUNCTION("GOOGLETRANSLATE(D2654,""fr"",""es"")"),"anima")</f>
        <v>anima</v>
      </c>
    </row>
    <row r="2655">
      <c r="A2655" s="3">
        <v>107.0</v>
      </c>
      <c r="B2655" s="3" t="s">
        <v>6738</v>
      </c>
      <c r="C2655" s="3" t="s">
        <v>190</v>
      </c>
      <c r="D2655" s="3" t="s">
        <v>637</v>
      </c>
      <c r="E2655" s="3" t="s">
        <v>6799</v>
      </c>
      <c r="F2655" s="3" t="s">
        <v>613</v>
      </c>
      <c r="G2655" s="3" t="str">
        <f>IFERROR(__xludf.DUMMYFUNCTION("GOOGLETRANSLATE(D2655,""fr"",""es"")"),"animales")</f>
        <v>animales</v>
      </c>
    </row>
    <row r="2656">
      <c r="A2656" s="3">
        <v>108.0</v>
      </c>
      <c r="B2656" s="3" t="s">
        <v>6738</v>
      </c>
      <c r="C2656" s="3" t="s">
        <v>190</v>
      </c>
      <c r="D2656" s="3" t="s">
        <v>635</v>
      </c>
      <c r="E2656" s="3" t="s">
        <v>6802</v>
      </c>
      <c r="F2656" s="3" t="s">
        <v>637</v>
      </c>
      <c r="G2656" s="3" t="str">
        <f>IFERROR(__xludf.DUMMYFUNCTION("GOOGLETRANSLATE(D2656,""fr"",""es"")"),"animal")</f>
        <v>animal</v>
      </c>
    </row>
    <row r="2657">
      <c r="A2657" s="3">
        <v>109.0</v>
      </c>
      <c r="B2657" s="3" t="s">
        <v>6738</v>
      </c>
      <c r="C2657" s="3" t="s">
        <v>190</v>
      </c>
      <c r="D2657" s="3" t="s">
        <v>638</v>
      </c>
      <c r="E2657" s="3" t="s">
        <v>6802</v>
      </c>
      <c r="F2657" s="3" t="s">
        <v>637</v>
      </c>
      <c r="G2657" s="3" t="str">
        <f>IFERROR(__xludf.DUMMYFUNCTION("GOOGLETRANSLATE(D2657,""fr"",""es"")"),"animar")</f>
        <v>animar</v>
      </c>
    </row>
    <row r="2658">
      <c r="A2658" s="3">
        <v>110.0</v>
      </c>
      <c r="B2658" s="3" t="s">
        <v>6738</v>
      </c>
      <c r="C2658" s="3" t="s">
        <v>190</v>
      </c>
      <c r="D2658" s="3" t="s">
        <v>639</v>
      </c>
      <c r="E2658" s="3" t="s">
        <v>6802</v>
      </c>
      <c r="F2658" s="3" t="s">
        <v>637</v>
      </c>
      <c r="G2658" s="3" t="str">
        <f>IFERROR(__xludf.DUMMYFUNCTION("GOOGLETRANSLATE(D2658,""fr"",""es"")"),"animal")</f>
        <v>animal</v>
      </c>
    </row>
    <row r="2659">
      <c r="A2659" s="3">
        <v>111.0</v>
      </c>
      <c r="B2659" s="3" t="s">
        <v>6738</v>
      </c>
      <c r="C2659" s="3" t="s">
        <v>190</v>
      </c>
      <c r="D2659" s="3" t="s">
        <v>6803</v>
      </c>
      <c r="E2659" s="3" t="s">
        <v>6799</v>
      </c>
      <c r="F2659" s="3" t="s">
        <v>613</v>
      </c>
      <c r="G2659" s="3" t="str">
        <f>IFERROR(__xludf.DUMMYFUNCTION("GOOGLETRANSLATE(D2659,""fr"",""es"")"),"anima")</f>
        <v>anima</v>
      </c>
    </row>
    <row r="2660">
      <c r="A2660" s="3">
        <v>112.0</v>
      </c>
      <c r="B2660" s="3" t="s">
        <v>6738</v>
      </c>
      <c r="C2660" s="3" t="s">
        <v>190</v>
      </c>
      <c r="D2660" s="3" t="s">
        <v>640</v>
      </c>
      <c r="E2660" s="3" t="s">
        <v>6804</v>
      </c>
      <c r="F2660" s="3" t="s">
        <v>642</v>
      </c>
      <c r="G2660" s="3" t="str">
        <f>IFERROR(__xludf.DUMMYFUNCTION("GOOGLETRANSLATE(D2660,""fr"",""es"")"),"anime")</f>
        <v>anime</v>
      </c>
    </row>
    <row r="2661">
      <c r="A2661" s="3">
        <v>113.0</v>
      </c>
      <c r="B2661" s="3" t="s">
        <v>6738</v>
      </c>
      <c r="C2661" s="3" t="s">
        <v>190</v>
      </c>
      <c r="D2661" s="3" t="s">
        <v>643</v>
      </c>
      <c r="E2661" s="3" t="s">
        <v>6804</v>
      </c>
      <c r="F2661" s="3" t="s">
        <v>642</v>
      </c>
      <c r="G2661" s="3" t="str">
        <f>IFERROR(__xludf.DUMMYFUNCTION("GOOGLETRANSLATE(D2661,""fr"",""es"")"),"animar")</f>
        <v>animar</v>
      </c>
    </row>
    <row r="2662">
      <c r="A2662" s="3">
        <v>114.0</v>
      </c>
      <c r="B2662" s="3" t="s">
        <v>6738</v>
      </c>
      <c r="C2662" s="3" t="s">
        <v>190</v>
      </c>
      <c r="D2662" s="3" t="s">
        <v>644</v>
      </c>
      <c r="E2662" s="3" t="s">
        <v>6804</v>
      </c>
      <c r="F2662" s="3" t="s">
        <v>642</v>
      </c>
      <c r="G2662" s="3" t="str">
        <f>IFERROR(__xludf.DUMMYFUNCTION("GOOGLETRANSLATE(D2662,""fr"",""es"")"),"anime")</f>
        <v>anime</v>
      </c>
    </row>
    <row r="2663">
      <c r="A2663" s="3">
        <v>115.0</v>
      </c>
      <c r="B2663" s="3" t="s">
        <v>6738</v>
      </c>
      <c r="C2663" s="3" t="s">
        <v>190</v>
      </c>
      <c r="D2663" s="3" t="s">
        <v>650</v>
      </c>
      <c r="E2663" s="3" t="s">
        <v>568</v>
      </c>
      <c r="F2663" s="3" t="s">
        <v>567</v>
      </c>
      <c r="G2663" s="3" t="str">
        <f>IFERROR(__xludf.DUMMYFUNCTION("GOOGLETRANSLATE(D2663,""fr"",""es"")"),"annal")</f>
        <v>annal</v>
      </c>
    </row>
    <row r="2664">
      <c r="A2664" s="3">
        <v>116.0</v>
      </c>
      <c r="B2664" s="3" t="s">
        <v>6738</v>
      </c>
      <c r="C2664" s="3" t="s">
        <v>190</v>
      </c>
      <c r="D2664" s="3" t="s">
        <v>651</v>
      </c>
      <c r="E2664" s="3" t="s">
        <v>568</v>
      </c>
      <c r="F2664" s="3" t="s">
        <v>567</v>
      </c>
      <c r="G2664" s="3" t="str">
        <f>IFERROR(__xludf.DUMMYFUNCTION("GOOGLETRANSLATE(D2664,""fr"",""es"")"),"annale")</f>
        <v>annale</v>
      </c>
    </row>
    <row r="2665">
      <c r="A2665" s="3">
        <v>117.0</v>
      </c>
      <c r="B2665" s="3" t="s">
        <v>6738</v>
      </c>
      <c r="C2665" s="3" t="s">
        <v>190</v>
      </c>
      <c r="D2665" s="3" t="s">
        <v>652</v>
      </c>
      <c r="E2665" s="3" t="s">
        <v>568</v>
      </c>
      <c r="F2665" s="3" t="s">
        <v>567</v>
      </c>
      <c r="G2665" s="3" t="str">
        <f>IFERROR(__xludf.DUMMYFUNCTION("GOOGLETRANSLATE(D2665,""fr"",""es"")"),"anales")</f>
        <v>anales</v>
      </c>
    </row>
    <row r="2666">
      <c r="A2666" s="3">
        <v>118.0</v>
      </c>
      <c r="B2666" s="3" t="s">
        <v>6738</v>
      </c>
      <c r="C2666" s="3" t="s">
        <v>190</v>
      </c>
      <c r="D2666" s="3" t="s">
        <v>662</v>
      </c>
      <c r="E2666" s="3" t="s">
        <v>663</v>
      </c>
      <c r="F2666" s="3" t="s">
        <v>664</v>
      </c>
      <c r="G2666" s="3" t="str">
        <f>IFERROR(__xludf.DUMMYFUNCTION("GOOGLETRANSLATE(D2666,""fr"",""es"")"),"apache")</f>
        <v>apache</v>
      </c>
      <c r="H2666" s="3" t="s">
        <v>665</v>
      </c>
      <c r="I2666" s="3" t="s">
        <v>662</v>
      </c>
      <c r="J2666" s="3" t="s">
        <v>665</v>
      </c>
    </row>
    <row r="2667">
      <c r="A2667" s="3">
        <v>119.0</v>
      </c>
      <c r="B2667" s="3" t="s">
        <v>6738</v>
      </c>
      <c r="C2667" s="3" t="s">
        <v>190</v>
      </c>
      <c r="D2667" s="3" t="s">
        <v>666</v>
      </c>
      <c r="E2667" s="3" t="s">
        <v>663</v>
      </c>
      <c r="F2667" s="3" t="s">
        <v>664</v>
      </c>
      <c r="G2667" s="3" t="str">
        <f>IFERROR(__xludf.DUMMYFUNCTION("GOOGLETRANSLATE(D2667,""fr"",""es"")"),"apache")</f>
        <v>apache</v>
      </c>
      <c r="H2667" s="3" t="s">
        <v>662</v>
      </c>
    </row>
    <row r="2668">
      <c r="A2668" s="3">
        <v>120.0</v>
      </c>
      <c r="B2668" s="3" t="s">
        <v>6738</v>
      </c>
      <c r="C2668" s="3" t="s">
        <v>190</v>
      </c>
      <c r="D2668" s="3" t="s">
        <v>6805</v>
      </c>
      <c r="E2668" s="3" t="s">
        <v>6806</v>
      </c>
      <c r="F2668" s="3" t="s">
        <v>6807</v>
      </c>
      <c r="G2668" s="3" t="str">
        <f>IFERROR(__xludf.DUMMYFUNCTION("GOOGLETRANSLATE(D2668,""fr"",""es"")"),"apatía")</f>
        <v>apatía</v>
      </c>
      <c r="H2668" s="3" t="s">
        <v>6808</v>
      </c>
      <c r="I2668" s="3" t="s">
        <v>6809</v>
      </c>
      <c r="J2668" s="3" t="s">
        <v>6810</v>
      </c>
      <c r="K2668" s="3" t="s">
        <v>6811</v>
      </c>
      <c r="L2668" s="3" t="s">
        <v>6808</v>
      </c>
    </row>
    <row r="2669">
      <c r="A2669" s="3">
        <v>121.0</v>
      </c>
      <c r="B2669" s="3" t="s">
        <v>6738</v>
      </c>
      <c r="C2669" s="3" t="s">
        <v>190</v>
      </c>
      <c r="D2669" s="3" t="s">
        <v>6812</v>
      </c>
      <c r="E2669" s="3" t="s">
        <v>6806</v>
      </c>
      <c r="F2669" s="3" t="s">
        <v>6807</v>
      </c>
      <c r="G2669" s="3" t="str">
        <f>IFERROR(__xludf.DUMMYFUNCTION("GOOGLETRANSLATE(D2669,""fr"",""es"")"),"apatías")</f>
        <v>apatías</v>
      </c>
    </row>
    <row r="2670">
      <c r="A2670" s="3">
        <v>122.0</v>
      </c>
      <c r="B2670" s="3" t="s">
        <v>6738</v>
      </c>
      <c r="C2670" s="3" t="s">
        <v>190</v>
      </c>
      <c r="D2670" s="3" t="s">
        <v>6813</v>
      </c>
      <c r="E2670" s="3" t="s">
        <v>6814</v>
      </c>
      <c r="F2670" s="3" t="s">
        <v>6815</v>
      </c>
      <c r="G2670" s="3" t="str">
        <f>IFERROR(__xludf.DUMMYFUNCTION("GOOGLETRANSLATE(D2670,""fr"",""es"")"),"apático")</f>
        <v>apático</v>
      </c>
      <c r="H2670" s="3" t="s">
        <v>6816</v>
      </c>
      <c r="I2670" s="3" t="s">
        <v>6817</v>
      </c>
      <c r="J2670" s="3" t="s">
        <v>6816</v>
      </c>
    </row>
    <row r="2671">
      <c r="A2671" s="3">
        <v>123.0</v>
      </c>
      <c r="B2671" s="3" t="s">
        <v>6738</v>
      </c>
      <c r="C2671" s="3" t="s">
        <v>190</v>
      </c>
      <c r="D2671" s="3" t="s">
        <v>6818</v>
      </c>
      <c r="E2671" s="3" t="s">
        <v>6814</v>
      </c>
      <c r="F2671" s="3" t="s">
        <v>6815</v>
      </c>
      <c r="G2671" s="3" t="str">
        <f>IFERROR(__xludf.DUMMYFUNCTION("GOOGLETRANSLATE(D2671,""fr"",""es"")"),"apático")</f>
        <v>apático</v>
      </c>
    </row>
    <row r="2672">
      <c r="A2672" s="3">
        <v>124.0</v>
      </c>
      <c r="B2672" s="3" t="s">
        <v>6738</v>
      </c>
      <c r="C2672" s="3" t="s">
        <v>190</v>
      </c>
      <c r="D2672" s="3" t="s">
        <v>670</v>
      </c>
      <c r="E2672" s="3" t="s">
        <v>6819</v>
      </c>
      <c r="F2672" s="3" t="s">
        <v>672</v>
      </c>
      <c r="G2672" s="3" t="str">
        <f>IFERROR(__xludf.DUMMYFUNCTION("GOOGLETRANSLATE(D2672,""fr"",""es"")"),"apical")</f>
        <v>apical</v>
      </c>
    </row>
    <row r="2673">
      <c r="A2673" s="3">
        <v>125.0</v>
      </c>
      <c r="B2673" s="3" t="s">
        <v>6738</v>
      </c>
      <c r="C2673" s="3" t="s">
        <v>190</v>
      </c>
      <c r="D2673" s="3" t="s">
        <v>673</v>
      </c>
      <c r="E2673" s="3" t="s">
        <v>6819</v>
      </c>
      <c r="F2673" s="3" t="s">
        <v>672</v>
      </c>
      <c r="G2673" s="3" t="str">
        <f>IFERROR(__xludf.DUMMYFUNCTION("GOOGLETRANSLATE(D2673,""fr"",""es"")"),"apical")</f>
        <v>apical</v>
      </c>
    </row>
    <row r="2674">
      <c r="A2674" s="3">
        <v>126.0</v>
      </c>
      <c r="B2674" s="3" t="s">
        <v>6738</v>
      </c>
      <c r="C2674" s="3" t="s">
        <v>190</v>
      </c>
      <c r="D2674" s="3" t="s">
        <v>674</v>
      </c>
      <c r="E2674" s="3" t="s">
        <v>6819</v>
      </c>
      <c r="F2674" s="3" t="s">
        <v>672</v>
      </c>
      <c r="G2674" s="3" t="str">
        <f>IFERROR(__xludf.DUMMYFUNCTION("GOOGLETRANSLATE(D2674,""fr"",""es"")"),"apical")</f>
        <v>apical</v>
      </c>
    </row>
    <row r="2675">
      <c r="A2675" s="3">
        <v>127.0</v>
      </c>
      <c r="B2675" s="3" t="s">
        <v>6738</v>
      </c>
      <c r="C2675" s="3" t="s">
        <v>190</v>
      </c>
      <c r="D2675" s="3" t="s">
        <v>675</v>
      </c>
      <c r="E2675" s="3" t="s">
        <v>676</v>
      </c>
      <c r="F2675" s="3" t="s">
        <v>677</v>
      </c>
      <c r="G2675" s="3" t="str">
        <f>IFERROR(__xludf.DUMMYFUNCTION("GOOGLETRANSLATE(D2675,""fr"",""es"")"),"Aparato")</f>
        <v>Aparato</v>
      </c>
      <c r="H2675" s="3" t="s">
        <v>678</v>
      </c>
      <c r="I2675" s="3" t="s">
        <v>679</v>
      </c>
    </row>
    <row r="2676">
      <c r="A2676" s="3">
        <v>128.0</v>
      </c>
      <c r="B2676" s="3" t="s">
        <v>6738</v>
      </c>
      <c r="C2676" s="3" t="s">
        <v>190</v>
      </c>
      <c r="D2676" s="3" t="s">
        <v>6820</v>
      </c>
      <c r="E2676" s="3" t="s">
        <v>6821</v>
      </c>
      <c r="F2676" s="3" t="s">
        <v>6822</v>
      </c>
      <c r="G2676" s="3" t="str">
        <f>IFERROR(__xludf.DUMMYFUNCTION("GOOGLETRANSLATE(D2676,""fr"",""es"")"),"parases")</f>
        <v>parases</v>
      </c>
    </row>
    <row r="2677">
      <c r="A2677" s="3">
        <v>129.0</v>
      </c>
      <c r="B2677" s="3" t="s">
        <v>6738</v>
      </c>
      <c r="C2677" s="3" t="s">
        <v>190</v>
      </c>
      <c r="D2677" s="3" t="s">
        <v>6823</v>
      </c>
      <c r="E2677" s="3" t="s">
        <v>6821</v>
      </c>
      <c r="F2677" s="3" t="s">
        <v>6822</v>
      </c>
      <c r="G2677" s="3" t="str">
        <f>IFERROR(__xludf.DUMMYFUNCTION("GOOGLETRANSLATE(D2677,""fr"",""es"")"),"carnada")</f>
        <v>carnada</v>
      </c>
      <c r="H2677" s="3" t="s">
        <v>6824</v>
      </c>
      <c r="I2677" s="3" t="s">
        <v>6825</v>
      </c>
      <c r="J2677" s="3" t="s">
        <v>6826</v>
      </c>
      <c r="K2677" s="3" t="s">
        <v>6826</v>
      </c>
      <c r="L2677" s="3" t="s">
        <v>6827</v>
      </c>
      <c r="M2677" s="3" t="s">
        <v>6828</v>
      </c>
      <c r="N2677" s="3" t="s">
        <v>6824</v>
      </c>
      <c r="O2677" s="3" t="s">
        <v>6828</v>
      </c>
      <c r="P2677" s="3" t="s">
        <v>1859</v>
      </c>
      <c r="Q2677" s="3" t="s">
        <v>6826</v>
      </c>
      <c r="R2677" s="3" t="s">
        <v>6829</v>
      </c>
    </row>
    <row r="2678">
      <c r="A2678" s="3">
        <v>130.0</v>
      </c>
      <c r="B2678" s="3" t="s">
        <v>6738</v>
      </c>
      <c r="C2678" s="3" t="s">
        <v>190</v>
      </c>
      <c r="D2678" s="3" t="s">
        <v>6830</v>
      </c>
      <c r="E2678" s="3" t="s">
        <v>681</v>
      </c>
      <c r="F2678" s="3" t="s">
        <v>682</v>
      </c>
      <c r="G2678" s="3" t="str">
        <f>IFERROR(__xludf.DUMMYFUNCTION("GOOGLETRANSLATE(D2678,""fr"",""es"")"),"carnada")</f>
        <v>carnada</v>
      </c>
    </row>
    <row r="2679">
      <c r="A2679" s="3">
        <v>131.0</v>
      </c>
      <c r="B2679" s="3" t="s">
        <v>6738</v>
      </c>
      <c r="C2679" s="3" t="s">
        <v>190</v>
      </c>
      <c r="D2679" s="3" t="s">
        <v>686</v>
      </c>
      <c r="E2679" s="3" t="s">
        <v>687</v>
      </c>
      <c r="F2679" s="3" t="s">
        <v>688</v>
      </c>
      <c r="G2679" s="3" t="str">
        <f>IFERROR(__xludf.DUMMYFUNCTION("GOOGLETRANSLATE(D2679,""fr"",""es"")"),"carnada")</f>
        <v>carnada</v>
      </c>
    </row>
    <row r="2680">
      <c r="A2680" s="3">
        <v>132.0</v>
      </c>
      <c r="B2680" s="3" t="s">
        <v>6738</v>
      </c>
      <c r="C2680" s="3" t="s">
        <v>190</v>
      </c>
      <c r="D2680" s="3" t="s">
        <v>6831</v>
      </c>
      <c r="E2680" s="3" t="s">
        <v>681</v>
      </c>
      <c r="F2680" s="3" t="s">
        <v>682</v>
      </c>
      <c r="G2680" s="3" t="str">
        <f>IFERROR(__xludf.DUMMYFUNCTION("GOOGLETRANSLATE(D2680,""fr"",""es"")"),"carnada")</f>
        <v>carnada</v>
      </c>
    </row>
    <row r="2681">
      <c r="A2681" s="3">
        <v>133.0</v>
      </c>
      <c r="B2681" s="3" t="s">
        <v>6738</v>
      </c>
      <c r="C2681" s="3" t="s">
        <v>190</v>
      </c>
      <c r="D2681" s="3" t="s">
        <v>689</v>
      </c>
      <c r="E2681" s="3" t="s">
        <v>690</v>
      </c>
      <c r="F2681" s="3" t="s">
        <v>691</v>
      </c>
      <c r="G2681" s="3" t="str">
        <f>IFERROR(__xludf.DUMMYFUNCTION("GOOGLETRANSLATE(D2681,""fr"",""es"")"),"carnada")</f>
        <v>carnada</v>
      </c>
    </row>
    <row r="2682">
      <c r="A2682" s="3">
        <v>134.0</v>
      </c>
      <c r="B2682" s="3" t="s">
        <v>6738</v>
      </c>
      <c r="C2682" s="3" t="s">
        <v>190</v>
      </c>
      <c r="D2682" s="3" t="s">
        <v>692</v>
      </c>
      <c r="E2682" s="3" t="s">
        <v>690</v>
      </c>
      <c r="F2682" s="3" t="s">
        <v>691</v>
      </c>
      <c r="G2682" s="3" t="str">
        <f>IFERROR(__xludf.DUMMYFUNCTION("GOOGLETRANSLATE(D2682,""fr"",""es"")"),"carnada")</f>
        <v>carnada</v>
      </c>
    </row>
    <row r="2683">
      <c r="A2683" s="3">
        <v>135.0</v>
      </c>
      <c r="B2683" s="3" t="s">
        <v>6738</v>
      </c>
      <c r="C2683" s="3" t="s">
        <v>190</v>
      </c>
      <c r="D2683" s="3" t="s">
        <v>693</v>
      </c>
      <c r="E2683" s="3" t="s">
        <v>690</v>
      </c>
      <c r="F2683" s="3" t="s">
        <v>691</v>
      </c>
      <c r="G2683" s="3" t="str">
        <f>IFERROR(__xludf.DUMMYFUNCTION("GOOGLETRANSLATE(D2683,""fr"",""es"")"),"carnada")</f>
        <v>carnada</v>
      </c>
    </row>
    <row r="2684">
      <c r="A2684" s="3">
        <v>136.0</v>
      </c>
      <c r="B2684" s="3" t="s">
        <v>6738</v>
      </c>
      <c r="C2684" s="3" t="s">
        <v>190</v>
      </c>
      <c r="D2684" s="3" t="s">
        <v>6832</v>
      </c>
      <c r="E2684" s="3" t="s">
        <v>681</v>
      </c>
      <c r="F2684" s="3" t="s">
        <v>682</v>
      </c>
      <c r="G2684" s="3" t="str">
        <f>IFERROR(__xludf.DUMMYFUNCTION("GOOGLETRANSLATE(D2684,""fr"",""es"")"),"carnada")</f>
        <v>carnada</v>
      </c>
    </row>
    <row r="2685">
      <c r="A2685" s="3">
        <v>137.0</v>
      </c>
      <c r="B2685" s="3" t="s">
        <v>6738</v>
      </c>
      <c r="C2685" s="3" t="s">
        <v>190</v>
      </c>
      <c r="D2685" s="3" t="s">
        <v>6833</v>
      </c>
      <c r="E2685" s="3" t="s">
        <v>6821</v>
      </c>
      <c r="F2685" s="3" t="s">
        <v>6822</v>
      </c>
      <c r="G2685" s="3" t="str">
        <f>IFERROR(__xludf.DUMMYFUNCTION("GOOGLETRANSLATE(D2685,""fr"",""es"")"),"carnada")</f>
        <v>carnada</v>
      </c>
    </row>
    <row r="2686">
      <c r="A2686" s="3">
        <v>138.0</v>
      </c>
      <c r="B2686" s="3" t="s">
        <v>6738</v>
      </c>
      <c r="C2686" s="3" t="s">
        <v>190</v>
      </c>
      <c r="D2686" s="3" t="s">
        <v>6834</v>
      </c>
      <c r="E2686" s="3" t="s">
        <v>6835</v>
      </c>
      <c r="F2686" s="3" t="s">
        <v>729</v>
      </c>
      <c r="G2686" s="3" t="str">
        <f>IFERROR(__xludf.DUMMYFUNCTION("GOOGLETRANSLATE(D2686,""fr"",""es"")"),"asesino")</f>
        <v>asesino</v>
      </c>
    </row>
    <row r="2687">
      <c r="A2687" s="3">
        <v>139.0</v>
      </c>
      <c r="B2687" s="3" t="s">
        <v>6738</v>
      </c>
      <c r="C2687" s="3" t="s">
        <v>190</v>
      </c>
      <c r="D2687" s="3" t="s">
        <v>733</v>
      </c>
      <c r="E2687" s="3" t="s">
        <v>6836</v>
      </c>
      <c r="F2687" s="3" t="s">
        <v>735</v>
      </c>
      <c r="G2687" s="3" t="str">
        <f>IFERROR(__xludf.DUMMYFUNCTION("GOOGLETRANSLATE(D2687,""fr"",""es"")"),"asesino")</f>
        <v>asesino</v>
      </c>
    </row>
    <row r="2688">
      <c r="A2688" s="3">
        <v>140.0</v>
      </c>
      <c r="B2688" s="3" t="s">
        <v>6738</v>
      </c>
      <c r="C2688" s="3" t="s">
        <v>190</v>
      </c>
      <c r="D2688" s="3" t="s">
        <v>6837</v>
      </c>
      <c r="E2688" s="3" t="s">
        <v>6835</v>
      </c>
      <c r="F2688" s="3" t="s">
        <v>729</v>
      </c>
      <c r="G2688" s="3" t="str">
        <f>IFERROR(__xludf.DUMMYFUNCTION("GOOGLETRANSLATE(D2688,""fr"",""es"")"),"asesinas")</f>
        <v>asesinas</v>
      </c>
    </row>
    <row r="2689">
      <c r="A2689" s="3">
        <v>141.0</v>
      </c>
      <c r="B2689" s="3" t="s">
        <v>6738</v>
      </c>
      <c r="C2689" s="3" t="s">
        <v>190</v>
      </c>
      <c r="D2689" s="3" t="s">
        <v>736</v>
      </c>
      <c r="E2689" s="3" t="s">
        <v>6838</v>
      </c>
      <c r="F2689" s="3" t="s">
        <v>738</v>
      </c>
      <c r="G2689" s="3" t="str">
        <f>IFERROR(__xludf.DUMMYFUNCTION("GOOGLETRANSLATE(D2689,""fr"",""es"")"),"asesino")</f>
        <v>asesino</v>
      </c>
    </row>
    <row r="2690">
      <c r="A2690" s="3">
        <v>142.0</v>
      </c>
      <c r="B2690" s="3" t="s">
        <v>6738</v>
      </c>
      <c r="C2690" s="3" t="s">
        <v>190</v>
      </c>
      <c r="D2690" s="3" t="s">
        <v>739</v>
      </c>
      <c r="E2690" s="3" t="s">
        <v>6838</v>
      </c>
      <c r="F2690" s="3" t="s">
        <v>738</v>
      </c>
      <c r="G2690" s="3" t="str">
        <f>IFERROR(__xludf.DUMMYFUNCTION("GOOGLETRANSLATE(D2690,""fr"",""es"")"),"asesino")</f>
        <v>asesino</v>
      </c>
    </row>
    <row r="2691">
      <c r="A2691" s="3">
        <v>143.0</v>
      </c>
      <c r="B2691" s="3" t="s">
        <v>6738</v>
      </c>
      <c r="C2691" s="3" t="s">
        <v>190</v>
      </c>
      <c r="D2691" s="3" t="s">
        <v>740</v>
      </c>
      <c r="E2691" s="3" t="s">
        <v>6838</v>
      </c>
      <c r="F2691" s="3" t="s">
        <v>738</v>
      </c>
      <c r="G2691" s="3" t="str">
        <f>IFERROR(__xludf.DUMMYFUNCTION("GOOGLETRANSLATE(D2691,""fr"",""es"")"),"asesinas")</f>
        <v>asesinas</v>
      </c>
    </row>
    <row r="2692">
      <c r="A2692" s="3">
        <v>144.0</v>
      </c>
      <c r="B2692" s="3" t="s">
        <v>6738</v>
      </c>
      <c r="C2692" s="3" t="s">
        <v>190</v>
      </c>
      <c r="D2692" s="3" t="s">
        <v>6839</v>
      </c>
      <c r="E2692" s="3" t="s">
        <v>6835</v>
      </c>
      <c r="F2692" s="3" t="s">
        <v>729</v>
      </c>
      <c r="G2692" s="3" t="str">
        <f>IFERROR(__xludf.DUMMYFUNCTION("GOOGLETRANSLATE(D2692,""fr"",""es"")"),"asesinato")</f>
        <v>asesinato</v>
      </c>
      <c r="H2692" s="3" t="s">
        <v>6840</v>
      </c>
      <c r="I2692" s="3" t="s">
        <v>6841</v>
      </c>
      <c r="J2692" s="3" t="s">
        <v>6842</v>
      </c>
      <c r="K2692" s="3" t="s">
        <v>6843</v>
      </c>
      <c r="L2692" s="3" t="s">
        <v>6844</v>
      </c>
      <c r="M2692" s="3" t="s">
        <v>6845</v>
      </c>
      <c r="N2692" s="3" t="s">
        <v>6846</v>
      </c>
      <c r="O2692" s="3" t="s">
        <v>6841</v>
      </c>
      <c r="P2692" s="3" t="s">
        <v>6847</v>
      </c>
      <c r="Q2692" s="3" t="s">
        <v>6844</v>
      </c>
      <c r="R2692" s="3" t="s">
        <v>6848</v>
      </c>
    </row>
    <row r="2693">
      <c r="A2693" s="3">
        <v>145.0</v>
      </c>
      <c r="B2693" s="3" t="s">
        <v>6738</v>
      </c>
      <c r="C2693" s="3" t="s">
        <v>190</v>
      </c>
      <c r="D2693" s="3" t="s">
        <v>6849</v>
      </c>
      <c r="E2693" s="3" t="s">
        <v>6835</v>
      </c>
      <c r="F2693" s="3" t="s">
        <v>729</v>
      </c>
      <c r="G2693" s="3" t="str">
        <f>IFERROR(__xludf.DUMMYFUNCTION("GOOGLETRANSLATE(D2693,""fr"",""es"")"),"asesinato")</f>
        <v>asesinato</v>
      </c>
    </row>
    <row r="2694">
      <c r="A2694" s="3">
        <v>146.0</v>
      </c>
      <c r="B2694" s="3" t="s">
        <v>6738</v>
      </c>
      <c r="C2694" s="3" t="s">
        <v>190</v>
      </c>
      <c r="D2694" s="3" t="s">
        <v>6850</v>
      </c>
      <c r="E2694" s="3" t="s">
        <v>6835</v>
      </c>
      <c r="F2694" s="3" t="s">
        <v>729</v>
      </c>
      <c r="G2694" s="3" t="str">
        <f>IFERROR(__xludf.DUMMYFUNCTION("GOOGLETRANSLATE(D2694,""fr"",""es"")"),"asesinato")</f>
        <v>asesinato</v>
      </c>
    </row>
    <row r="2695">
      <c r="A2695" s="3">
        <v>147.0</v>
      </c>
      <c r="B2695" s="3" t="s">
        <v>6738</v>
      </c>
      <c r="C2695" s="3" t="s">
        <v>190</v>
      </c>
      <c r="D2695" s="3" t="s">
        <v>741</v>
      </c>
      <c r="E2695" s="3" t="s">
        <v>6851</v>
      </c>
      <c r="F2695" s="3" t="s">
        <v>743</v>
      </c>
      <c r="G2695" s="3" t="str">
        <f>IFERROR(__xludf.DUMMYFUNCTION("GOOGLETRANSLATE(D2695,""fr"",""es"")"),"asesino")</f>
        <v>asesino</v>
      </c>
    </row>
    <row r="2696">
      <c r="A2696" s="3">
        <v>148.0</v>
      </c>
      <c r="B2696" s="3" t="s">
        <v>6738</v>
      </c>
      <c r="C2696" s="3" t="s">
        <v>190</v>
      </c>
      <c r="D2696" s="3" t="s">
        <v>744</v>
      </c>
      <c r="E2696" s="3" t="s">
        <v>6851</v>
      </c>
      <c r="F2696" s="3" t="s">
        <v>743</v>
      </c>
      <c r="G2696" s="3" t="str">
        <f>IFERROR(__xludf.DUMMYFUNCTION("GOOGLETRANSLATE(D2696,""fr"",""es"")"),"asesinato")</f>
        <v>asesinato</v>
      </c>
    </row>
    <row r="2697">
      <c r="A2697" s="3">
        <v>149.0</v>
      </c>
      <c r="B2697" s="3" t="s">
        <v>6738</v>
      </c>
      <c r="C2697" s="3" t="s">
        <v>190</v>
      </c>
      <c r="D2697" s="3" t="s">
        <v>745</v>
      </c>
      <c r="E2697" s="3" t="s">
        <v>6851</v>
      </c>
      <c r="F2697" s="3" t="s">
        <v>743</v>
      </c>
      <c r="G2697" s="3" t="str">
        <f>IFERROR(__xludf.DUMMYFUNCTION("GOOGLETRANSLATE(D2697,""fr"",""es"")"),"asesinado")</f>
        <v>asesinado</v>
      </c>
    </row>
    <row r="2698">
      <c r="A2698" s="3">
        <v>150.0</v>
      </c>
      <c r="B2698" s="3" t="s">
        <v>6738</v>
      </c>
      <c r="C2698" s="3" t="s">
        <v>190</v>
      </c>
      <c r="D2698" s="3" t="s">
        <v>6852</v>
      </c>
      <c r="E2698" s="3" t="s">
        <v>757</v>
      </c>
      <c r="F2698" s="3" t="s">
        <v>758</v>
      </c>
      <c r="G2698" s="3" t="str">
        <f>IFERROR(__xludf.DUMMYFUNCTION("GOOGLETRANSLATE(D2698,""fr"",""es"")"),"asignado")</f>
        <v>asignado</v>
      </c>
    </row>
    <row r="2699">
      <c r="A2699" s="3">
        <v>151.0</v>
      </c>
      <c r="B2699" s="3" t="s">
        <v>6738</v>
      </c>
      <c r="C2699" s="3" t="s">
        <v>190</v>
      </c>
      <c r="D2699" s="3" t="s">
        <v>762</v>
      </c>
      <c r="E2699" s="3" t="s">
        <v>763</v>
      </c>
      <c r="F2699" s="3" t="s">
        <v>764</v>
      </c>
      <c r="G2699" s="3" t="str">
        <f>IFERROR(__xludf.DUMMYFUNCTION("GOOGLETRANSLATE(D2699,""fr"",""es"")"),"asignado")</f>
        <v>asignado</v>
      </c>
    </row>
    <row r="2700">
      <c r="A2700" s="3">
        <v>152.0</v>
      </c>
      <c r="B2700" s="3" t="s">
        <v>6738</v>
      </c>
      <c r="C2700" s="3" t="s">
        <v>190</v>
      </c>
      <c r="D2700" s="3" t="s">
        <v>6853</v>
      </c>
      <c r="E2700" s="3" t="s">
        <v>757</v>
      </c>
      <c r="F2700" s="3" t="s">
        <v>758</v>
      </c>
      <c r="G2700" s="3" t="str">
        <f>IFERROR(__xludf.DUMMYFUNCTION("GOOGLETRANSLATE(D2700,""fr"",""es"")"),"asignación")</f>
        <v>asignación</v>
      </c>
    </row>
    <row r="2701">
      <c r="A2701" s="3">
        <v>153.0</v>
      </c>
      <c r="B2701" s="3" t="s">
        <v>6738</v>
      </c>
      <c r="C2701" s="3" t="s">
        <v>190</v>
      </c>
      <c r="D2701" s="3" t="s">
        <v>765</v>
      </c>
      <c r="E2701" s="3" t="s">
        <v>766</v>
      </c>
      <c r="F2701" s="3" t="s">
        <v>767</v>
      </c>
      <c r="G2701" s="3" t="str">
        <f>IFERROR(__xludf.DUMMYFUNCTION("GOOGLETRANSLATE(D2701,""fr"",""es"")"),"asignación")</f>
        <v>asignación</v>
      </c>
    </row>
    <row r="2702">
      <c r="A2702" s="3">
        <v>154.0</v>
      </c>
      <c r="B2702" s="3" t="s">
        <v>6738</v>
      </c>
      <c r="C2702" s="3" t="s">
        <v>190</v>
      </c>
      <c r="D2702" s="3" t="s">
        <v>768</v>
      </c>
      <c r="E2702" s="3" t="s">
        <v>766</v>
      </c>
      <c r="F2702" s="3" t="s">
        <v>767</v>
      </c>
      <c r="G2702" s="3" t="str">
        <f>IFERROR(__xludf.DUMMYFUNCTION("GOOGLETRANSLATE(D2702,""fr"",""es"")"),"asignar")</f>
        <v>asignar</v>
      </c>
    </row>
    <row r="2703">
      <c r="A2703" s="3">
        <v>155.0</v>
      </c>
      <c r="B2703" s="3" t="s">
        <v>6738</v>
      </c>
      <c r="C2703" s="3" t="s">
        <v>190</v>
      </c>
      <c r="D2703" s="3" t="s">
        <v>769</v>
      </c>
      <c r="E2703" s="3" t="s">
        <v>766</v>
      </c>
      <c r="F2703" s="3" t="s">
        <v>767</v>
      </c>
      <c r="G2703" s="3" t="str">
        <f>IFERROR(__xludf.DUMMYFUNCTION("GOOGLETRANSLATE(D2703,""fr"",""es"")"),"asignación")</f>
        <v>asignación</v>
      </c>
    </row>
    <row r="2704">
      <c r="A2704" s="3">
        <v>156.0</v>
      </c>
      <c r="B2704" s="3" t="s">
        <v>6738</v>
      </c>
      <c r="C2704" s="3" t="s">
        <v>190</v>
      </c>
      <c r="D2704" s="3" t="s">
        <v>6854</v>
      </c>
      <c r="E2704" s="3" t="s">
        <v>757</v>
      </c>
      <c r="F2704" s="3" t="s">
        <v>758</v>
      </c>
      <c r="G2704" s="3" t="str">
        <f>IFERROR(__xludf.DUMMYFUNCTION("GOOGLETRANSLATE(D2704,""fr"",""es"")"),"asignación")</f>
        <v>asignación</v>
      </c>
    </row>
    <row r="2705">
      <c r="A2705" s="3">
        <v>157.0</v>
      </c>
      <c r="B2705" s="3" t="s">
        <v>6738</v>
      </c>
      <c r="C2705" s="3" t="s">
        <v>190</v>
      </c>
      <c r="D2705" s="3" t="s">
        <v>6855</v>
      </c>
      <c r="E2705" s="3" t="s">
        <v>757</v>
      </c>
      <c r="F2705" s="3" t="s">
        <v>758</v>
      </c>
      <c r="G2705" s="3" t="str">
        <f>IFERROR(__xludf.DUMMYFUNCTION("GOOGLETRANSLATE(D2705,""fr"",""es"")"),"asignado")</f>
        <v>asignado</v>
      </c>
    </row>
    <row r="2706">
      <c r="A2706" s="3">
        <v>158.0</v>
      </c>
      <c r="B2706" s="3" t="s">
        <v>6738</v>
      </c>
      <c r="C2706" s="3" t="s">
        <v>190</v>
      </c>
      <c r="D2706" s="3" t="s">
        <v>6856</v>
      </c>
      <c r="E2706" s="3" t="s">
        <v>757</v>
      </c>
      <c r="F2706" s="3" t="s">
        <v>758</v>
      </c>
      <c r="G2706" s="3" t="str">
        <f>IFERROR(__xludf.DUMMYFUNCTION("GOOGLETRANSLATE(D2706,""fr"",""es"")"),"asignaciones")</f>
        <v>asignaciones</v>
      </c>
    </row>
    <row r="2707">
      <c r="A2707" s="3">
        <v>159.0</v>
      </c>
      <c r="B2707" s="3" t="s">
        <v>6738</v>
      </c>
      <c r="C2707" s="3" t="s">
        <v>190</v>
      </c>
      <c r="D2707" s="3" t="s">
        <v>770</v>
      </c>
      <c r="E2707" s="3" t="s">
        <v>771</v>
      </c>
      <c r="F2707" s="3" t="s">
        <v>772</v>
      </c>
      <c r="G2707" s="3" t="str">
        <f>IFERROR(__xludf.DUMMYFUNCTION("GOOGLETRANSLATE(D2707,""fr"",""es"")"),"asignar")</f>
        <v>asignar</v>
      </c>
    </row>
    <row r="2708">
      <c r="A2708" s="3">
        <v>160.0</v>
      </c>
      <c r="B2708" s="3" t="s">
        <v>6738</v>
      </c>
      <c r="C2708" s="3" t="s">
        <v>190</v>
      </c>
      <c r="D2708" s="3" t="s">
        <v>773</v>
      </c>
      <c r="E2708" s="3" t="s">
        <v>771</v>
      </c>
      <c r="F2708" s="3" t="s">
        <v>772</v>
      </c>
      <c r="G2708" s="3" t="str">
        <f>IFERROR(__xludf.DUMMYFUNCTION("GOOGLETRANSLATE(D2708,""fr"",""es"")"),"asignar")</f>
        <v>asignar</v>
      </c>
    </row>
    <row r="2709">
      <c r="A2709" s="3">
        <v>161.0</v>
      </c>
      <c r="B2709" s="3" t="s">
        <v>6738</v>
      </c>
      <c r="C2709" s="3" t="s">
        <v>190</v>
      </c>
      <c r="D2709" s="3" t="s">
        <v>774</v>
      </c>
      <c r="E2709" s="3" t="s">
        <v>771</v>
      </c>
      <c r="F2709" s="3" t="s">
        <v>772</v>
      </c>
      <c r="G2709" s="3" t="str">
        <f>IFERROR(__xludf.DUMMYFUNCTION("GOOGLETRANSLATE(D2709,""fr"",""es"")"),"asignaciones")</f>
        <v>asignaciones</v>
      </c>
    </row>
    <row r="2710">
      <c r="A2710" s="3">
        <v>162.0</v>
      </c>
      <c r="B2710" s="3" t="s">
        <v>6738</v>
      </c>
      <c r="C2710" s="3" t="s">
        <v>190</v>
      </c>
      <c r="D2710" s="3" t="s">
        <v>6857</v>
      </c>
      <c r="E2710" s="3" t="s">
        <v>6858</v>
      </c>
      <c r="F2710" s="3" t="s">
        <v>777</v>
      </c>
      <c r="G2710" s="3" t="str">
        <f>IFERROR(__xludf.DUMMYFUNCTION("GOOGLETRANSLATE(D2710,""fr"",""es"")"),"asimila")</f>
        <v>asimila</v>
      </c>
    </row>
    <row r="2711">
      <c r="A2711" s="3">
        <v>163.0</v>
      </c>
      <c r="B2711" s="3" t="s">
        <v>6738</v>
      </c>
      <c r="C2711" s="3" t="s">
        <v>190</v>
      </c>
      <c r="D2711" s="3" t="s">
        <v>781</v>
      </c>
      <c r="E2711" s="3" t="s">
        <v>6859</v>
      </c>
      <c r="F2711" s="3" t="s">
        <v>783</v>
      </c>
      <c r="G2711" s="3" t="str">
        <f>IFERROR(__xludf.DUMMYFUNCTION("GOOGLETRANSLATE(D2711,""fr"",""es"")"),"asimil")</f>
        <v>asimil</v>
      </c>
    </row>
    <row r="2712">
      <c r="A2712" s="3">
        <v>164.0</v>
      </c>
      <c r="B2712" s="3" t="s">
        <v>6738</v>
      </c>
      <c r="C2712" s="3" t="s">
        <v>190</v>
      </c>
      <c r="D2712" s="3" t="s">
        <v>6860</v>
      </c>
      <c r="E2712" s="3" t="s">
        <v>6858</v>
      </c>
      <c r="F2712" s="3" t="s">
        <v>777</v>
      </c>
      <c r="G2712" s="3" t="str">
        <f>IFERROR(__xludf.DUMMYFUNCTION("GOOGLETRANSLATE(D2712,""fr"",""es"")"),"asimilas")</f>
        <v>asimilas</v>
      </c>
    </row>
    <row r="2713">
      <c r="A2713" s="3">
        <v>165.0</v>
      </c>
      <c r="B2713" s="3" t="s">
        <v>6738</v>
      </c>
      <c r="C2713" s="3" t="s">
        <v>190</v>
      </c>
      <c r="D2713" s="3" t="s">
        <v>784</v>
      </c>
      <c r="E2713" s="3" t="s">
        <v>6861</v>
      </c>
      <c r="F2713" s="3" t="s">
        <v>786</v>
      </c>
      <c r="G2713" s="3" t="str">
        <f>IFERROR(__xludf.DUMMYFUNCTION("GOOGLETRANSLATE(D2713,""fr"",""es"")"),"asimilasses")</f>
        <v>asimilasses</v>
      </c>
    </row>
    <row r="2714">
      <c r="A2714" s="3">
        <v>166.0</v>
      </c>
      <c r="B2714" s="3" t="s">
        <v>6738</v>
      </c>
      <c r="C2714" s="3" t="s">
        <v>190</v>
      </c>
      <c r="D2714" s="3" t="s">
        <v>787</v>
      </c>
      <c r="E2714" s="3" t="s">
        <v>6861</v>
      </c>
      <c r="F2714" s="3" t="s">
        <v>786</v>
      </c>
      <c r="G2714" s="3" t="str">
        <f>IFERROR(__xludf.DUMMYFUNCTION("GOOGLETRANSLATE(D2714,""fr"",""es"")"),"asimilar")</f>
        <v>asimilar</v>
      </c>
    </row>
    <row r="2715">
      <c r="A2715" s="3">
        <v>167.0</v>
      </c>
      <c r="B2715" s="3" t="s">
        <v>6738</v>
      </c>
      <c r="C2715" s="3" t="s">
        <v>190</v>
      </c>
      <c r="D2715" s="3" t="s">
        <v>788</v>
      </c>
      <c r="E2715" s="3" t="s">
        <v>6861</v>
      </c>
      <c r="F2715" s="3" t="s">
        <v>786</v>
      </c>
      <c r="G2715" s="3" t="str">
        <f>IFERROR(__xludf.DUMMYFUNCTION("GOOGLETRANSLATE(D2715,""fr"",""es"")"),"asimilasses")</f>
        <v>asimilasses</v>
      </c>
    </row>
    <row r="2716">
      <c r="A2716" s="3">
        <v>168.0</v>
      </c>
      <c r="B2716" s="3" t="s">
        <v>6738</v>
      </c>
      <c r="C2716" s="3" t="s">
        <v>190</v>
      </c>
      <c r="D2716" s="3" t="s">
        <v>6862</v>
      </c>
      <c r="E2716" s="3" t="s">
        <v>6858</v>
      </c>
      <c r="F2716" s="3" t="s">
        <v>777</v>
      </c>
      <c r="G2716" s="3" t="str">
        <f>IFERROR(__xludf.DUMMYFUNCTION("GOOGLETRANSLATE(D2716,""fr"",""es"")"),"asimil")</f>
        <v>asimil</v>
      </c>
    </row>
    <row r="2717">
      <c r="A2717" s="3">
        <v>169.0</v>
      </c>
      <c r="B2717" s="3" t="s">
        <v>6738</v>
      </c>
      <c r="C2717" s="3" t="s">
        <v>190</v>
      </c>
      <c r="D2717" s="3" t="s">
        <v>789</v>
      </c>
      <c r="E2717" s="3" t="s">
        <v>6863</v>
      </c>
      <c r="F2717" s="3" t="s">
        <v>791</v>
      </c>
      <c r="G2717" s="3" t="str">
        <f>IFERROR(__xludf.DUMMYFUNCTION("GOOGLETRANSLATE(D2717,""fr"",""es"")"),"asimilar")</f>
        <v>asimilar</v>
      </c>
    </row>
    <row r="2718">
      <c r="A2718" s="3">
        <v>170.0</v>
      </c>
      <c r="B2718" s="3" t="s">
        <v>6738</v>
      </c>
      <c r="C2718" s="3" t="s">
        <v>190</v>
      </c>
      <c r="D2718" s="3" t="s">
        <v>792</v>
      </c>
      <c r="E2718" s="3" t="s">
        <v>6863</v>
      </c>
      <c r="F2718" s="3" t="s">
        <v>791</v>
      </c>
      <c r="G2718" s="3" t="str">
        <f>IFERROR(__xludf.DUMMYFUNCTION("GOOGLETRANSLATE(D2718,""fr"",""es"")"),"asimilar")</f>
        <v>asimilar</v>
      </c>
    </row>
    <row r="2719">
      <c r="A2719" s="3">
        <v>171.0</v>
      </c>
      <c r="B2719" s="3" t="s">
        <v>6738</v>
      </c>
      <c r="C2719" s="3" t="s">
        <v>190</v>
      </c>
      <c r="D2719" s="3" t="s">
        <v>793</v>
      </c>
      <c r="E2719" s="3" t="s">
        <v>6863</v>
      </c>
      <c r="F2719" s="3" t="s">
        <v>791</v>
      </c>
      <c r="G2719" s="3" t="str">
        <f>IFERROR(__xludf.DUMMYFUNCTION("GOOGLETRANSLATE(D2719,""fr"",""es"")"),"asimiles")</f>
        <v>asimiles</v>
      </c>
    </row>
    <row r="2720">
      <c r="A2720" s="3">
        <v>172.0</v>
      </c>
      <c r="B2720" s="3" t="s">
        <v>6738</v>
      </c>
      <c r="C2720" s="3" t="s">
        <v>190</v>
      </c>
      <c r="D2720" s="3" t="s">
        <v>794</v>
      </c>
      <c r="E2720" s="3" t="s">
        <v>795</v>
      </c>
      <c r="F2720" s="3" t="s">
        <v>796</v>
      </c>
      <c r="G2720" s="3" t="str">
        <f>IFERROR(__xludf.DUMMYFUNCTION("GOOGLETRANSLATE(D2720,""fr"",""es"")"),"se sentó")</f>
        <v>se sentó</v>
      </c>
      <c r="H2720" s="3" t="s">
        <v>797</v>
      </c>
      <c r="I2720" s="3" t="s">
        <v>798</v>
      </c>
    </row>
    <row r="2721">
      <c r="A2721" s="3">
        <v>173.0</v>
      </c>
      <c r="B2721" s="3" t="s">
        <v>6738</v>
      </c>
      <c r="C2721" s="3" t="s">
        <v>190</v>
      </c>
      <c r="D2721" s="3" t="s">
        <v>804</v>
      </c>
      <c r="E2721" s="3" t="s">
        <v>6864</v>
      </c>
      <c r="F2721" s="3" t="s">
        <v>806</v>
      </c>
      <c r="G2721" s="3" t="str">
        <f>IFERROR(__xludf.DUMMYFUNCTION("GOOGLETRANSLATE(D2721,""fr"",""es"")"),"tenso")</f>
        <v>tenso</v>
      </c>
    </row>
    <row r="2722">
      <c r="A2722" s="3">
        <v>174.0</v>
      </c>
      <c r="B2722" s="3" t="s">
        <v>6738</v>
      </c>
      <c r="C2722" s="3" t="s">
        <v>190</v>
      </c>
      <c r="D2722" s="3" t="s">
        <v>807</v>
      </c>
      <c r="E2722" s="3" t="s">
        <v>6864</v>
      </c>
      <c r="F2722" s="3" t="s">
        <v>806</v>
      </c>
      <c r="G2722" s="3" t="str">
        <f>IFERROR(__xludf.DUMMYFUNCTION("GOOGLETRANSLATE(D2722,""fr"",""es"")"),"destacar")</f>
        <v>destacar</v>
      </c>
    </row>
    <row r="2723">
      <c r="A2723" s="3">
        <v>175.0</v>
      </c>
      <c r="B2723" s="3" t="s">
        <v>6738</v>
      </c>
      <c r="C2723" s="3" t="s">
        <v>190</v>
      </c>
      <c r="D2723" s="3" t="s">
        <v>808</v>
      </c>
      <c r="E2723" s="3" t="s">
        <v>6864</v>
      </c>
      <c r="F2723" s="3" t="s">
        <v>806</v>
      </c>
      <c r="G2723" s="3" t="str">
        <f>IFERROR(__xludf.DUMMYFUNCTION("GOOGLETRANSLATE(D2723,""fr"",""es"")"),"Mensajero")</f>
        <v>Mensajero</v>
      </c>
    </row>
    <row r="2724">
      <c r="A2724" s="3">
        <v>176.0</v>
      </c>
      <c r="B2724" s="3" t="s">
        <v>6738</v>
      </c>
      <c r="C2724" s="3" t="s">
        <v>190</v>
      </c>
      <c r="D2724" s="3" t="s">
        <v>809</v>
      </c>
      <c r="E2724" s="3" t="s">
        <v>6865</v>
      </c>
      <c r="F2724" s="3" t="s">
        <v>811</v>
      </c>
      <c r="G2724" s="3" t="str">
        <f>IFERROR(__xludf.DUMMYFUNCTION("GOOGLETRANSLATE(D2724,""fr"",""es"")"),"carnoso")</f>
        <v>carnoso</v>
      </c>
    </row>
    <row r="2725">
      <c r="A2725" s="3">
        <v>177.0</v>
      </c>
      <c r="B2725" s="3" t="s">
        <v>6738</v>
      </c>
      <c r="C2725" s="3" t="s">
        <v>190</v>
      </c>
      <c r="D2725" s="3" t="s">
        <v>812</v>
      </c>
      <c r="E2725" s="3" t="s">
        <v>6864</v>
      </c>
      <c r="F2725" s="3" t="s">
        <v>806</v>
      </c>
      <c r="G2725" s="3" t="str">
        <f>IFERROR(__xludf.DUMMYFUNCTION("GOOGLETRANSLATE(D2725,""fr"",""es"")"),"suavizado")</f>
        <v>suavizado</v>
      </c>
    </row>
    <row r="2726">
      <c r="A2726" s="3">
        <v>178.0</v>
      </c>
      <c r="B2726" s="3" t="s">
        <v>6738</v>
      </c>
      <c r="C2726" s="3" t="s">
        <v>190</v>
      </c>
      <c r="D2726" s="3" t="s">
        <v>818</v>
      </c>
      <c r="E2726" s="3" t="s">
        <v>6866</v>
      </c>
      <c r="F2726" s="3" t="s">
        <v>820</v>
      </c>
      <c r="G2726" s="3" t="str">
        <f>IFERROR(__xludf.DUMMYFUNCTION("GOOGLETRANSLATE(D2726,""fr"",""es"")"),"reblandecimiento")</f>
        <v>reblandecimiento</v>
      </c>
    </row>
    <row r="2727">
      <c r="A2727" s="3">
        <v>179.0</v>
      </c>
      <c r="B2727" s="3" t="s">
        <v>6738</v>
      </c>
      <c r="C2727" s="3" t="s">
        <v>190</v>
      </c>
      <c r="D2727" s="3" t="s">
        <v>821</v>
      </c>
      <c r="E2727" s="3" t="s">
        <v>6866</v>
      </c>
      <c r="F2727" s="3" t="s">
        <v>820</v>
      </c>
      <c r="G2727" s="3" t="str">
        <f>IFERROR(__xludf.DUMMYFUNCTION("GOOGLETRANSLATE(D2727,""fr"",""es"")"),"ablandar")</f>
        <v>ablandar</v>
      </c>
    </row>
    <row r="2728">
      <c r="A2728" s="3">
        <v>180.0</v>
      </c>
      <c r="B2728" s="3" t="s">
        <v>6738</v>
      </c>
      <c r="C2728" s="3" t="s">
        <v>190</v>
      </c>
      <c r="D2728" s="3" t="s">
        <v>822</v>
      </c>
      <c r="E2728" s="3" t="s">
        <v>6866</v>
      </c>
      <c r="F2728" s="3" t="s">
        <v>820</v>
      </c>
      <c r="G2728" s="3" t="str">
        <f>IFERROR(__xludf.DUMMYFUNCTION("GOOGLETRANSLATE(D2728,""fr"",""es"")"),"suavizado")</f>
        <v>suavizado</v>
      </c>
    </row>
    <row r="2729">
      <c r="A2729" s="3">
        <v>181.0</v>
      </c>
      <c r="B2729" s="3" t="s">
        <v>6738</v>
      </c>
      <c r="C2729" s="3" t="s">
        <v>190</v>
      </c>
      <c r="D2729" s="3" t="s">
        <v>823</v>
      </c>
      <c r="E2729" s="3" t="s">
        <v>6864</v>
      </c>
      <c r="F2729" s="3" t="s">
        <v>806</v>
      </c>
      <c r="G2729" s="3" t="str">
        <f>IFERROR(__xludf.DUMMYFUNCTION("GOOGLETRANSLATE(D2729,""fr"",""es"")"),"relajación")</f>
        <v>relajación</v>
      </c>
    </row>
    <row r="2730">
      <c r="A2730" s="3">
        <v>182.0</v>
      </c>
      <c r="B2730" s="3" t="s">
        <v>6738</v>
      </c>
      <c r="C2730" s="3" t="s">
        <v>190</v>
      </c>
      <c r="D2730" s="3" t="s">
        <v>824</v>
      </c>
      <c r="E2730" s="3" t="s">
        <v>6864</v>
      </c>
      <c r="F2730" s="3" t="s">
        <v>806</v>
      </c>
      <c r="G2730" s="3" t="str">
        <f>IFERROR(__xludf.DUMMYFUNCTION("GOOGLETRANSLATE(D2730,""fr"",""es"")"),"suave")</f>
        <v>suave</v>
      </c>
    </row>
    <row r="2731">
      <c r="A2731" s="3">
        <v>183.0</v>
      </c>
      <c r="B2731" s="3" t="s">
        <v>6738</v>
      </c>
      <c r="C2731" s="3" t="s">
        <v>190</v>
      </c>
      <c r="D2731" s="3" t="s">
        <v>852</v>
      </c>
      <c r="E2731" s="3" t="s">
        <v>853</v>
      </c>
      <c r="F2731" s="3" t="s">
        <v>854</v>
      </c>
      <c r="G2731" s="3" t="str">
        <f>IFERROR(__xludf.DUMMYFUNCTION("GOOGLETRANSLATE(D2731,""fr"",""es"")"),"activo")</f>
        <v>activo</v>
      </c>
      <c r="H2731" s="3" t="s">
        <v>855</v>
      </c>
      <c r="I2731" s="3" t="s">
        <v>856</v>
      </c>
      <c r="J2731" s="3" t="s">
        <v>857</v>
      </c>
      <c r="K2731" s="3" t="s">
        <v>858</v>
      </c>
      <c r="L2731" s="3" t="s">
        <v>859</v>
      </c>
    </row>
    <row r="2732">
      <c r="A2732" s="3">
        <v>184.0</v>
      </c>
      <c r="B2732" s="3" t="s">
        <v>6738</v>
      </c>
      <c r="C2732" s="3" t="s">
        <v>190</v>
      </c>
      <c r="D2732" s="3" t="s">
        <v>860</v>
      </c>
      <c r="E2732" s="3" t="s">
        <v>853</v>
      </c>
      <c r="F2732" s="3" t="s">
        <v>854</v>
      </c>
      <c r="G2732" s="3" t="str">
        <f>IFERROR(__xludf.DUMMYFUNCTION("GOOGLETRANSLATE(D2732,""fr"",""es"")"),"activos")</f>
        <v>activos</v>
      </c>
    </row>
    <row r="2733">
      <c r="A2733" s="3">
        <v>185.0</v>
      </c>
      <c r="B2733" s="3" t="s">
        <v>6738</v>
      </c>
      <c r="C2733" s="3" t="s">
        <v>190</v>
      </c>
      <c r="D2733" s="3" t="s">
        <v>861</v>
      </c>
      <c r="E2733" s="3" t="s">
        <v>862</v>
      </c>
      <c r="F2733" s="3" t="s">
        <v>863</v>
      </c>
      <c r="G2733" s="3" t="str">
        <f>IFERROR(__xludf.DUMMYFUNCTION("GOOGLETRANSLATE(D2733,""fr"",""es"")"),"Atátano")</f>
        <v>Atátano</v>
      </c>
    </row>
    <row r="2734">
      <c r="A2734" s="3">
        <v>186.0</v>
      </c>
      <c r="B2734" s="3" t="s">
        <v>6738</v>
      </c>
      <c r="C2734" s="3" t="s">
        <v>190</v>
      </c>
      <c r="D2734" s="3" t="s">
        <v>6867</v>
      </c>
      <c r="E2734" s="3" t="s">
        <v>865</v>
      </c>
      <c r="F2734" s="3" t="s">
        <v>866</v>
      </c>
      <c r="G2734" s="3" t="str">
        <f>IFERROR(__xludf.DUMMYFUNCTION("GOOGLETRANSLATE(D2734,""fr"",""es"")"),"atado")</f>
        <v>atado</v>
      </c>
    </row>
    <row r="2735">
      <c r="A2735" s="3">
        <v>187.0</v>
      </c>
      <c r="B2735" s="3" t="s">
        <v>6738</v>
      </c>
      <c r="C2735" s="3" t="s">
        <v>190</v>
      </c>
      <c r="D2735" s="3" t="s">
        <v>870</v>
      </c>
      <c r="E2735" s="3" t="s">
        <v>871</v>
      </c>
      <c r="F2735" s="3" t="s">
        <v>872</v>
      </c>
      <c r="G2735" s="3" t="str">
        <f>IFERROR(__xludf.DUMMYFUNCTION("GOOGLETRANSLATE(D2735,""fr"",""es"")"),"adjuntar")</f>
        <v>adjuntar</v>
      </c>
    </row>
    <row r="2736">
      <c r="A2736" s="3">
        <v>188.0</v>
      </c>
      <c r="B2736" s="3" t="s">
        <v>6738</v>
      </c>
      <c r="C2736" s="3" t="s">
        <v>190</v>
      </c>
      <c r="D2736" s="3" t="s">
        <v>6868</v>
      </c>
      <c r="E2736" s="3" t="s">
        <v>865</v>
      </c>
      <c r="F2736" s="3" t="s">
        <v>866</v>
      </c>
      <c r="G2736" s="3" t="str">
        <f>IFERROR(__xludf.DUMMYFUNCTION("GOOGLETRANSLATE(D2736,""fr"",""es"")"),"corbatas")</f>
        <v>corbatas</v>
      </c>
    </row>
    <row r="2737">
      <c r="A2737" s="3">
        <v>189.0</v>
      </c>
      <c r="B2737" s="3" t="s">
        <v>6738</v>
      </c>
      <c r="C2737" s="3" t="s">
        <v>190</v>
      </c>
      <c r="D2737" s="3" t="s">
        <v>873</v>
      </c>
      <c r="E2737" s="3" t="s">
        <v>874</v>
      </c>
      <c r="F2737" s="3" t="s">
        <v>875</v>
      </c>
      <c r="G2737" s="3" t="str">
        <f>IFERROR(__xludf.DUMMYFUNCTION("GOOGLETRANSLATE(D2737,""fr"",""es"")"),"Corbata")</f>
        <v>Corbata</v>
      </c>
    </row>
    <row r="2738">
      <c r="A2738" s="3">
        <v>190.0</v>
      </c>
      <c r="B2738" s="3" t="s">
        <v>6738</v>
      </c>
      <c r="C2738" s="3" t="s">
        <v>190</v>
      </c>
      <c r="D2738" s="3" t="s">
        <v>876</v>
      </c>
      <c r="E2738" s="3" t="s">
        <v>874</v>
      </c>
      <c r="F2738" s="3" t="s">
        <v>875</v>
      </c>
      <c r="G2738" s="3" t="str">
        <f>IFERROR(__xludf.DUMMYFUNCTION("GOOGLETRANSLATE(D2738,""fr"",""es"")"),"Corbata")</f>
        <v>Corbata</v>
      </c>
    </row>
    <row r="2739">
      <c r="A2739" s="3">
        <v>191.0</v>
      </c>
      <c r="B2739" s="3" t="s">
        <v>6738</v>
      </c>
      <c r="C2739" s="3" t="s">
        <v>190</v>
      </c>
      <c r="D2739" s="3" t="s">
        <v>877</v>
      </c>
      <c r="E2739" s="3" t="s">
        <v>874</v>
      </c>
      <c r="F2739" s="3" t="s">
        <v>875</v>
      </c>
      <c r="G2739" s="3" t="str">
        <f>IFERROR(__xludf.DUMMYFUNCTION("GOOGLETRANSLATE(D2739,""fr"",""es"")"),"corbatas")</f>
        <v>corbatas</v>
      </c>
    </row>
    <row r="2740">
      <c r="A2740" s="3">
        <v>192.0</v>
      </c>
      <c r="B2740" s="3" t="s">
        <v>6738</v>
      </c>
      <c r="C2740" s="3" t="s">
        <v>190</v>
      </c>
      <c r="D2740" s="3" t="s">
        <v>6869</v>
      </c>
      <c r="E2740" s="3" t="s">
        <v>865</v>
      </c>
      <c r="F2740" s="3" t="s">
        <v>866</v>
      </c>
      <c r="G2740" s="3" t="str">
        <f>IFERROR(__xludf.DUMMYFUNCTION("GOOGLETRANSLATE(D2740,""fr"",""es"")"),"adjuntar")</f>
        <v>adjuntar</v>
      </c>
    </row>
    <row r="2741">
      <c r="A2741" s="3">
        <v>193.0</v>
      </c>
      <c r="B2741" s="3" t="s">
        <v>6738</v>
      </c>
      <c r="C2741" s="3" t="s">
        <v>190</v>
      </c>
      <c r="D2741" s="3" t="s">
        <v>878</v>
      </c>
      <c r="E2741" s="3" t="s">
        <v>879</v>
      </c>
      <c r="F2741" s="3" t="s">
        <v>880</v>
      </c>
      <c r="G2741" s="3" t="str">
        <f>IFERROR(__xludf.DUMMYFUNCTION("GOOGLETRANSLATE(D2741,""fr"",""es"")"),"adjunto")</f>
        <v>adjunto</v>
      </c>
      <c r="H2741" s="3" t="s">
        <v>881</v>
      </c>
      <c r="I2741" s="3" t="s">
        <v>882</v>
      </c>
      <c r="J2741" s="3" t="s">
        <v>883</v>
      </c>
      <c r="K2741" s="3" t="s">
        <v>884</v>
      </c>
    </row>
    <row r="2742">
      <c r="A2742" s="3">
        <v>194.0</v>
      </c>
      <c r="B2742" s="3" t="s">
        <v>6738</v>
      </c>
      <c r="C2742" s="3" t="s">
        <v>190</v>
      </c>
      <c r="D2742" s="3" t="s">
        <v>885</v>
      </c>
      <c r="E2742" s="3" t="s">
        <v>879</v>
      </c>
      <c r="F2742" s="3" t="s">
        <v>880</v>
      </c>
      <c r="G2742" s="3" t="str">
        <f>IFERROR(__xludf.DUMMYFUNCTION("GOOGLETRANSLATE(D2742,""fr"",""es"")"),"Corbata")</f>
        <v>Corbata</v>
      </c>
    </row>
    <row r="2743">
      <c r="A2743" s="3">
        <v>195.0</v>
      </c>
      <c r="B2743" s="3" t="s">
        <v>6738</v>
      </c>
      <c r="C2743" s="3" t="s">
        <v>190</v>
      </c>
      <c r="D2743" s="3" t="s">
        <v>886</v>
      </c>
      <c r="E2743" s="3" t="s">
        <v>879</v>
      </c>
      <c r="F2743" s="3" t="s">
        <v>880</v>
      </c>
      <c r="G2743" s="3" t="str">
        <f>IFERROR(__xludf.DUMMYFUNCTION("GOOGLETRANSLATE(D2743,""fr"",""es"")"),"corbatas")</f>
        <v>corbatas</v>
      </c>
    </row>
    <row r="2744">
      <c r="A2744" s="3">
        <v>196.0</v>
      </c>
      <c r="B2744" s="3" t="s">
        <v>6738</v>
      </c>
      <c r="C2744" s="3" t="s">
        <v>190</v>
      </c>
      <c r="D2744" s="3" t="s">
        <v>6870</v>
      </c>
      <c r="E2744" s="3" t="s">
        <v>888</v>
      </c>
      <c r="F2744" s="3" t="s">
        <v>889</v>
      </c>
      <c r="G2744" s="3" t="str">
        <f>IFERROR(__xludf.DUMMYFUNCTION("GOOGLETRANSLATE(D2744,""fr"",""es"")"),"atacado")</f>
        <v>atacado</v>
      </c>
    </row>
    <row r="2745">
      <c r="A2745" s="3">
        <v>197.0</v>
      </c>
      <c r="B2745" s="3" t="s">
        <v>6738</v>
      </c>
      <c r="C2745" s="3" t="s">
        <v>190</v>
      </c>
      <c r="D2745" s="3" t="s">
        <v>893</v>
      </c>
      <c r="E2745" s="3" t="s">
        <v>894</v>
      </c>
      <c r="F2745" s="3" t="s">
        <v>895</v>
      </c>
      <c r="G2745" s="3" t="str">
        <f>IFERROR(__xludf.DUMMYFUNCTION("GOOGLETRANSLATE(D2745,""fr"",""es"")"),"atacado")</f>
        <v>atacado</v>
      </c>
    </row>
    <row r="2746">
      <c r="A2746" s="3">
        <v>198.0</v>
      </c>
      <c r="B2746" s="3" t="s">
        <v>6738</v>
      </c>
      <c r="C2746" s="3" t="s">
        <v>190</v>
      </c>
      <c r="D2746" s="3" t="s">
        <v>6871</v>
      </c>
      <c r="E2746" s="3" t="s">
        <v>888</v>
      </c>
      <c r="F2746" s="3" t="s">
        <v>889</v>
      </c>
      <c r="G2746" s="3" t="str">
        <f>IFERROR(__xludf.DUMMYFUNCTION("GOOGLETRANSLATE(D2746,""fr"",""es"")"),"agresor")</f>
        <v>agresor</v>
      </c>
    </row>
    <row r="2747">
      <c r="A2747" s="3">
        <v>199.0</v>
      </c>
      <c r="B2747" s="3" t="s">
        <v>6738</v>
      </c>
      <c r="C2747" s="3" t="s">
        <v>190</v>
      </c>
      <c r="D2747" s="3" t="s">
        <v>896</v>
      </c>
      <c r="E2747" s="3" t="s">
        <v>897</v>
      </c>
      <c r="F2747" s="3" t="s">
        <v>898</v>
      </c>
      <c r="G2747" s="3" t="str">
        <f>IFERROR(__xludf.DUMMYFUNCTION("GOOGLETRANSLATE(D2747,""fr"",""es"")"),"ataque")</f>
        <v>ataque</v>
      </c>
    </row>
    <row r="2748">
      <c r="A2748" s="3">
        <v>200.0</v>
      </c>
      <c r="B2748" s="3" t="s">
        <v>6738</v>
      </c>
      <c r="C2748" s="3" t="s">
        <v>190</v>
      </c>
      <c r="D2748" s="3" t="s">
        <v>899</v>
      </c>
      <c r="E2748" s="3" t="s">
        <v>897</v>
      </c>
      <c r="F2748" s="3" t="s">
        <v>898</v>
      </c>
      <c r="G2748" s="3" t="str">
        <f>IFERROR(__xludf.DUMMYFUNCTION("GOOGLETRANSLATE(D2748,""fr"",""es"")"),"ataque")</f>
        <v>ataque</v>
      </c>
    </row>
    <row r="2749">
      <c r="A2749" s="3">
        <v>201.0</v>
      </c>
      <c r="B2749" s="3" t="s">
        <v>6738</v>
      </c>
      <c r="C2749" s="3" t="s">
        <v>190</v>
      </c>
      <c r="D2749" s="3" t="s">
        <v>900</v>
      </c>
      <c r="E2749" s="3" t="s">
        <v>897</v>
      </c>
      <c r="F2749" s="3" t="s">
        <v>898</v>
      </c>
      <c r="G2749" s="3" t="str">
        <f>IFERROR(__xludf.DUMMYFUNCTION("GOOGLETRANSLATE(D2749,""fr"",""es"")"),"ataque")</f>
        <v>ataque</v>
      </c>
    </row>
    <row r="2750">
      <c r="A2750" s="3">
        <v>202.0</v>
      </c>
      <c r="B2750" s="3" t="s">
        <v>6738</v>
      </c>
      <c r="C2750" s="3" t="s">
        <v>190</v>
      </c>
      <c r="D2750" s="3" t="s">
        <v>6872</v>
      </c>
      <c r="E2750" s="3" t="s">
        <v>888</v>
      </c>
      <c r="F2750" s="3" t="s">
        <v>889</v>
      </c>
      <c r="G2750" s="3" t="str">
        <f>IFERROR(__xludf.DUMMYFUNCTION("GOOGLETRANSLATE(D2750,""fr"",""es"")"),"atacado")</f>
        <v>atacado</v>
      </c>
    </row>
    <row r="2751">
      <c r="A2751" s="3">
        <v>203.0</v>
      </c>
      <c r="B2751" s="3" t="s">
        <v>6738</v>
      </c>
      <c r="C2751" s="3" t="s">
        <v>190</v>
      </c>
      <c r="D2751" s="3" t="s">
        <v>901</v>
      </c>
      <c r="E2751" s="3" t="s">
        <v>862</v>
      </c>
      <c r="F2751" s="3" t="s">
        <v>863</v>
      </c>
      <c r="G2751" s="3" t="str">
        <f>IFERROR(__xludf.DUMMYFUNCTION("GOOGLETRANSLATE(D2751,""fr"",""es"")"),"ofensivo")</f>
        <v>ofensivo</v>
      </c>
      <c r="H2751" s="3" t="s">
        <v>902</v>
      </c>
      <c r="I2751" s="3" t="s">
        <v>902</v>
      </c>
      <c r="J2751" s="3" t="s">
        <v>903</v>
      </c>
      <c r="K2751" s="3" t="s">
        <v>902</v>
      </c>
      <c r="L2751" s="3" t="s">
        <v>902</v>
      </c>
      <c r="M2751" s="3" t="s">
        <v>904</v>
      </c>
      <c r="N2751" s="3" t="s">
        <v>902</v>
      </c>
      <c r="O2751" s="3" t="s">
        <v>905</v>
      </c>
      <c r="P2751" s="3" t="s">
        <v>906</v>
      </c>
      <c r="Q2751" s="3" t="s">
        <v>902</v>
      </c>
      <c r="R2751" s="3" t="s">
        <v>907</v>
      </c>
      <c r="S2751" s="3" t="s">
        <v>902</v>
      </c>
      <c r="T2751" s="3" t="s">
        <v>908</v>
      </c>
      <c r="U2751" s="3" t="s">
        <v>909</v>
      </c>
      <c r="V2751" s="3" t="s">
        <v>910</v>
      </c>
      <c r="W2751" s="3" t="s">
        <v>911</v>
      </c>
      <c r="X2751" s="3" t="s">
        <v>912</v>
      </c>
      <c r="Y2751" s="3" t="s">
        <v>913</v>
      </c>
      <c r="Z2751" s="3" t="s">
        <v>914</v>
      </c>
      <c r="AA2751" s="3" t="s">
        <v>915</v>
      </c>
      <c r="AB2751" s="3" t="s">
        <v>904</v>
      </c>
      <c r="AC2751" s="3" t="s">
        <v>916</v>
      </c>
      <c r="AD2751" s="3" t="s">
        <v>902</v>
      </c>
      <c r="AE2751" s="3" t="s">
        <v>902</v>
      </c>
      <c r="AF2751" s="3" t="s">
        <v>917</v>
      </c>
      <c r="AG2751" s="3" t="s">
        <v>918</v>
      </c>
      <c r="AH2751" s="3" t="s">
        <v>902</v>
      </c>
      <c r="AI2751" s="3" t="s">
        <v>919</v>
      </c>
      <c r="AJ2751" s="3" t="s">
        <v>920</v>
      </c>
      <c r="AK2751" s="3" t="s">
        <v>921</v>
      </c>
      <c r="AL2751" s="3" t="s">
        <v>909</v>
      </c>
      <c r="AM2751" s="3" t="s">
        <v>922</v>
      </c>
      <c r="AN2751" s="3" t="s">
        <v>902</v>
      </c>
      <c r="AO2751" s="3" t="s">
        <v>923</v>
      </c>
      <c r="AP2751" s="3" t="s">
        <v>924</v>
      </c>
      <c r="AQ2751" s="3" t="s">
        <v>925</v>
      </c>
    </row>
    <row r="2752">
      <c r="A2752" s="3">
        <v>204.0</v>
      </c>
      <c r="B2752" s="3" t="s">
        <v>6738</v>
      </c>
      <c r="C2752" s="3" t="s">
        <v>190</v>
      </c>
      <c r="D2752" s="3" t="s">
        <v>926</v>
      </c>
      <c r="E2752" s="3" t="s">
        <v>862</v>
      </c>
      <c r="F2752" s="3" t="s">
        <v>863</v>
      </c>
      <c r="G2752" s="3" t="str">
        <f>IFERROR(__xludf.DUMMYFUNCTION("GOOGLETRANSLATE(D2752,""fr"",""es"")"),"ataque")</f>
        <v>ataque</v>
      </c>
    </row>
    <row r="2753">
      <c r="A2753" s="3">
        <v>205.0</v>
      </c>
      <c r="B2753" s="3" t="s">
        <v>6738</v>
      </c>
      <c r="C2753" s="3" t="s">
        <v>190</v>
      </c>
      <c r="D2753" s="3" t="s">
        <v>927</v>
      </c>
      <c r="E2753" s="3" t="s">
        <v>862</v>
      </c>
      <c r="F2753" s="3" t="s">
        <v>863</v>
      </c>
      <c r="G2753" s="3" t="str">
        <f>IFERROR(__xludf.DUMMYFUNCTION("GOOGLETRANSLATE(D2753,""fr"",""es"")"),"ataques")</f>
        <v>ataques</v>
      </c>
    </row>
    <row r="2754">
      <c r="A2754" s="3">
        <v>206.0</v>
      </c>
      <c r="B2754" s="3" t="s">
        <v>6738</v>
      </c>
      <c r="C2754" s="3" t="s">
        <v>190</v>
      </c>
      <c r="D2754" s="3" t="s">
        <v>6873</v>
      </c>
      <c r="E2754" s="3" t="s">
        <v>6874</v>
      </c>
      <c r="F2754" s="3" t="s">
        <v>6875</v>
      </c>
      <c r="G2754" s="3" t="str">
        <f>IFERROR(__xludf.DUMMYFUNCTION("GOOGLETRANSLATE(D2754,""fr"",""es"")"),"Atila")</f>
        <v>Atila</v>
      </c>
      <c r="H2754" s="3" t="s">
        <v>6873</v>
      </c>
      <c r="I2754" s="3" t="s">
        <v>6876</v>
      </c>
      <c r="J2754" s="3" t="s">
        <v>6877</v>
      </c>
      <c r="K2754" s="3" t="s">
        <v>6878</v>
      </c>
      <c r="L2754" s="3" t="s">
        <v>6873</v>
      </c>
      <c r="M2754" s="3" t="s">
        <v>6876</v>
      </c>
      <c r="N2754" s="3" t="s">
        <v>6877</v>
      </c>
      <c r="O2754" s="3" t="s">
        <v>6878</v>
      </c>
    </row>
    <row r="2755">
      <c r="A2755" s="3">
        <v>207.0</v>
      </c>
      <c r="B2755" s="3" t="s">
        <v>6738</v>
      </c>
      <c r="C2755" s="3" t="s">
        <v>190</v>
      </c>
      <c r="D2755" s="3" t="s">
        <v>6879</v>
      </c>
      <c r="E2755" s="3" t="s">
        <v>6880</v>
      </c>
      <c r="F2755" s="3" t="s">
        <v>6881</v>
      </c>
      <c r="G2755" s="3" t="str">
        <f>IFERROR(__xludf.DUMMYFUNCTION("GOOGLETRANSLATE(D2755,""fr"",""es"")"),"ático")</f>
        <v>ático</v>
      </c>
      <c r="H2755" s="3" t="s">
        <v>6882</v>
      </c>
      <c r="I2755" s="3" t="s">
        <v>6883</v>
      </c>
    </row>
    <row r="2756">
      <c r="A2756" s="3">
        <v>208.0</v>
      </c>
      <c r="B2756" s="3" t="s">
        <v>6738</v>
      </c>
      <c r="C2756" s="3" t="s">
        <v>190</v>
      </c>
      <c r="D2756" s="3" t="s">
        <v>6884</v>
      </c>
      <c r="E2756" s="3" t="s">
        <v>6880</v>
      </c>
      <c r="F2756" s="3" t="s">
        <v>6881</v>
      </c>
      <c r="G2756" s="3" t="str">
        <f>IFERROR(__xludf.DUMMYFUNCTION("GOOGLETRANSLATE(D2756,""fr"",""es"")"),"ático")</f>
        <v>ático</v>
      </c>
    </row>
    <row r="2757">
      <c r="A2757" s="3">
        <v>209.0</v>
      </c>
      <c r="B2757" s="3" t="s">
        <v>6738</v>
      </c>
      <c r="C2757" s="3" t="s">
        <v>190</v>
      </c>
      <c r="D2757" s="3" t="s">
        <v>6885</v>
      </c>
      <c r="E2757" s="3" t="s">
        <v>6886</v>
      </c>
      <c r="F2757" s="3" t="s">
        <v>6887</v>
      </c>
      <c r="G2757" s="3" t="str">
        <f>IFERROR(__xludf.DUMMYFUNCTION("GOOGLETRANSLATE(D2757,""fr"",""es"")"),"atípico")</f>
        <v>atípico</v>
      </c>
    </row>
    <row r="2758">
      <c r="A2758" s="3">
        <v>210.0</v>
      </c>
      <c r="B2758" s="3" t="s">
        <v>6738</v>
      </c>
      <c r="C2758" s="3" t="s">
        <v>190</v>
      </c>
      <c r="D2758" s="3" t="s">
        <v>6888</v>
      </c>
      <c r="E2758" s="3" t="s">
        <v>6886</v>
      </c>
      <c r="F2758" s="3" t="s">
        <v>6887</v>
      </c>
      <c r="G2758" s="3" t="str">
        <f>IFERROR(__xludf.DUMMYFUNCTION("GOOGLETRANSLATE(D2758,""fr"",""es"")"),"atípico")</f>
        <v>atípico</v>
      </c>
    </row>
    <row r="2759">
      <c r="A2759" s="3">
        <v>211.0</v>
      </c>
      <c r="B2759" s="3" t="s">
        <v>6738</v>
      </c>
      <c r="C2759" s="3" t="s">
        <v>190</v>
      </c>
      <c r="D2759" s="3" t="s">
        <v>354</v>
      </c>
      <c r="E2759" s="3" t="s">
        <v>353</v>
      </c>
      <c r="F2759" s="3" t="s">
        <v>354</v>
      </c>
      <c r="G2759" s="3" t="str">
        <f>IFERROR(__xludf.DUMMYFUNCTION("GOOGLETRANSLATE(D2759,""fr"",""es"")"),"sí")</f>
        <v>sí</v>
      </c>
    </row>
    <row r="2760">
      <c r="A2760" s="3">
        <v>212.0</v>
      </c>
      <c r="B2760" s="3" t="s">
        <v>6738</v>
      </c>
      <c r="C2760" s="3" t="s">
        <v>190</v>
      </c>
      <c r="D2760" s="3" t="s">
        <v>963</v>
      </c>
      <c r="E2760" s="3" t="s">
        <v>964</v>
      </c>
      <c r="F2760" s="3" t="s">
        <v>965</v>
      </c>
      <c r="G2760" s="3" t="str">
        <f>IFERROR(__xludf.DUMMYFUNCTION("GOOGLETRANSLATE(D2760,""fr"",""es"")"),"vs '")</f>
        <v>vs '</v>
      </c>
    </row>
    <row r="2761">
      <c r="A2761" s="3">
        <v>213.0</v>
      </c>
      <c r="B2761" s="3" t="s">
        <v>6738</v>
      </c>
      <c r="C2761" s="3" t="s">
        <v>190</v>
      </c>
      <c r="D2761" s="3" t="s">
        <v>966</v>
      </c>
      <c r="E2761" s="3" t="s">
        <v>964</v>
      </c>
      <c r="F2761" s="3" t="s">
        <v>965</v>
      </c>
      <c r="G2761" s="3" t="str">
        <f>IFERROR(__xludf.DUMMYFUNCTION("GOOGLETRANSLATE(D2761,""fr"",""es"")"),"vs '")</f>
        <v>vs '</v>
      </c>
    </row>
    <row r="2762">
      <c r="A2762" s="3">
        <v>214.0</v>
      </c>
      <c r="B2762" s="3" t="s">
        <v>6738</v>
      </c>
      <c r="C2762" s="3" t="s">
        <v>190</v>
      </c>
      <c r="D2762" s="3" t="s">
        <v>6889</v>
      </c>
      <c r="E2762" s="3" t="s">
        <v>1435</v>
      </c>
      <c r="F2762" s="3" t="s">
        <v>178</v>
      </c>
      <c r="G2762" s="3" t="str">
        <f>IFERROR(__xludf.DUMMYFUNCTION("GOOGLETRANSLATE(D2762,""fr"",""es"")"),"que")</f>
        <v>que</v>
      </c>
    </row>
    <row r="2763">
      <c r="A2763" s="3">
        <v>215.0</v>
      </c>
      <c r="B2763" s="3" t="s">
        <v>6738</v>
      </c>
      <c r="C2763" s="3" t="s">
        <v>190</v>
      </c>
      <c r="D2763" s="3" t="s">
        <v>6890</v>
      </c>
      <c r="E2763" s="3" t="s">
        <v>1435</v>
      </c>
      <c r="F2763" s="3" t="s">
        <v>178</v>
      </c>
      <c r="G2763" s="3" t="str">
        <f>IFERROR(__xludf.DUMMYFUNCTION("GOOGLETRANSLATE(D2763,""fr"",""es"")"),"que")</f>
        <v>que</v>
      </c>
      <c r="H2763" s="3" t="s">
        <v>2359</v>
      </c>
      <c r="I2763" s="3" t="s">
        <v>2360</v>
      </c>
    </row>
    <row r="2764">
      <c r="A2764" s="3">
        <v>216.0</v>
      </c>
      <c r="B2764" s="3" t="s">
        <v>6738</v>
      </c>
      <c r="C2764" s="3" t="s">
        <v>190</v>
      </c>
      <c r="D2764" s="3" t="s">
        <v>967</v>
      </c>
      <c r="E2764" s="3" t="s">
        <v>968</v>
      </c>
      <c r="F2764" s="3" t="s">
        <v>969</v>
      </c>
      <c r="G2764" s="3" t="str">
        <f>IFERROR(__xludf.DUMMYFUNCTION("GOOGLETRANSLATE(D2764,""fr"",""es"")"),"caca")</f>
        <v>caca</v>
      </c>
    </row>
    <row r="2765">
      <c r="A2765" s="3">
        <v>217.0</v>
      </c>
      <c r="B2765" s="3" t="s">
        <v>6738</v>
      </c>
      <c r="C2765" s="3" t="s">
        <v>190</v>
      </c>
      <c r="D2765" s="3" t="s">
        <v>6891</v>
      </c>
      <c r="E2765" s="3" t="s">
        <v>968</v>
      </c>
      <c r="F2765" s="3" t="s">
        <v>969</v>
      </c>
      <c r="G2765" s="3" t="str">
        <f>IFERROR(__xludf.DUMMYFUNCTION("GOOGLETRANSLATE(D2765,""fr"",""es"")"),"cacas")</f>
        <v>cacas</v>
      </c>
    </row>
    <row r="2766">
      <c r="A2766" s="3">
        <v>218.0</v>
      </c>
      <c r="B2766" s="3" t="s">
        <v>6738</v>
      </c>
      <c r="C2766" s="3" t="s">
        <v>190</v>
      </c>
      <c r="D2766" s="3" t="s">
        <v>6892</v>
      </c>
      <c r="E2766" s="3" t="s">
        <v>971</v>
      </c>
      <c r="F2766" s="3" t="s">
        <v>972</v>
      </c>
      <c r="G2766" s="3" t="str">
        <f>IFERROR(__xludf.DUMMYFUNCTION("GOOGLETRANSLATE(D2766,""fr"",""es"")"),"escondido")</f>
        <v>escondido</v>
      </c>
    </row>
    <row r="2767">
      <c r="A2767" s="3">
        <v>219.0</v>
      </c>
      <c r="B2767" s="3" t="s">
        <v>6738</v>
      </c>
      <c r="C2767" s="3" t="s">
        <v>190</v>
      </c>
      <c r="D2767" s="3" t="s">
        <v>976</v>
      </c>
      <c r="E2767" s="3" t="s">
        <v>977</v>
      </c>
      <c r="F2767" s="3" t="s">
        <v>978</v>
      </c>
      <c r="G2767" s="3" t="str">
        <f>IFERROR(__xludf.DUMMYFUNCTION("GOOGLETRANSLATE(D2767,""fr"",""es"")"),"oculto")</f>
        <v>oculto</v>
      </c>
    </row>
    <row r="2768">
      <c r="A2768" s="3">
        <v>220.0</v>
      </c>
      <c r="B2768" s="3" t="s">
        <v>6738</v>
      </c>
      <c r="C2768" s="3" t="s">
        <v>190</v>
      </c>
      <c r="D2768" s="3" t="s">
        <v>6893</v>
      </c>
      <c r="E2768" s="3" t="s">
        <v>971</v>
      </c>
      <c r="F2768" s="3" t="s">
        <v>972</v>
      </c>
      <c r="G2768" s="3" t="str">
        <f>IFERROR(__xludf.DUMMYFUNCTION("GOOGLETRANSLATE(D2768,""fr"",""es"")"),"oculto")</f>
        <v>oculto</v>
      </c>
    </row>
    <row r="2769">
      <c r="A2769" s="3">
        <v>221.0</v>
      </c>
      <c r="B2769" s="3" t="s">
        <v>6738</v>
      </c>
      <c r="C2769" s="3" t="s">
        <v>190</v>
      </c>
      <c r="D2769" s="3" t="s">
        <v>979</v>
      </c>
      <c r="E2769" s="3" t="s">
        <v>980</v>
      </c>
      <c r="F2769" s="3" t="s">
        <v>981</v>
      </c>
      <c r="G2769" s="3" t="str">
        <f>IFERROR(__xludf.DUMMYFUNCTION("GOOGLETRANSLATE(D2769,""fr"",""es"")"),"oculto")</f>
        <v>oculto</v>
      </c>
    </row>
    <row r="2770">
      <c r="A2770" s="3">
        <v>222.0</v>
      </c>
      <c r="B2770" s="3" t="s">
        <v>6738</v>
      </c>
      <c r="C2770" s="3" t="s">
        <v>190</v>
      </c>
      <c r="D2770" s="3" t="s">
        <v>982</v>
      </c>
      <c r="E2770" s="3" t="s">
        <v>980</v>
      </c>
      <c r="F2770" s="3" t="s">
        <v>981</v>
      </c>
      <c r="G2770" s="3" t="str">
        <f>IFERROR(__xludf.DUMMYFUNCTION("GOOGLETRANSLATE(D2770,""fr"",""es"")"),"ocultar")</f>
        <v>ocultar</v>
      </c>
    </row>
    <row r="2771">
      <c r="A2771" s="3">
        <v>223.0</v>
      </c>
      <c r="B2771" s="3" t="s">
        <v>6738</v>
      </c>
      <c r="C2771" s="3" t="s">
        <v>190</v>
      </c>
      <c r="D2771" s="3" t="s">
        <v>983</v>
      </c>
      <c r="E2771" s="3" t="s">
        <v>980</v>
      </c>
      <c r="F2771" s="3" t="s">
        <v>981</v>
      </c>
      <c r="G2771" s="3" t="str">
        <f>IFERROR(__xludf.DUMMYFUNCTION("GOOGLETRANSLATE(D2771,""fr"",""es"")"),"oculto")</f>
        <v>oculto</v>
      </c>
    </row>
    <row r="2772">
      <c r="A2772" s="3">
        <v>224.0</v>
      </c>
      <c r="B2772" s="3" t="s">
        <v>6738</v>
      </c>
      <c r="C2772" s="3" t="s">
        <v>190</v>
      </c>
      <c r="D2772" s="3" t="s">
        <v>6894</v>
      </c>
      <c r="E2772" s="3" t="s">
        <v>971</v>
      </c>
      <c r="F2772" s="3" t="s">
        <v>972</v>
      </c>
      <c r="G2772" s="3" t="str">
        <f>IFERROR(__xludf.DUMMYFUNCTION("GOOGLETRANSLATE(D2772,""fr"",""es"")"),"ocultar")</f>
        <v>ocultar</v>
      </c>
    </row>
    <row r="2773">
      <c r="A2773" s="3">
        <v>225.0</v>
      </c>
      <c r="B2773" s="3" t="s">
        <v>6738</v>
      </c>
      <c r="C2773" s="3" t="s">
        <v>190</v>
      </c>
      <c r="D2773" s="3" t="s">
        <v>984</v>
      </c>
      <c r="E2773" s="3" t="s">
        <v>985</v>
      </c>
      <c r="F2773" s="3" t="s">
        <v>986</v>
      </c>
      <c r="G2773" s="3" t="str">
        <f>IFERROR(__xludf.DUMMYFUNCTION("GOOGLETRANSLATE(D2773,""fr"",""es"")"),"oculto")</f>
        <v>oculto</v>
      </c>
      <c r="H2773" s="3" t="s">
        <v>987</v>
      </c>
      <c r="I2773" s="3" t="s">
        <v>988</v>
      </c>
      <c r="J2773" s="3" t="s">
        <v>989</v>
      </c>
      <c r="K2773" s="3" t="s">
        <v>990</v>
      </c>
      <c r="L2773" s="3" t="s">
        <v>991</v>
      </c>
      <c r="M2773" s="3" t="s">
        <v>992</v>
      </c>
      <c r="N2773" s="3" t="s">
        <v>993</v>
      </c>
      <c r="O2773" s="3" t="s">
        <v>994</v>
      </c>
      <c r="P2773" s="3" t="s">
        <v>995</v>
      </c>
      <c r="Q2773" s="3" t="s">
        <v>996</v>
      </c>
      <c r="R2773" s="3" t="s">
        <v>997</v>
      </c>
      <c r="S2773" s="3" t="s">
        <v>994</v>
      </c>
      <c r="T2773" s="3" t="s">
        <v>998</v>
      </c>
      <c r="U2773" s="3" t="s">
        <v>999</v>
      </c>
    </row>
    <row r="2774">
      <c r="A2774" s="3">
        <v>226.0</v>
      </c>
      <c r="B2774" s="3" t="s">
        <v>6738</v>
      </c>
      <c r="C2774" s="3" t="s">
        <v>190</v>
      </c>
      <c r="D2774" s="3" t="s">
        <v>1000</v>
      </c>
      <c r="E2774" s="3" t="s">
        <v>985</v>
      </c>
      <c r="F2774" s="3" t="s">
        <v>986</v>
      </c>
      <c r="G2774" s="3" t="str">
        <f>IFERROR(__xludf.DUMMYFUNCTION("GOOGLETRANSLATE(D2774,""fr"",""es"")"),"ocultar")</f>
        <v>ocultar</v>
      </c>
    </row>
    <row r="2775">
      <c r="A2775" s="3">
        <v>227.0</v>
      </c>
      <c r="B2775" s="3" t="s">
        <v>6738</v>
      </c>
      <c r="C2775" s="3" t="s">
        <v>190</v>
      </c>
      <c r="D2775" s="3" t="s">
        <v>1001</v>
      </c>
      <c r="E2775" s="3" t="s">
        <v>985</v>
      </c>
      <c r="F2775" s="3" t="s">
        <v>986</v>
      </c>
      <c r="G2775" s="3" t="str">
        <f>IFERROR(__xludf.DUMMYFUNCTION("GOOGLETRANSLATE(D2775,""fr"",""es"")"),"cachés")</f>
        <v>cachés</v>
      </c>
    </row>
    <row r="2776">
      <c r="A2776" s="3">
        <v>228.0</v>
      </c>
      <c r="B2776" s="3" t="s">
        <v>6738</v>
      </c>
      <c r="C2776" s="3" t="s">
        <v>190</v>
      </c>
      <c r="D2776" s="3" t="s">
        <v>1009</v>
      </c>
      <c r="E2776" s="3" t="s">
        <v>1010</v>
      </c>
      <c r="F2776" s="3" t="s">
        <v>1011</v>
      </c>
      <c r="G2776" s="3" t="str">
        <f>IFERROR(__xludf.DUMMYFUNCTION("GOOGLETRANSLATE(D2776,""fr"",""es"")"),"caramelo perfumado")</f>
        <v>caramelo perfumado</v>
      </c>
      <c r="H2776" s="3" t="s">
        <v>1009</v>
      </c>
    </row>
    <row r="2777">
      <c r="A2777" s="3">
        <v>229.0</v>
      </c>
      <c r="B2777" s="3" t="s">
        <v>6738</v>
      </c>
      <c r="C2777" s="3" t="s">
        <v>190</v>
      </c>
      <c r="D2777" s="3" t="s">
        <v>1012</v>
      </c>
      <c r="E2777" s="3" t="s">
        <v>1010</v>
      </c>
      <c r="F2777" s="3" t="s">
        <v>1011</v>
      </c>
      <c r="G2777" s="3" t="str">
        <f>IFERROR(__xludf.DUMMYFUNCTION("GOOGLETRANSLATE(D2777,""fr"",""es"")"),"capucha")</f>
        <v>capucha</v>
      </c>
    </row>
    <row r="2778">
      <c r="A2778" s="3">
        <v>230.0</v>
      </c>
      <c r="B2778" s="3" t="s">
        <v>6738</v>
      </c>
      <c r="C2778" s="3" t="s">
        <v>190</v>
      </c>
      <c r="D2778" s="3" t="s">
        <v>1013</v>
      </c>
      <c r="E2778" s="3" t="s">
        <v>6895</v>
      </c>
      <c r="F2778" s="3" t="s">
        <v>1015</v>
      </c>
      <c r="G2778" s="3" t="str">
        <f>IFERROR(__xludf.DUMMYFUNCTION("GOOGLETRANSLATE(D2778,""fr"",""es"")"),"cacique")</f>
        <v>cacique</v>
      </c>
    </row>
    <row r="2779">
      <c r="A2779" s="3">
        <v>231.0</v>
      </c>
      <c r="B2779" s="3" t="s">
        <v>6738</v>
      </c>
      <c r="C2779" s="3" t="s">
        <v>190</v>
      </c>
      <c r="D2779" s="3" t="s">
        <v>1016</v>
      </c>
      <c r="E2779" s="3" t="s">
        <v>6895</v>
      </c>
      <c r="F2779" s="3" t="s">
        <v>1015</v>
      </c>
      <c r="G2779" s="3" t="str">
        <f>IFERROR(__xludf.DUMMYFUNCTION("GOOGLETRANSLATE(D2779,""fr"",""es"")"),"caciques")</f>
        <v>caciques</v>
      </c>
    </row>
    <row r="2780">
      <c r="A2780" s="3">
        <v>232.0</v>
      </c>
      <c r="B2780" s="3" t="s">
        <v>6738</v>
      </c>
      <c r="C2780" s="3" t="s">
        <v>190</v>
      </c>
      <c r="D2780" s="3" t="s">
        <v>1017</v>
      </c>
      <c r="E2780" s="3" t="s">
        <v>1018</v>
      </c>
      <c r="F2780" s="3" t="s">
        <v>1019</v>
      </c>
      <c r="G2780" s="3" t="str">
        <f>IFERROR(__xludf.DUMMYFUNCTION("GOOGLETRANSLATE(D2780,""fr"",""es"")"),"cagne")</f>
        <v>cagne</v>
      </c>
    </row>
    <row r="2781">
      <c r="A2781" s="3">
        <v>233.0</v>
      </c>
      <c r="B2781" s="3" t="s">
        <v>6738</v>
      </c>
      <c r="C2781" s="3" t="s">
        <v>190</v>
      </c>
      <c r="D2781" s="3" t="s">
        <v>1020</v>
      </c>
      <c r="E2781" s="3" t="s">
        <v>1018</v>
      </c>
      <c r="F2781" s="3" t="s">
        <v>1019</v>
      </c>
      <c r="G2781" s="3" t="str">
        <f>IFERROR(__xludf.DUMMYFUNCTION("GOOGLETRANSLATE(D2781,""fr"",""es"")"),"cagnes")</f>
        <v>cagnes</v>
      </c>
    </row>
    <row r="2782">
      <c r="A2782" s="3">
        <v>234.0</v>
      </c>
      <c r="B2782" s="3" t="s">
        <v>6738</v>
      </c>
      <c r="C2782" s="3" t="s">
        <v>190</v>
      </c>
      <c r="D2782" s="3" t="s">
        <v>6896</v>
      </c>
      <c r="E2782" s="3" t="s">
        <v>1022</v>
      </c>
      <c r="F2782" s="3" t="s">
        <v>1023</v>
      </c>
      <c r="G2782" s="3" t="str">
        <f>IFERROR(__xludf.DUMMYFUNCTION("GOOGLETRANSLATE(D2782,""fr"",""es"")"),"tacaño")</f>
        <v>tacaño</v>
      </c>
    </row>
    <row r="2783">
      <c r="A2783" s="3">
        <v>235.0</v>
      </c>
      <c r="B2783" s="3" t="s">
        <v>6738</v>
      </c>
      <c r="C2783" s="3" t="s">
        <v>190</v>
      </c>
      <c r="D2783" s="3" t="s">
        <v>1027</v>
      </c>
      <c r="E2783" s="3" t="s">
        <v>1028</v>
      </c>
      <c r="F2783" s="3" t="s">
        <v>1029</v>
      </c>
      <c r="G2783" s="3" t="str">
        <f>IFERROR(__xludf.DUMMYFUNCTION("GOOGLETRANSLATE(D2783,""fr"",""es"")"),"Guijarro")</f>
        <v>Guijarro</v>
      </c>
    </row>
    <row r="2784">
      <c r="A2784" s="3">
        <v>236.0</v>
      </c>
      <c r="B2784" s="3" t="s">
        <v>6738</v>
      </c>
      <c r="C2784" s="3" t="s">
        <v>190</v>
      </c>
      <c r="D2784" s="3" t="s">
        <v>6897</v>
      </c>
      <c r="E2784" s="3" t="s">
        <v>1022</v>
      </c>
      <c r="F2784" s="3" t="s">
        <v>1023</v>
      </c>
      <c r="G2784" s="3" t="str">
        <f>IFERROR(__xludf.DUMMYFUNCTION("GOOGLETRANSLATE(D2784,""fr"",""es"")"),"guijarros")</f>
        <v>guijarros</v>
      </c>
    </row>
    <row r="2785">
      <c r="A2785" s="3">
        <v>237.0</v>
      </c>
      <c r="B2785" s="3" t="s">
        <v>6738</v>
      </c>
      <c r="C2785" s="3" t="s">
        <v>190</v>
      </c>
      <c r="D2785" s="3" t="s">
        <v>1030</v>
      </c>
      <c r="E2785" s="3" t="s">
        <v>1031</v>
      </c>
      <c r="F2785" s="3" t="s">
        <v>1032</v>
      </c>
      <c r="G2785" s="3" t="str">
        <f>IFERROR(__xludf.DUMMYFUNCTION("GOOGLETRANSLATE(D2785,""fr"",""es"")"),"Guijarro")</f>
        <v>Guijarro</v>
      </c>
    </row>
    <row r="2786">
      <c r="A2786" s="3">
        <v>238.0</v>
      </c>
      <c r="B2786" s="3" t="s">
        <v>6738</v>
      </c>
      <c r="C2786" s="3" t="s">
        <v>190</v>
      </c>
      <c r="D2786" s="3" t="s">
        <v>1033</v>
      </c>
      <c r="E2786" s="3" t="s">
        <v>1031</v>
      </c>
      <c r="F2786" s="3" t="s">
        <v>1032</v>
      </c>
      <c r="G2786" s="3" t="str">
        <f>IFERROR(__xludf.DUMMYFUNCTION("GOOGLETRANSLATE(D2786,""fr"",""es"")"),"pelar")</f>
        <v>pelar</v>
      </c>
    </row>
    <row r="2787">
      <c r="A2787" s="3">
        <v>239.0</v>
      </c>
      <c r="B2787" s="3" t="s">
        <v>6738</v>
      </c>
      <c r="C2787" s="3" t="s">
        <v>190</v>
      </c>
      <c r="D2787" s="3" t="s">
        <v>1034</v>
      </c>
      <c r="E2787" s="3" t="s">
        <v>1031</v>
      </c>
      <c r="F2787" s="3" t="s">
        <v>1032</v>
      </c>
      <c r="G2787" s="3" t="str">
        <f>IFERROR(__xludf.DUMMYFUNCTION("GOOGLETRANSLATE(D2787,""fr"",""es"")"),"guijarros")</f>
        <v>guijarros</v>
      </c>
    </row>
    <row r="2788">
      <c r="A2788" s="3">
        <v>240.0</v>
      </c>
      <c r="B2788" s="3" t="s">
        <v>6738</v>
      </c>
      <c r="C2788" s="3" t="s">
        <v>190</v>
      </c>
      <c r="D2788" s="3" t="s">
        <v>6898</v>
      </c>
      <c r="E2788" s="3" t="s">
        <v>1022</v>
      </c>
      <c r="F2788" s="3" t="s">
        <v>1023</v>
      </c>
      <c r="G2788" s="3" t="str">
        <f>IFERROR(__xludf.DUMMYFUNCTION("GOOGLETRANSLATE(D2788,""fr"",""es"")"),"Guijarro")</f>
        <v>Guijarro</v>
      </c>
    </row>
    <row r="2789">
      <c r="A2789" s="3">
        <v>241.0</v>
      </c>
      <c r="B2789" s="3" t="s">
        <v>6738</v>
      </c>
      <c r="C2789" s="3" t="s">
        <v>190</v>
      </c>
      <c r="D2789" s="3" t="s">
        <v>1035</v>
      </c>
      <c r="E2789" s="3" t="s">
        <v>1036</v>
      </c>
      <c r="F2789" s="3" t="s">
        <v>1037</v>
      </c>
      <c r="G2789" s="3" t="str">
        <f>IFERROR(__xludf.DUMMYFUNCTION("GOOGLETRANSLATE(D2789,""fr"",""es"")"),"codorniz")</f>
        <v>codorniz</v>
      </c>
      <c r="H2789" s="3" t="s">
        <v>1038</v>
      </c>
    </row>
    <row r="2790">
      <c r="A2790" s="3">
        <v>242.0</v>
      </c>
      <c r="B2790" s="3" t="s">
        <v>6738</v>
      </c>
      <c r="C2790" s="3" t="s">
        <v>190</v>
      </c>
      <c r="D2790" s="3" t="s">
        <v>1039</v>
      </c>
      <c r="E2790" s="3" t="s">
        <v>1036</v>
      </c>
      <c r="F2790" s="3" t="s">
        <v>1037</v>
      </c>
      <c r="G2790" s="3" t="str">
        <f>IFERROR(__xludf.DUMMYFUNCTION("GOOGLETRANSLATE(D2790,""fr"",""es"")"),"codorniz")</f>
        <v>codorniz</v>
      </c>
    </row>
    <row r="2791">
      <c r="A2791" s="3">
        <v>243.0</v>
      </c>
      <c r="B2791" s="3" t="s">
        <v>6738</v>
      </c>
      <c r="C2791" s="3" t="s">
        <v>190</v>
      </c>
      <c r="D2791" s="3" t="s">
        <v>1040</v>
      </c>
      <c r="E2791" s="3" t="s">
        <v>1036</v>
      </c>
      <c r="F2791" s="3" t="s">
        <v>1037</v>
      </c>
      <c r="G2791" s="3" t="str">
        <f>IFERROR(__xludf.DUMMYFUNCTION("GOOGLETRANSLATE(D2791,""fr"",""es"")"),"codorniz")</f>
        <v>codorniz</v>
      </c>
    </row>
    <row r="2792">
      <c r="A2792" s="3">
        <v>244.0</v>
      </c>
      <c r="B2792" s="3" t="s">
        <v>6738</v>
      </c>
      <c r="C2792" s="3" t="s">
        <v>190</v>
      </c>
      <c r="D2792" s="3" t="s">
        <v>1041</v>
      </c>
      <c r="E2792" s="3" t="s">
        <v>1042</v>
      </c>
      <c r="F2792" s="3" t="s">
        <v>1043</v>
      </c>
      <c r="G2792" s="3" t="str">
        <f>IFERROR(__xludf.DUMMYFUNCTION("GOOGLETRANSLATE(D2792,""fr"",""es"")"),"piedra")</f>
        <v>piedra</v>
      </c>
      <c r="H2792" s="3" t="s">
        <v>1044</v>
      </c>
      <c r="I2792" s="3" t="s">
        <v>1045</v>
      </c>
      <c r="J2792" s="3" t="s">
        <v>1046</v>
      </c>
    </row>
    <row r="2793">
      <c r="A2793" s="3">
        <v>245.0</v>
      </c>
      <c r="B2793" s="3" t="s">
        <v>6738</v>
      </c>
      <c r="C2793" s="3" t="s">
        <v>190</v>
      </c>
      <c r="D2793" s="3" t="s">
        <v>1072</v>
      </c>
      <c r="E2793" s="3" t="s">
        <v>1073</v>
      </c>
      <c r="F2793" s="3" t="s">
        <v>1074</v>
      </c>
      <c r="G2793" s="3" t="str">
        <f>IFERROR(__xludf.DUMMYFUNCTION("GOOGLETRANSLATE(D2793,""fr"",""es"")"),"California")</f>
        <v>California</v>
      </c>
      <c r="H2793" s="3" t="s">
        <v>1075</v>
      </c>
      <c r="I2793" s="3" t="s">
        <v>1075</v>
      </c>
      <c r="J2793" s="3" t="s">
        <v>1075</v>
      </c>
      <c r="K2793" s="3" t="s">
        <v>1075</v>
      </c>
      <c r="L2793" s="3" t="s">
        <v>1076</v>
      </c>
      <c r="M2793" s="3" t="s">
        <v>1075</v>
      </c>
    </row>
    <row r="2794">
      <c r="A2794" s="3">
        <v>246.0</v>
      </c>
      <c r="B2794" s="3" t="s">
        <v>6738</v>
      </c>
      <c r="C2794" s="3" t="s">
        <v>190</v>
      </c>
      <c r="D2794" s="3" t="s">
        <v>6899</v>
      </c>
      <c r="E2794" s="3" t="s">
        <v>1078</v>
      </c>
      <c r="F2794" s="3" t="s">
        <v>1079</v>
      </c>
      <c r="G2794" s="3" t="str">
        <f>IFERROR(__xludf.DUMMYFUNCTION("GOOGLETRANSLATE(D2794,""fr"",""es"")"),"cala")</f>
        <v>cala</v>
      </c>
    </row>
    <row r="2795">
      <c r="A2795" s="3">
        <v>247.0</v>
      </c>
      <c r="B2795" s="3" t="s">
        <v>6738</v>
      </c>
      <c r="C2795" s="3" t="s">
        <v>190</v>
      </c>
      <c r="D2795" s="3" t="s">
        <v>1084</v>
      </c>
      <c r="E2795" s="3" t="s">
        <v>1085</v>
      </c>
      <c r="F2795" s="3" t="s">
        <v>1086</v>
      </c>
      <c r="G2795" s="3" t="str">
        <f>IFERROR(__xludf.DUMMYFUNCTION("GOOGLETRANSLATE(D2795,""fr"",""es"")"),"calma")</f>
        <v>calma</v>
      </c>
    </row>
    <row r="2796">
      <c r="A2796" s="3">
        <v>248.0</v>
      </c>
      <c r="B2796" s="3" t="s">
        <v>6738</v>
      </c>
      <c r="C2796" s="3" t="s">
        <v>190</v>
      </c>
      <c r="D2796" s="3" t="s">
        <v>1087</v>
      </c>
      <c r="E2796" s="3" t="s">
        <v>6900</v>
      </c>
      <c r="F2796" s="3" t="s">
        <v>1089</v>
      </c>
      <c r="G2796" s="3" t="str">
        <f>IFERROR(__xludf.DUMMYFUNCTION("GOOGLETRANSLATE(D2796,""fr"",""es"")"),"calamina")</f>
        <v>calamina</v>
      </c>
      <c r="H2796" s="3" t="s">
        <v>1090</v>
      </c>
      <c r="I2796" s="3" t="s">
        <v>1087</v>
      </c>
    </row>
    <row r="2797">
      <c r="A2797" s="3">
        <v>249.0</v>
      </c>
      <c r="B2797" s="3" t="s">
        <v>6738</v>
      </c>
      <c r="C2797" s="3" t="s">
        <v>190</v>
      </c>
      <c r="D2797" s="3" t="s">
        <v>1091</v>
      </c>
      <c r="E2797" s="3" t="s">
        <v>6900</v>
      </c>
      <c r="F2797" s="3" t="s">
        <v>1089</v>
      </c>
      <c r="G2797" s="3" t="str">
        <f>IFERROR(__xludf.DUMMYFUNCTION("GOOGLETRANSLATE(D2797,""fr"",""es"")"),"calaminas")</f>
        <v>calaminas</v>
      </c>
    </row>
    <row r="2798">
      <c r="A2798" s="3">
        <v>250.0</v>
      </c>
      <c r="B2798" s="3" t="s">
        <v>6738</v>
      </c>
      <c r="C2798" s="3" t="s">
        <v>190</v>
      </c>
      <c r="D2798" s="3" t="s">
        <v>6901</v>
      </c>
      <c r="E2798" s="3" t="s">
        <v>1078</v>
      </c>
      <c r="F2798" s="3" t="s">
        <v>1079</v>
      </c>
      <c r="G2798" s="3" t="str">
        <f>IFERROR(__xludf.DUMMYFUNCTION("GOOGLETRANSLATE(D2798,""fr"",""es"")"),"calas")</f>
        <v>calas</v>
      </c>
    </row>
    <row r="2799">
      <c r="A2799" s="3">
        <v>251.0</v>
      </c>
      <c r="B2799" s="3" t="s">
        <v>6738</v>
      </c>
      <c r="C2799" s="3" t="s">
        <v>190</v>
      </c>
      <c r="D2799" s="3" t="s">
        <v>1092</v>
      </c>
      <c r="E2799" s="3" t="s">
        <v>1093</v>
      </c>
      <c r="F2799" s="3" t="s">
        <v>1094</v>
      </c>
      <c r="G2799" s="3" t="str">
        <f>IFERROR(__xludf.DUMMYFUNCTION("GOOGLETRANSLATE(D2799,""fr"",""es"")"),"calas")</f>
        <v>calas</v>
      </c>
    </row>
    <row r="2800">
      <c r="A2800" s="3">
        <v>252.0</v>
      </c>
      <c r="B2800" s="3" t="s">
        <v>6738</v>
      </c>
      <c r="C2800" s="3" t="s">
        <v>190</v>
      </c>
      <c r="D2800" s="3" t="s">
        <v>1095</v>
      </c>
      <c r="E2800" s="3" t="s">
        <v>1093</v>
      </c>
      <c r="F2800" s="3" t="s">
        <v>1094</v>
      </c>
      <c r="G2800" s="3" t="str">
        <f>IFERROR(__xludf.DUMMYFUNCTION("GOOGLETRANSLATE(D2800,""fr"",""es"")"),"ocultar")</f>
        <v>ocultar</v>
      </c>
    </row>
    <row r="2801">
      <c r="A2801" s="3">
        <v>253.0</v>
      </c>
      <c r="B2801" s="3" t="s">
        <v>6738</v>
      </c>
      <c r="C2801" s="3" t="s">
        <v>190</v>
      </c>
      <c r="D2801" s="3" t="s">
        <v>1096</v>
      </c>
      <c r="E2801" s="3" t="s">
        <v>1093</v>
      </c>
      <c r="F2801" s="3" t="s">
        <v>1094</v>
      </c>
      <c r="G2801" s="3" t="str">
        <f>IFERROR(__xludf.DUMMYFUNCTION("GOOGLETRANSLATE(D2801,""fr"",""es"")"),"calas")</f>
        <v>calas</v>
      </c>
    </row>
    <row r="2802">
      <c r="A2802" s="3">
        <v>254.0</v>
      </c>
      <c r="B2802" s="3" t="s">
        <v>6738</v>
      </c>
      <c r="C2802" s="3" t="s">
        <v>190</v>
      </c>
      <c r="D2802" s="3" t="s">
        <v>6902</v>
      </c>
      <c r="E2802" s="3" t="s">
        <v>1078</v>
      </c>
      <c r="F2802" s="3" t="s">
        <v>1079</v>
      </c>
      <c r="G2802" s="3" t="str">
        <f>IFERROR(__xludf.DUMMYFUNCTION("GOOGLETRANSLATE(D2802,""fr"",""es"")"),"calma")</f>
        <v>calma</v>
      </c>
    </row>
    <row r="2803">
      <c r="A2803" s="3">
        <v>255.0</v>
      </c>
      <c r="B2803" s="3" t="s">
        <v>6738</v>
      </c>
      <c r="C2803" s="3" t="s">
        <v>190</v>
      </c>
      <c r="D2803" s="3" t="s">
        <v>1097</v>
      </c>
      <c r="E2803" s="3" t="s">
        <v>1073</v>
      </c>
      <c r="F2803" s="3" t="s">
        <v>1074</v>
      </c>
      <c r="G2803" s="3" t="str">
        <f>IFERROR(__xludf.DUMMYFUNCTION("GOOGLETRANSLATE(D2803,""fr"",""es"")"),"mantener")</f>
        <v>mantener</v>
      </c>
      <c r="H2803" s="3" t="s">
        <v>1098</v>
      </c>
      <c r="I2803" s="3" t="s">
        <v>1099</v>
      </c>
      <c r="J2803" s="3" t="s">
        <v>1100</v>
      </c>
      <c r="K2803" s="3" t="s">
        <v>1101</v>
      </c>
      <c r="L2803" s="3" t="s">
        <v>1102</v>
      </c>
      <c r="M2803" s="3" t="s">
        <v>1103</v>
      </c>
      <c r="N2803" s="3" t="s">
        <v>1104</v>
      </c>
    </row>
    <row r="2804">
      <c r="A2804" s="3">
        <v>256.0</v>
      </c>
      <c r="B2804" s="3" t="s">
        <v>6738</v>
      </c>
      <c r="C2804" s="3" t="s">
        <v>190</v>
      </c>
      <c r="D2804" s="3" t="s">
        <v>1109</v>
      </c>
      <c r="E2804" s="3" t="s">
        <v>1073</v>
      </c>
      <c r="F2804" s="3" t="s">
        <v>1074</v>
      </c>
      <c r="G2804" s="3" t="str">
        <f>IFERROR(__xludf.DUMMYFUNCTION("GOOGLETRANSLATE(D2804,""fr"",""es"")"),"parar")</f>
        <v>parar</v>
      </c>
    </row>
    <row r="2805">
      <c r="A2805" s="3">
        <v>257.0</v>
      </c>
      <c r="B2805" s="3" t="s">
        <v>6738</v>
      </c>
      <c r="C2805" s="3" t="s">
        <v>190</v>
      </c>
      <c r="D2805" s="3" t="s">
        <v>1110</v>
      </c>
      <c r="E2805" s="3" t="s">
        <v>1073</v>
      </c>
      <c r="F2805" s="3" t="s">
        <v>1074</v>
      </c>
      <c r="G2805" s="3" t="str">
        <f>IFERROR(__xludf.DUMMYFUNCTION("GOOGLETRANSLATE(D2805,""fr"",""es"")"),"agujeros")</f>
        <v>agujeros</v>
      </c>
    </row>
    <row r="2806">
      <c r="A2806" s="3">
        <v>258.0</v>
      </c>
      <c r="B2806" s="3" t="s">
        <v>6738</v>
      </c>
      <c r="C2806" s="3" t="s">
        <v>190</v>
      </c>
      <c r="D2806" s="3" t="s">
        <v>1111</v>
      </c>
      <c r="E2806" s="3" t="s">
        <v>6903</v>
      </c>
      <c r="F2806" s="3" t="s">
        <v>1113</v>
      </c>
      <c r="G2806" s="3" t="str">
        <f>IFERROR(__xludf.DUMMYFUNCTION("GOOGLETRANSLATE(D2806,""fr"",""es"")"),"cáliz")</f>
        <v>cáliz</v>
      </c>
      <c r="H2806" s="3" t="s">
        <v>1114</v>
      </c>
      <c r="I2806" s="3" t="s">
        <v>1115</v>
      </c>
      <c r="J2806" s="3" t="s">
        <v>1116</v>
      </c>
    </row>
    <row r="2807">
      <c r="A2807" s="3">
        <v>259.0</v>
      </c>
      <c r="B2807" s="3" t="s">
        <v>6738</v>
      </c>
      <c r="C2807" s="3" t="s">
        <v>190</v>
      </c>
      <c r="D2807" s="3" t="s">
        <v>1117</v>
      </c>
      <c r="E2807" s="3" t="s">
        <v>6903</v>
      </c>
      <c r="F2807" s="3" t="s">
        <v>1113</v>
      </c>
      <c r="G2807" s="3" t="str">
        <f>IFERROR(__xludf.DUMMYFUNCTION("GOOGLETRANSLATE(D2807,""fr"",""es"")"),"cálculo")</f>
        <v>cálculo</v>
      </c>
    </row>
    <row r="2808">
      <c r="A2808" s="3">
        <v>260.0</v>
      </c>
      <c r="B2808" s="3" t="s">
        <v>6738</v>
      </c>
      <c r="C2808" s="3" t="s">
        <v>190</v>
      </c>
      <c r="D2808" s="3" t="s">
        <v>6904</v>
      </c>
      <c r="E2808" s="3" t="s">
        <v>6905</v>
      </c>
      <c r="F2808" s="3" t="s">
        <v>1120</v>
      </c>
      <c r="G2808" s="3" t="str">
        <f>IFERROR(__xludf.DUMMYFUNCTION("GOOGLETRANSLATE(D2808,""fr"",""es"")"),"mimoso")</f>
        <v>mimoso</v>
      </c>
    </row>
    <row r="2809">
      <c r="A2809" s="3">
        <v>261.0</v>
      </c>
      <c r="B2809" s="3" t="s">
        <v>6738</v>
      </c>
      <c r="C2809" s="3" t="s">
        <v>190</v>
      </c>
      <c r="D2809" s="3" t="s">
        <v>1124</v>
      </c>
      <c r="E2809" s="3" t="s">
        <v>6906</v>
      </c>
      <c r="F2809" s="3" t="s">
        <v>1126</v>
      </c>
      <c r="G2809" s="3" t="str">
        <f>IFERROR(__xludf.DUMMYFUNCTION("GOOGLETRANSLATE(D2809,""fr"",""es"")"),"abrazo")</f>
        <v>abrazo</v>
      </c>
    </row>
    <row r="2810">
      <c r="A2810" s="3">
        <v>262.0</v>
      </c>
      <c r="B2810" s="3" t="s">
        <v>6738</v>
      </c>
      <c r="C2810" s="3" t="s">
        <v>190</v>
      </c>
      <c r="D2810" s="3" t="s">
        <v>6907</v>
      </c>
      <c r="E2810" s="3" t="s">
        <v>6905</v>
      </c>
      <c r="F2810" s="3" t="s">
        <v>1120</v>
      </c>
      <c r="G2810" s="3" t="str">
        <f>IFERROR(__xludf.DUMMYFUNCTION("GOOGLETRANSLATE(D2810,""fr"",""es"")"),"mimoso")</f>
        <v>mimoso</v>
      </c>
    </row>
    <row r="2811">
      <c r="A2811" s="3">
        <v>263.0</v>
      </c>
      <c r="B2811" s="3" t="s">
        <v>6738</v>
      </c>
      <c r="C2811" s="3" t="s">
        <v>190</v>
      </c>
      <c r="D2811" s="3" t="s">
        <v>1127</v>
      </c>
      <c r="E2811" s="3" t="s">
        <v>6908</v>
      </c>
      <c r="F2811" s="3" t="s">
        <v>1129</v>
      </c>
      <c r="G2811" s="3" t="str">
        <f>IFERROR(__xludf.DUMMYFUNCTION("GOOGLETRANSLATE(D2811,""fr"",""es"")"),"abrazadera")</f>
        <v>abrazadera</v>
      </c>
    </row>
    <row r="2812">
      <c r="A2812" s="3">
        <v>264.0</v>
      </c>
      <c r="B2812" s="3" t="s">
        <v>6738</v>
      </c>
      <c r="C2812" s="3" t="s">
        <v>190</v>
      </c>
      <c r="D2812" s="3" t="s">
        <v>1130</v>
      </c>
      <c r="E2812" s="3" t="s">
        <v>6908</v>
      </c>
      <c r="F2812" s="3" t="s">
        <v>1129</v>
      </c>
      <c r="G2812" s="3" t="str">
        <f>IFERROR(__xludf.DUMMYFUNCTION("GOOGLETRANSLATE(D2812,""fr"",""es"")"),"abrazo")</f>
        <v>abrazo</v>
      </c>
    </row>
    <row r="2813">
      <c r="A2813" s="3">
        <v>265.0</v>
      </c>
      <c r="B2813" s="3" t="s">
        <v>6738</v>
      </c>
      <c r="C2813" s="3" t="s">
        <v>190</v>
      </c>
      <c r="D2813" s="3" t="s">
        <v>1131</v>
      </c>
      <c r="E2813" s="3" t="s">
        <v>6908</v>
      </c>
      <c r="F2813" s="3" t="s">
        <v>1129</v>
      </c>
      <c r="G2813" s="3" t="str">
        <f>IFERROR(__xludf.DUMMYFUNCTION("GOOGLETRANSLATE(D2813,""fr"",""es"")"),"mimoso")</f>
        <v>mimoso</v>
      </c>
    </row>
    <row r="2814">
      <c r="A2814" s="3">
        <v>266.0</v>
      </c>
      <c r="B2814" s="3" t="s">
        <v>6738</v>
      </c>
      <c r="C2814" s="3" t="s">
        <v>190</v>
      </c>
      <c r="D2814" s="3" t="s">
        <v>6909</v>
      </c>
      <c r="E2814" s="3" t="s">
        <v>6905</v>
      </c>
      <c r="F2814" s="3" t="s">
        <v>1120</v>
      </c>
      <c r="G2814" s="3" t="str">
        <f>IFERROR(__xludf.DUMMYFUNCTION("GOOGLETRANSLATE(D2814,""fr"",""es"")"),"mimoso")</f>
        <v>mimoso</v>
      </c>
    </row>
    <row r="2815">
      <c r="A2815" s="3">
        <v>267.0</v>
      </c>
      <c r="B2815" s="3" t="s">
        <v>6738</v>
      </c>
      <c r="C2815" s="3" t="s">
        <v>190</v>
      </c>
      <c r="D2815" s="3" t="s">
        <v>1132</v>
      </c>
      <c r="E2815" s="3" t="s">
        <v>6910</v>
      </c>
      <c r="F2815" s="3" t="s">
        <v>1134</v>
      </c>
      <c r="G2815" s="3" t="str">
        <f>IFERROR(__xludf.DUMMYFUNCTION("GOOGLETRANSLATE(D2815,""fr"",""es"")"),"mimoso")</f>
        <v>mimoso</v>
      </c>
    </row>
    <row r="2816">
      <c r="A2816" s="3">
        <v>268.0</v>
      </c>
      <c r="B2816" s="3" t="s">
        <v>6738</v>
      </c>
      <c r="C2816" s="3" t="s">
        <v>190</v>
      </c>
      <c r="D2816" s="3" t="s">
        <v>1135</v>
      </c>
      <c r="E2816" s="3" t="s">
        <v>6910</v>
      </c>
      <c r="F2816" s="3" t="s">
        <v>1134</v>
      </c>
      <c r="G2816" s="3" t="str">
        <f>IFERROR(__xludf.DUMMYFUNCTION("GOOGLETRANSLATE(D2816,""fr"",""es"")"),"abrazo")</f>
        <v>abrazo</v>
      </c>
    </row>
    <row r="2817">
      <c r="A2817" s="3">
        <v>269.0</v>
      </c>
      <c r="B2817" s="3" t="s">
        <v>6738</v>
      </c>
      <c r="C2817" s="3" t="s">
        <v>190</v>
      </c>
      <c r="D2817" s="3" t="s">
        <v>1136</v>
      </c>
      <c r="E2817" s="3" t="s">
        <v>6910</v>
      </c>
      <c r="F2817" s="3" t="s">
        <v>1134</v>
      </c>
      <c r="G2817" s="3" t="str">
        <f>IFERROR(__xludf.DUMMYFUNCTION("GOOGLETRANSLATE(D2817,""fr"",""es"")"),"mimoso")</f>
        <v>mimoso</v>
      </c>
    </row>
    <row r="2818">
      <c r="A2818" s="3">
        <v>270.0</v>
      </c>
      <c r="B2818" s="3" t="s">
        <v>6738</v>
      </c>
      <c r="C2818" s="3" t="s">
        <v>190</v>
      </c>
      <c r="D2818" s="3" t="s">
        <v>1137</v>
      </c>
      <c r="E2818" s="3" t="s">
        <v>1073</v>
      </c>
      <c r="F2818" s="3" t="s">
        <v>1074</v>
      </c>
      <c r="G2818" s="3" t="str">
        <f>IFERROR(__xludf.DUMMYFUNCTION("GOOGLETRANSLATE(D2818,""fr"",""es"")"),"llamadas")</f>
        <v>llamadas</v>
      </c>
    </row>
    <row r="2819">
      <c r="A2819" s="3">
        <v>271.0</v>
      </c>
      <c r="B2819" s="3" t="s">
        <v>6738</v>
      </c>
      <c r="C2819" s="3" t="s">
        <v>190</v>
      </c>
      <c r="D2819" s="3" t="s">
        <v>6911</v>
      </c>
      <c r="E2819" s="3" t="s">
        <v>1139</v>
      </c>
      <c r="F2819" s="3" t="s">
        <v>1140</v>
      </c>
      <c r="G2819" s="3" t="str">
        <f>IFERROR(__xludf.DUMMYFUNCTION("GOOGLETRANSLATE(D2819,""fr"",""es"")"),"me hizo")</f>
        <v>me hizo</v>
      </c>
    </row>
    <row r="2820">
      <c r="A2820" s="3">
        <v>272.0</v>
      </c>
      <c r="B2820" s="3" t="s">
        <v>6738</v>
      </c>
      <c r="C2820" s="3" t="s">
        <v>190</v>
      </c>
      <c r="D2820" s="3" t="s">
        <v>1144</v>
      </c>
      <c r="E2820" s="3" t="s">
        <v>1145</v>
      </c>
      <c r="F2820" s="3" t="s">
        <v>1146</v>
      </c>
      <c r="G2820" s="3" t="str">
        <f>IFERROR(__xludf.DUMMYFUNCTION("GOOGLETRANSLATE(D2820,""fr"",""es"")"),"cam a")</f>
        <v>cam a</v>
      </c>
    </row>
    <row r="2821">
      <c r="A2821" s="3">
        <v>273.0</v>
      </c>
      <c r="B2821" s="3" t="s">
        <v>6738</v>
      </c>
      <c r="C2821" s="3" t="s">
        <v>190</v>
      </c>
      <c r="D2821" s="3" t="s">
        <v>6912</v>
      </c>
      <c r="E2821" s="3" t="s">
        <v>1139</v>
      </c>
      <c r="F2821" s="3" t="s">
        <v>1140</v>
      </c>
      <c r="G2821" s="3" t="str">
        <f>IFERROR(__xludf.DUMMYFUNCTION("GOOGLETRANSLATE(D2821,""fr"",""es"")"),"Camas")</f>
        <v>Camas</v>
      </c>
    </row>
    <row r="2822">
      <c r="A2822" s="3">
        <v>274.0</v>
      </c>
      <c r="B2822" s="3" t="s">
        <v>6738</v>
      </c>
      <c r="C2822" s="3" t="s">
        <v>190</v>
      </c>
      <c r="D2822" s="3" t="s">
        <v>1147</v>
      </c>
      <c r="E2822" s="3" t="s">
        <v>1148</v>
      </c>
      <c r="F2822" s="3" t="s">
        <v>1149</v>
      </c>
      <c r="G2822" s="3" t="str">
        <f>IFERROR(__xludf.DUMMYFUNCTION("GOOGLETRANSLATE(D2822,""fr"",""es"")"),"sombra")</f>
        <v>sombra</v>
      </c>
    </row>
    <row r="2823">
      <c r="A2823" s="3">
        <v>275.0</v>
      </c>
      <c r="B2823" s="3" t="s">
        <v>6738</v>
      </c>
      <c r="C2823" s="3" t="s">
        <v>190</v>
      </c>
      <c r="D2823" s="3" t="s">
        <v>1150</v>
      </c>
      <c r="E2823" s="3" t="s">
        <v>1148</v>
      </c>
      <c r="F2823" s="3" t="s">
        <v>1149</v>
      </c>
      <c r="G2823" s="3" t="str">
        <f>IFERROR(__xludf.DUMMYFUNCTION("GOOGLETRANSLATE(D2823,""fr"",""es"")"),"sombra")</f>
        <v>sombra</v>
      </c>
    </row>
    <row r="2824">
      <c r="A2824" s="3">
        <v>276.0</v>
      </c>
      <c r="B2824" s="3" t="s">
        <v>6738</v>
      </c>
      <c r="C2824" s="3" t="s">
        <v>190</v>
      </c>
      <c r="D2824" s="3" t="s">
        <v>1151</v>
      </c>
      <c r="E2824" s="3" t="s">
        <v>1148</v>
      </c>
      <c r="F2824" s="3" t="s">
        <v>1149</v>
      </c>
      <c r="G2824" s="3" t="str">
        <f>IFERROR(__xludf.DUMMYFUNCTION("GOOGLETRANSLATE(D2824,""fr"",""es"")"),"sombras")</f>
        <v>sombras</v>
      </c>
    </row>
    <row r="2825">
      <c r="A2825" s="3">
        <v>277.0</v>
      </c>
      <c r="B2825" s="3" t="s">
        <v>6738</v>
      </c>
      <c r="C2825" s="3" t="s">
        <v>190</v>
      </c>
      <c r="D2825" s="3" t="s">
        <v>6913</v>
      </c>
      <c r="E2825" s="3" t="s">
        <v>1139</v>
      </c>
      <c r="F2825" s="3" t="s">
        <v>1140</v>
      </c>
      <c r="G2825" s="3" t="str">
        <f>IFERROR(__xludf.DUMMYFUNCTION("GOOGLETRANSLATE(D2825,""fr"",""es"")"),"camétrico")</f>
        <v>camétrico</v>
      </c>
    </row>
    <row r="2826">
      <c r="A2826" s="3">
        <v>278.0</v>
      </c>
      <c r="B2826" s="3" t="s">
        <v>6738</v>
      </c>
      <c r="C2826" s="3" t="s">
        <v>190</v>
      </c>
      <c r="D2826" s="3" t="s">
        <v>1152</v>
      </c>
      <c r="E2826" s="3" t="s">
        <v>1153</v>
      </c>
      <c r="F2826" s="3" t="s">
        <v>1154</v>
      </c>
      <c r="G2826" s="3" t="str">
        <f>IFERROR(__xludf.DUMMYFUNCTION("GOOGLETRANSLATE(D2826,""fr"",""es"")"),"leva")</f>
        <v>leva</v>
      </c>
      <c r="H2826" s="3" t="s">
        <v>1155</v>
      </c>
      <c r="I2826" s="3" t="s">
        <v>1156</v>
      </c>
      <c r="J2826" s="3" t="s">
        <v>1157</v>
      </c>
      <c r="K2826" s="3" t="s">
        <v>1158</v>
      </c>
    </row>
    <row r="2827">
      <c r="A2827" s="3">
        <v>279.0</v>
      </c>
      <c r="B2827" s="3" t="s">
        <v>6738</v>
      </c>
      <c r="C2827" s="3" t="s">
        <v>190</v>
      </c>
      <c r="D2827" s="3" t="s">
        <v>1159</v>
      </c>
      <c r="E2827" s="3" t="s">
        <v>1153</v>
      </c>
      <c r="F2827" s="3" t="s">
        <v>1154</v>
      </c>
      <c r="G2827" s="3" t="str">
        <f>IFERROR(__xludf.DUMMYFUNCTION("GOOGLETRANSLATE(D2827,""fr"",""es"")"),"este")</f>
        <v>este</v>
      </c>
    </row>
    <row r="2828">
      <c r="A2828" s="3">
        <v>280.0</v>
      </c>
      <c r="B2828" s="3" t="s">
        <v>6738</v>
      </c>
      <c r="C2828" s="3" t="s">
        <v>190</v>
      </c>
      <c r="D2828" s="3" t="s">
        <v>1160</v>
      </c>
      <c r="E2828" s="3" t="s">
        <v>1153</v>
      </c>
      <c r="F2828" s="3" t="s">
        <v>1154</v>
      </c>
      <c r="G2828" s="3" t="str">
        <f>IFERROR(__xludf.DUMMYFUNCTION("GOOGLETRANSLATE(D2828,""fr"",""es"")"),"árbol de levas")</f>
        <v>árbol de levas</v>
      </c>
    </row>
    <row r="2829">
      <c r="A2829" s="3">
        <v>281.0</v>
      </c>
      <c r="B2829" s="3" t="s">
        <v>6738</v>
      </c>
      <c r="C2829" s="3" t="s">
        <v>190</v>
      </c>
      <c r="D2829" s="3" t="s">
        <v>6914</v>
      </c>
      <c r="E2829" s="3" t="s">
        <v>1162</v>
      </c>
      <c r="F2829" s="3" t="s">
        <v>1163</v>
      </c>
      <c r="G2829" s="3" t="str">
        <f>IFERROR(__xludf.DUMMYFUNCTION("GOOGLETRANSLATE(D2829,""fr"",""es"")"),"Canadá")</f>
        <v>Canadá</v>
      </c>
    </row>
    <row r="2830">
      <c r="A2830" s="3">
        <v>282.0</v>
      </c>
      <c r="B2830" s="3" t="s">
        <v>6738</v>
      </c>
      <c r="C2830" s="3" t="s">
        <v>190</v>
      </c>
      <c r="D2830" s="3" t="s">
        <v>1165</v>
      </c>
      <c r="E2830" s="3" t="s">
        <v>1166</v>
      </c>
      <c r="F2830" s="3" t="s">
        <v>1167</v>
      </c>
      <c r="G2830" s="3" t="str">
        <f>IFERROR(__xludf.DUMMYFUNCTION("GOOGLETRANSLATE(D2830,""fr"",""es"")"),"sinvergüenza")</f>
        <v>sinvergüenza</v>
      </c>
      <c r="H2830" s="3" t="s">
        <v>1168</v>
      </c>
      <c r="I2830" s="3" t="s">
        <v>1169</v>
      </c>
      <c r="J2830" s="3" t="s">
        <v>1170</v>
      </c>
      <c r="K2830" s="3" t="s">
        <v>1171</v>
      </c>
      <c r="L2830" s="3" t="s">
        <v>1172</v>
      </c>
      <c r="M2830" s="3" t="s">
        <v>1173</v>
      </c>
      <c r="N2830" s="3" t="s">
        <v>1174</v>
      </c>
      <c r="O2830" s="3" t="s">
        <v>1175</v>
      </c>
      <c r="P2830" s="3" t="s">
        <v>1176</v>
      </c>
    </row>
    <row r="2831">
      <c r="A2831" s="3">
        <v>283.0</v>
      </c>
      <c r="B2831" s="3" t="s">
        <v>6738</v>
      </c>
      <c r="C2831" s="3" t="s">
        <v>190</v>
      </c>
      <c r="D2831" s="3" t="s">
        <v>1177</v>
      </c>
      <c r="E2831" s="3" t="s">
        <v>1166</v>
      </c>
      <c r="F2831" s="3" t="s">
        <v>1167</v>
      </c>
      <c r="G2831" s="3" t="str">
        <f>IFERROR(__xludf.DUMMYFUNCTION("GOOGLETRANSLATE(D2831,""fr"",""es"")"),"escamas")</f>
        <v>escamas</v>
      </c>
    </row>
    <row r="2832">
      <c r="A2832" s="3">
        <v>284.0</v>
      </c>
      <c r="B2832" s="3" t="s">
        <v>6738</v>
      </c>
      <c r="C2832" s="3" t="s">
        <v>190</v>
      </c>
      <c r="D2832" s="3" t="s">
        <v>1180</v>
      </c>
      <c r="E2832" s="3" t="s">
        <v>1181</v>
      </c>
      <c r="F2832" s="3" t="s">
        <v>1182</v>
      </c>
      <c r="G2832" s="3" t="str">
        <f>IFERROR(__xludf.DUMMYFUNCTION("GOOGLETRANSLATE(D2832,""fr"",""es"")"),"canal")</f>
        <v>canal</v>
      </c>
      <c r="H2832" s="3" t="s">
        <v>1180</v>
      </c>
      <c r="I2832" s="3" t="s">
        <v>1183</v>
      </c>
      <c r="J2832" s="3" t="s">
        <v>1184</v>
      </c>
      <c r="K2832" s="3" t="s">
        <v>1180</v>
      </c>
      <c r="L2832" s="3" t="s">
        <v>1185</v>
      </c>
      <c r="M2832" s="3" t="s">
        <v>1186</v>
      </c>
      <c r="N2832" s="3" t="s">
        <v>1180</v>
      </c>
      <c r="O2832" s="3" t="s">
        <v>1187</v>
      </c>
      <c r="P2832" s="3" t="s">
        <v>1180</v>
      </c>
    </row>
    <row r="2833">
      <c r="A2833" s="3">
        <v>285.0</v>
      </c>
      <c r="B2833" s="3" t="s">
        <v>6738</v>
      </c>
      <c r="C2833" s="3" t="s">
        <v>190</v>
      </c>
      <c r="D2833" s="3" t="s">
        <v>1188</v>
      </c>
      <c r="E2833" s="3" t="s">
        <v>1189</v>
      </c>
      <c r="F2833" s="3" t="s">
        <v>1190</v>
      </c>
      <c r="G2833" s="3" t="str">
        <f>IFERROR(__xludf.DUMMYFUNCTION("GOOGLETRANSLATE(D2833,""fr"",""es"")"),"lata")</f>
        <v>lata</v>
      </c>
    </row>
    <row r="2834">
      <c r="A2834" s="3">
        <v>286.0</v>
      </c>
      <c r="B2834" s="3" t="s">
        <v>6738</v>
      </c>
      <c r="C2834" s="3" t="s">
        <v>190</v>
      </c>
      <c r="D2834" s="3" t="s">
        <v>1191</v>
      </c>
      <c r="E2834" s="3" t="s">
        <v>1192</v>
      </c>
      <c r="F2834" s="3" t="s">
        <v>1193</v>
      </c>
      <c r="G2834" s="3" t="str">
        <f>IFERROR(__xludf.DUMMYFUNCTION("GOOGLETRANSLATE(D2834,""fr"",""es"")"),"canaco")</f>
        <v>canaco</v>
      </c>
    </row>
    <row r="2835">
      <c r="A2835" s="3">
        <v>287.0</v>
      </c>
      <c r="B2835" s="3" t="s">
        <v>6738</v>
      </c>
      <c r="C2835" s="3" t="s">
        <v>190</v>
      </c>
      <c r="D2835" s="3" t="s">
        <v>6915</v>
      </c>
      <c r="E2835" s="3" t="s">
        <v>1162</v>
      </c>
      <c r="F2835" s="3" t="s">
        <v>1163</v>
      </c>
      <c r="G2835" s="3" t="str">
        <f>IFERROR(__xludf.DUMMYFUNCTION("GOOGLETRANSLATE(D2835,""fr"",""es"")"),"césped")</f>
        <v>césped</v>
      </c>
    </row>
    <row r="2836">
      <c r="A2836" s="3">
        <v>288.0</v>
      </c>
      <c r="B2836" s="3" t="s">
        <v>6738</v>
      </c>
      <c r="C2836" s="3" t="s">
        <v>190</v>
      </c>
      <c r="D2836" s="3" t="s">
        <v>1194</v>
      </c>
      <c r="E2836" s="3" t="s">
        <v>1195</v>
      </c>
      <c r="F2836" s="3" t="s">
        <v>1196</v>
      </c>
      <c r="G2836" s="3" t="str">
        <f>IFERROR(__xludf.DUMMYFUNCTION("GOOGLETRANSLATE(D2836,""fr"",""es"")"),"varilla")</f>
        <v>varilla</v>
      </c>
    </row>
    <row r="2837">
      <c r="A2837" s="3">
        <v>289.0</v>
      </c>
      <c r="B2837" s="3" t="s">
        <v>6738</v>
      </c>
      <c r="C2837" s="3" t="s">
        <v>190</v>
      </c>
      <c r="D2837" s="3" t="s">
        <v>1197</v>
      </c>
      <c r="E2837" s="3" t="s">
        <v>1195</v>
      </c>
      <c r="F2837" s="3" t="s">
        <v>1196</v>
      </c>
      <c r="G2837" s="3" t="str">
        <f>IFERROR(__xludf.DUMMYFUNCTION("GOOGLETRANSLATE(D2837,""fr"",""es"")"),"morder")</f>
        <v>morder</v>
      </c>
    </row>
    <row r="2838">
      <c r="A2838" s="3">
        <v>290.0</v>
      </c>
      <c r="B2838" s="3" t="s">
        <v>6738</v>
      </c>
      <c r="C2838" s="3" t="s">
        <v>190</v>
      </c>
      <c r="D2838" s="3" t="s">
        <v>1198</v>
      </c>
      <c r="E2838" s="3" t="s">
        <v>1195</v>
      </c>
      <c r="F2838" s="3" t="s">
        <v>1196</v>
      </c>
      <c r="G2838" s="3" t="str">
        <f>IFERROR(__xludf.DUMMYFUNCTION("GOOGLETRANSLATE(D2838,""fr"",""es"")"),"cañas")</f>
        <v>cañas</v>
      </c>
    </row>
    <row r="2839">
      <c r="A2839" s="3">
        <v>291.0</v>
      </c>
      <c r="B2839" s="3" t="s">
        <v>6738</v>
      </c>
      <c r="C2839" s="3" t="s">
        <v>190</v>
      </c>
      <c r="D2839" s="3" t="s">
        <v>6916</v>
      </c>
      <c r="E2839" s="3" t="s">
        <v>1162</v>
      </c>
      <c r="F2839" s="3" t="s">
        <v>1163</v>
      </c>
      <c r="G2839" s="3" t="str">
        <f>IFERROR(__xludf.DUMMYFUNCTION("GOOGLETRANSLATE(D2839,""fr"",""es"")"),"lata")</f>
        <v>lata</v>
      </c>
    </row>
    <row r="2840">
      <c r="A2840" s="3">
        <v>292.0</v>
      </c>
      <c r="B2840" s="3" t="s">
        <v>6738</v>
      </c>
      <c r="C2840" s="3" t="s">
        <v>190</v>
      </c>
      <c r="D2840" s="3" t="s">
        <v>1203</v>
      </c>
      <c r="E2840" s="3" t="s">
        <v>1204</v>
      </c>
      <c r="F2840" s="3" t="s">
        <v>1205</v>
      </c>
      <c r="G2840" s="3" t="str">
        <f>IFERROR(__xludf.DUMMYFUNCTION("GOOGLETRANSLATE(D2840,""fr"",""es"")"),"caña")</f>
        <v>caña</v>
      </c>
      <c r="H2840" s="3" t="s">
        <v>1206</v>
      </c>
      <c r="I2840" s="3" t="s">
        <v>1206</v>
      </c>
      <c r="J2840" s="3" t="s">
        <v>1206</v>
      </c>
      <c r="K2840" s="3" t="s">
        <v>1207</v>
      </c>
      <c r="L2840" s="3" t="s">
        <v>1208</v>
      </c>
      <c r="M2840" s="3" t="s">
        <v>1206</v>
      </c>
      <c r="N2840" s="3" t="s">
        <v>1206</v>
      </c>
      <c r="O2840" s="3" t="s">
        <v>1206</v>
      </c>
      <c r="P2840" s="3" t="s">
        <v>1206</v>
      </c>
      <c r="Q2840" s="3" t="s">
        <v>1209</v>
      </c>
    </row>
    <row r="2841">
      <c r="A2841" s="3">
        <v>293.0</v>
      </c>
      <c r="B2841" s="3" t="s">
        <v>6738</v>
      </c>
      <c r="C2841" s="3" t="s">
        <v>190</v>
      </c>
      <c r="D2841" s="3" t="s">
        <v>1210</v>
      </c>
      <c r="E2841" s="3" t="s">
        <v>1204</v>
      </c>
      <c r="F2841" s="3" t="s">
        <v>1205</v>
      </c>
      <c r="G2841" s="3" t="str">
        <f>IFERROR(__xludf.DUMMYFUNCTION("GOOGLETRANSLATE(D2841,""fr"",""es"")"),"pato")</f>
        <v>pato</v>
      </c>
    </row>
    <row r="2842">
      <c r="A2842" s="3">
        <v>294.0</v>
      </c>
      <c r="B2842" s="3" t="s">
        <v>6738</v>
      </c>
      <c r="C2842" s="3" t="s">
        <v>190</v>
      </c>
      <c r="D2842" s="3" t="s">
        <v>1211</v>
      </c>
      <c r="E2842" s="3" t="s">
        <v>1204</v>
      </c>
      <c r="F2842" s="3" t="s">
        <v>1205</v>
      </c>
      <c r="G2842" s="3" t="str">
        <f>IFERROR(__xludf.DUMMYFUNCTION("GOOGLETRANSLATE(D2842,""fr"",""es"")"),"bastón")</f>
        <v>bastón</v>
      </c>
    </row>
    <row r="2843">
      <c r="A2843" s="3">
        <v>295.0</v>
      </c>
      <c r="B2843" s="3" t="s">
        <v>6738</v>
      </c>
      <c r="C2843" s="3" t="s">
        <v>190</v>
      </c>
      <c r="D2843" s="3" t="s">
        <v>1212</v>
      </c>
      <c r="E2843" s="3" t="s">
        <v>6917</v>
      </c>
      <c r="F2843" s="3" t="s">
        <v>1214</v>
      </c>
      <c r="G2843" s="3" t="str">
        <f>IFERROR(__xludf.DUMMYFUNCTION("GOOGLETRANSLATE(D2843,""fr"",""es"")"),"caniche")</f>
        <v>caniche</v>
      </c>
      <c r="H2843" s="3" t="s">
        <v>1215</v>
      </c>
      <c r="I2843" s="3" t="s">
        <v>1216</v>
      </c>
    </row>
    <row r="2844">
      <c r="A2844" s="3">
        <v>296.0</v>
      </c>
      <c r="B2844" s="3" t="s">
        <v>6738</v>
      </c>
      <c r="C2844" s="3" t="s">
        <v>190</v>
      </c>
      <c r="D2844" s="3" t="s">
        <v>1217</v>
      </c>
      <c r="E2844" s="3" t="s">
        <v>6917</v>
      </c>
      <c r="F2844" s="3" t="s">
        <v>1214</v>
      </c>
      <c r="G2844" s="3" t="str">
        <f>IFERROR(__xludf.DUMMYFUNCTION("GOOGLETRANSLATE(D2844,""fr"",""es"")"),"caniche")</f>
        <v>caniche</v>
      </c>
    </row>
    <row r="2845">
      <c r="A2845" s="3">
        <v>297.0</v>
      </c>
      <c r="B2845" s="3" t="s">
        <v>6738</v>
      </c>
      <c r="C2845" s="3" t="s">
        <v>190</v>
      </c>
      <c r="D2845" s="3" t="s">
        <v>1218</v>
      </c>
      <c r="E2845" s="3" t="s">
        <v>6918</v>
      </c>
      <c r="F2845" s="3" t="s">
        <v>1220</v>
      </c>
      <c r="G2845" s="3" t="str">
        <f>IFERROR(__xludf.DUMMYFUNCTION("GOOGLETRANSLATE(D2845,""fr"",""es"")"),"canino")</f>
        <v>canino</v>
      </c>
      <c r="H2845" s="3" t="s">
        <v>1218</v>
      </c>
      <c r="I2845" s="3" t="s">
        <v>1221</v>
      </c>
      <c r="J2845" s="3" t="s">
        <v>1218</v>
      </c>
      <c r="K2845" s="3" t="s">
        <v>1218</v>
      </c>
      <c r="L2845" s="3" t="s">
        <v>1222</v>
      </c>
      <c r="M2845" s="3" t="s">
        <v>1218</v>
      </c>
      <c r="N2845" s="3" t="s">
        <v>1223</v>
      </c>
      <c r="O2845" s="3" t="s">
        <v>1224</v>
      </c>
      <c r="P2845" s="3" t="s">
        <v>1225</v>
      </c>
      <c r="Q2845" s="3" t="s">
        <v>1226</v>
      </c>
      <c r="R2845" s="3" t="s">
        <v>1227</v>
      </c>
    </row>
    <row r="2846">
      <c r="A2846" s="3">
        <v>298.0</v>
      </c>
      <c r="B2846" s="3" t="s">
        <v>6738</v>
      </c>
      <c r="C2846" s="3" t="s">
        <v>190</v>
      </c>
      <c r="D2846" s="3" t="s">
        <v>1228</v>
      </c>
      <c r="E2846" s="3" t="s">
        <v>6918</v>
      </c>
      <c r="F2846" s="3" t="s">
        <v>1220</v>
      </c>
      <c r="G2846" s="3" t="str">
        <f>IFERROR(__xludf.DUMMYFUNCTION("GOOGLETRANSLATE(D2846,""fr"",""es"")"),"caninos")</f>
        <v>caninos</v>
      </c>
    </row>
    <row r="2847">
      <c r="A2847" s="3">
        <v>299.0</v>
      </c>
      <c r="B2847" s="3" t="s">
        <v>6738</v>
      </c>
      <c r="C2847" s="3" t="s">
        <v>190</v>
      </c>
      <c r="D2847" s="3" t="s">
        <v>1229</v>
      </c>
      <c r="E2847" s="3" t="s">
        <v>6919</v>
      </c>
      <c r="F2847" s="3" t="s">
        <v>1231</v>
      </c>
      <c r="G2847" s="3" t="str">
        <f>IFERROR(__xludf.DUMMYFUNCTION("GOOGLETRANSLATE(D2847,""fr"",""es"")"),"canisse")</f>
        <v>canisse</v>
      </c>
    </row>
    <row r="2848">
      <c r="A2848" s="3">
        <v>300.0</v>
      </c>
      <c r="B2848" s="3" t="s">
        <v>6738</v>
      </c>
      <c r="C2848" s="3" t="s">
        <v>190</v>
      </c>
      <c r="D2848" s="3" t="s">
        <v>1232</v>
      </c>
      <c r="E2848" s="3" t="s">
        <v>6919</v>
      </c>
      <c r="F2848" s="3" t="s">
        <v>1231</v>
      </c>
      <c r="G2848" s="3" t="str">
        <f>IFERROR(__xludf.DUMMYFUNCTION("GOOGLETRANSLATE(D2848,""fr"",""es"")"),"Canisses")</f>
        <v>Canisses</v>
      </c>
    </row>
    <row r="2849">
      <c r="A2849" s="3">
        <v>301.0</v>
      </c>
      <c r="B2849" s="3" t="s">
        <v>6738</v>
      </c>
      <c r="C2849" s="3" t="s">
        <v>190</v>
      </c>
      <c r="D2849" s="3" t="s">
        <v>6920</v>
      </c>
      <c r="E2849" s="3" t="s">
        <v>1162</v>
      </c>
      <c r="F2849" s="3" t="s">
        <v>1163</v>
      </c>
      <c r="G2849" s="3" t="str">
        <f>IFERROR(__xludf.DUMMYFUNCTION("GOOGLETRANSLATE(D2849,""fr"",""es"")"),"presente de no poder")</f>
        <v>presente de no poder</v>
      </c>
      <c r="H2849" s="3" t="s">
        <v>6920</v>
      </c>
    </row>
    <row r="2850">
      <c r="A2850" s="3">
        <v>302.0</v>
      </c>
      <c r="B2850" s="3" t="s">
        <v>6738</v>
      </c>
      <c r="C2850" s="3" t="s">
        <v>190</v>
      </c>
      <c r="D2850" s="3" t="s">
        <v>1237</v>
      </c>
      <c r="E2850" s="3" t="s">
        <v>1189</v>
      </c>
      <c r="F2850" s="3" t="s">
        <v>1190</v>
      </c>
      <c r="G2850" s="3" t="str">
        <f>IFERROR(__xludf.DUMMYFUNCTION("GOOGLETRANSLATE(D2850,""fr"",""es"")"),"cann.")</f>
        <v>cann.</v>
      </c>
    </row>
    <row r="2851">
      <c r="A2851" s="3">
        <v>303.0</v>
      </c>
      <c r="B2851" s="3" t="s">
        <v>6738</v>
      </c>
      <c r="C2851" s="3" t="s">
        <v>190</v>
      </c>
      <c r="D2851" s="3" t="s">
        <v>6921</v>
      </c>
      <c r="E2851" s="3" t="s">
        <v>1162</v>
      </c>
      <c r="F2851" s="3" t="s">
        <v>1163</v>
      </c>
      <c r="G2851" s="3" t="str">
        <f>IFERROR(__xludf.DUMMYFUNCTION("GOOGLETRANSLATE(D2851,""fr"",""es"")"),"cannas")</f>
        <v>cannas</v>
      </c>
    </row>
    <row r="2852">
      <c r="A2852" s="3">
        <v>304.0</v>
      </c>
      <c r="B2852" s="3" t="s">
        <v>6738</v>
      </c>
      <c r="C2852" s="3" t="s">
        <v>190</v>
      </c>
      <c r="D2852" s="3" t="s">
        <v>1238</v>
      </c>
      <c r="E2852" s="3" t="s">
        <v>1195</v>
      </c>
      <c r="F2852" s="3" t="s">
        <v>1196</v>
      </c>
      <c r="G2852" s="3" t="str">
        <f>IFERROR(__xludf.DUMMYFUNCTION("GOOGLETRANSLATE(D2852,""fr"",""es"")"),"canata")</f>
        <v>canata</v>
      </c>
    </row>
    <row r="2853">
      <c r="A2853" s="3">
        <v>305.0</v>
      </c>
      <c r="B2853" s="3" t="s">
        <v>6738</v>
      </c>
      <c r="C2853" s="3" t="s">
        <v>190</v>
      </c>
      <c r="D2853" s="3" t="s">
        <v>1239</v>
      </c>
      <c r="E2853" s="3" t="s">
        <v>1195</v>
      </c>
      <c r="F2853" s="3" t="s">
        <v>1196</v>
      </c>
      <c r="G2853" s="3" t="str">
        <f>IFERROR(__xludf.DUMMYFUNCTION("GOOGLETRANSLATE(D2853,""fr"",""es"")"),"canata")</f>
        <v>canata</v>
      </c>
    </row>
    <row r="2854">
      <c r="A2854" s="3">
        <v>306.0</v>
      </c>
      <c r="B2854" s="3" t="s">
        <v>6738</v>
      </c>
      <c r="C2854" s="3" t="s">
        <v>190</v>
      </c>
      <c r="D2854" s="3" t="s">
        <v>1240</v>
      </c>
      <c r="E2854" s="3" t="s">
        <v>1195</v>
      </c>
      <c r="F2854" s="3" t="s">
        <v>1196</v>
      </c>
      <c r="G2854" s="3" t="str">
        <f>IFERROR(__xludf.DUMMYFUNCTION("GOOGLETRANSLATE(D2854,""fr"",""es"")"),"cañón")</f>
        <v>cañón</v>
      </c>
    </row>
    <row r="2855">
      <c r="A2855" s="3">
        <v>307.0</v>
      </c>
      <c r="B2855" s="3" t="s">
        <v>6738</v>
      </c>
      <c r="C2855" s="3" t="s">
        <v>190</v>
      </c>
      <c r="D2855" s="3" t="s">
        <v>6922</v>
      </c>
      <c r="E2855" s="3" t="s">
        <v>1162</v>
      </c>
      <c r="F2855" s="3" t="s">
        <v>1163</v>
      </c>
      <c r="G2855" s="3" t="str">
        <f>IFERROR(__xludf.DUMMYFUNCTION("GOOGLETRANSLATE(D2855,""fr"",""es"")"),"cannât")</f>
        <v>cannât</v>
      </c>
    </row>
    <row r="2856">
      <c r="A2856" s="3">
        <v>308.0</v>
      </c>
      <c r="B2856" s="3" t="s">
        <v>6738</v>
      </c>
      <c r="C2856" s="3" t="s">
        <v>190</v>
      </c>
      <c r="D2856" s="3" t="s">
        <v>1241</v>
      </c>
      <c r="E2856" s="3" t="s">
        <v>1204</v>
      </c>
      <c r="F2856" s="3" t="s">
        <v>1205</v>
      </c>
      <c r="G2856" s="3" t="str">
        <f>IFERROR(__xludf.DUMMYFUNCTION("GOOGLETRANSLATE(D2856,""fr"",""es"")"),"caña")</f>
        <v>caña</v>
      </c>
      <c r="H2856" s="3" t="s">
        <v>1242</v>
      </c>
      <c r="I2856" s="3" t="s">
        <v>1243</v>
      </c>
      <c r="J2856" s="3" t="s">
        <v>1244</v>
      </c>
      <c r="K2856" s="3" t="s">
        <v>1245</v>
      </c>
      <c r="L2856" s="3" t="s">
        <v>1246</v>
      </c>
      <c r="M2856" s="3" t="s">
        <v>1203</v>
      </c>
      <c r="N2856" s="3" t="s">
        <v>1203</v>
      </c>
      <c r="O2856" s="3" t="s">
        <v>1247</v>
      </c>
      <c r="P2856" s="3" t="s">
        <v>1248</v>
      </c>
      <c r="Q2856" s="3" t="s">
        <v>1242</v>
      </c>
      <c r="R2856" s="3" t="s">
        <v>1203</v>
      </c>
      <c r="S2856" s="3" t="s">
        <v>1249</v>
      </c>
    </row>
    <row r="2857">
      <c r="A2857" s="3">
        <v>309.0</v>
      </c>
      <c r="B2857" s="3" t="s">
        <v>6738</v>
      </c>
      <c r="C2857" s="3" t="s">
        <v>190</v>
      </c>
      <c r="D2857" s="3" t="s">
        <v>1261</v>
      </c>
      <c r="E2857" s="3" t="s">
        <v>1204</v>
      </c>
      <c r="F2857" s="3" t="s">
        <v>1205</v>
      </c>
      <c r="G2857" s="3" t="str">
        <f>IFERROR(__xludf.DUMMYFUNCTION("GOOGLETRANSLATE(D2857,""fr"",""es"")"),"correr")</f>
        <v>correr</v>
      </c>
    </row>
    <row r="2858">
      <c r="A2858" s="3">
        <v>310.0</v>
      </c>
      <c r="B2858" s="3" t="s">
        <v>6738</v>
      </c>
      <c r="C2858" s="3" t="s">
        <v>190</v>
      </c>
      <c r="D2858" s="3" t="s">
        <v>1262</v>
      </c>
      <c r="E2858" s="3" t="s">
        <v>1204</v>
      </c>
      <c r="F2858" s="3" t="s">
        <v>1205</v>
      </c>
      <c r="G2858" s="3" t="str">
        <f>IFERROR(__xludf.DUMMYFUNCTION("GOOGLETRANSLATE(D2858,""fr"",""es"")"),"bastón")</f>
        <v>bastón</v>
      </c>
      <c r="H2858" s="3" t="s">
        <v>1263</v>
      </c>
    </row>
    <row r="2859">
      <c r="A2859" s="3">
        <v>311.0</v>
      </c>
      <c r="B2859" s="3" t="s">
        <v>6738</v>
      </c>
      <c r="C2859" s="3" t="s">
        <v>190</v>
      </c>
      <c r="D2859" s="3" t="s">
        <v>1263</v>
      </c>
      <c r="E2859" s="3" t="s">
        <v>1204</v>
      </c>
      <c r="F2859" s="3" t="s">
        <v>1205</v>
      </c>
      <c r="G2859" s="3" t="str">
        <f>IFERROR(__xludf.DUMMYFUNCTION("GOOGLETRANSLATE(D2859,""fr"",""es"")"),"Bastón")</f>
        <v>Bastón</v>
      </c>
      <c r="H2859" s="3" t="s">
        <v>1263</v>
      </c>
    </row>
    <row r="2860">
      <c r="A2860" s="3">
        <v>312.0</v>
      </c>
      <c r="B2860" s="3" t="s">
        <v>6738</v>
      </c>
      <c r="C2860" s="3" t="s">
        <v>190</v>
      </c>
      <c r="D2860" s="3" t="s">
        <v>1264</v>
      </c>
      <c r="E2860" s="3" t="s">
        <v>6919</v>
      </c>
      <c r="F2860" s="3" t="s">
        <v>1231</v>
      </c>
      <c r="G2860" s="3" t="str">
        <f>IFERROR(__xludf.DUMMYFUNCTION("GOOGLETRANSLATE(D2860,""fr"",""es"")"),"cannisse")</f>
        <v>cannisse</v>
      </c>
    </row>
    <row r="2861">
      <c r="A2861" s="3">
        <v>313.0</v>
      </c>
      <c r="B2861" s="3" t="s">
        <v>6738</v>
      </c>
      <c r="C2861" s="3" t="s">
        <v>190</v>
      </c>
      <c r="D2861" s="3" t="s">
        <v>1265</v>
      </c>
      <c r="E2861" s="3" t="s">
        <v>6919</v>
      </c>
      <c r="F2861" s="3" t="s">
        <v>1231</v>
      </c>
      <c r="G2861" s="3" t="str">
        <f>IFERROR(__xludf.DUMMYFUNCTION("GOOGLETRANSLATE(D2861,""fr"",""es"")"),"cannisses")</f>
        <v>cannisses</v>
      </c>
    </row>
    <row r="2862">
      <c r="A2862" s="3">
        <v>314.0</v>
      </c>
      <c r="B2862" s="3" t="s">
        <v>6738</v>
      </c>
      <c r="C2862" s="3" t="s">
        <v>190</v>
      </c>
      <c r="D2862" s="3" t="s">
        <v>1266</v>
      </c>
      <c r="E2862" s="3" t="s">
        <v>1267</v>
      </c>
      <c r="F2862" s="3" t="s">
        <v>1268</v>
      </c>
      <c r="G2862" s="3" t="str">
        <f>IFERROR(__xludf.DUMMYFUNCTION("GOOGLETRANSLATE(D2862,""fr"",""es"")"),"gorra")</f>
        <v>gorra</v>
      </c>
      <c r="H2862" s="3" t="s">
        <v>1269</v>
      </c>
      <c r="I2862" s="3" t="s">
        <v>1270</v>
      </c>
      <c r="J2862" s="3" t="s">
        <v>1269</v>
      </c>
      <c r="K2862" s="3" t="s">
        <v>1271</v>
      </c>
      <c r="L2862" s="3" t="s">
        <v>1272</v>
      </c>
      <c r="M2862" s="3" t="s">
        <v>1273</v>
      </c>
      <c r="N2862" s="3" t="s">
        <v>1274</v>
      </c>
      <c r="O2862" s="3" t="s">
        <v>1275</v>
      </c>
    </row>
    <row r="2863">
      <c r="A2863" s="3">
        <v>315.0</v>
      </c>
      <c r="B2863" s="3" t="s">
        <v>6738</v>
      </c>
      <c r="C2863" s="3" t="s">
        <v>190</v>
      </c>
      <c r="D2863" s="3" t="s">
        <v>1276</v>
      </c>
      <c r="E2863" s="3" t="s">
        <v>1267</v>
      </c>
      <c r="F2863" s="3" t="s">
        <v>1268</v>
      </c>
      <c r="G2863" s="3" t="str">
        <f>IFERROR(__xludf.DUMMYFUNCTION("GOOGLETRANSLATE(D2863,""fr"",""es"")"),"Gorra")</f>
        <v>Gorra</v>
      </c>
      <c r="H2863" s="3" t="s">
        <v>1269</v>
      </c>
      <c r="I2863" s="3" t="s">
        <v>1270</v>
      </c>
      <c r="J2863" s="3" t="s">
        <v>1269</v>
      </c>
      <c r="K2863" s="3" t="s">
        <v>1271</v>
      </c>
      <c r="L2863" s="3" t="s">
        <v>1272</v>
      </c>
      <c r="M2863" s="3" t="s">
        <v>1273</v>
      </c>
      <c r="N2863" s="3" t="s">
        <v>1274</v>
      </c>
      <c r="O2863" s="3" t="s">
        <v>1275</v>
      </c>
    </row>
    <row r="2864">
      <c r="A2864" s="3">
        <v>316.0</v>
      </c>
      <c r="B2864" s="3" t="s">
        <v>6738</v>
      </c>
      <c r="C2864" s="3" t="s">
        <v>190</v>
      </c>
      <c r="D2864" s="3" t="s">
        <v>1269</v>
      </c>
      <c r="E2864" s="3" t="s">
        <v>1267</v>
      </c>
      <c r="F2864" s="3" t="s">
        <v>1268</v>
      </c>
      <c r="G2864" s="3" t="str">
        <f>IFERROR(__xludf.DUMMYFUNCTION("GOOGLETRANSLATE(D2864,""fr"",""es"")"),"capa")</f>
        <v>capa</v>
      </c>
      <c r="H2864" s="3" t="s">
        <v>1269</v>
      </c>
      <c r="I2864" s="3" t="s">
        <v>1270</v>
      </c>
      <c r="J2864" s="3" t="s">
        <v>1269</v>
      </c>
      <c r="K2864" s="3" t="s">
        <v>1271</v>
      </c>
    </row>
    <row r="2865">
      <c r="A2865" s="3">
        <v>317.0</v>
      </c>
      <c r="B2865" s="3" t="s">
        <v>6738</v>
      </c>
      <c r="C2865" s="3" t="s">
        <v>190</v>
      </c>
      <c r="D2865" s="3" t="s">
        <v>1277</v>
      </c>
      <c r="E2865" s="3" t="s">
        <v>1267</v>
      </c>
      <c r="F2865" s="3" t="s">
        <v>1268</v>
      </c>
      <c r="G2865" s="3" t="str">
        <f>IFERROR(__xludf.DUMMYFUNCTION("GOOGLETRANSLATE(D2865,""fr"",""es"")"),"capas")</f>
        <v>capas</v>
      </c>
    </row>
    <row r="2866">
      <c r="A2866" s="3">
        <v>318.0</v>
      </c>
      <c r="B2866" s="3" t="s">
        <v>6738</v>
      </c>
      <c r="C2866" s="3" t="s">
        <v>190</v>
      </c>
      <c r="D2866" s="3" t="s">
        <v>1302</v>
      </c>
      <c r="E2866" s="3" t="s">
        <v>6923</v>
      </c>
      <c r="F2866" s="3" t="s">
        <v>1304</v>
      </c>
      <c r="G2866" s="3" t="str">
        <f>IFERROR(__xludf.DUMMYFUNCTION("GOOGLETRANSLATE(D2866,""fr"",""es"")"),"capital")</f>
        <v>capital</v>
      </c>
      <c r="H2866" s="3" t="s">
        <v>1305</v>
      </c>
      <c r="I2866" s="3" t="s">
        <v>1306</v>
      </c>
      <c r="J2866" s="3" t="s">
        <v>1305</v>
      </c>
      <c r="K2866" s="3" t="s">
        <v>1306</v>
      </c>
      <c r="L2866" s="3" t="s">
        <v>1305</v>
      </c>
      <c r="M2866" s="3" t="s">
        <v>1306</v>
      </c>
      <c r="N2866" s="3" t="s">
        <v>1307</v>
      </c>
      <c r="O2866" s="3" t="s">
        <v>1308</v>
      </c>
      <c r="P2866" s="3" t="s">
        <v>1309</v>
      </c>
      <c r="Q2866" s="3" t="s">
        <v>1310</v>
      </c>
      <c r="R2866" s="3" t="s">
        <v>1297</v>
      </c>
      <c r="S2866" s="3" t="s">
        <v>1311</v>
      </c>
      <c r="T2866" s="3" t="s">
        <v>1302</v>
      </c>
      <c r="U2866" s="3" t="s">
        <v>1312</v>
      </c>
      <c r="V2866" s="3" t="s">
        <v>1266</v>
      </c>
      <c r="W2866" s="3" t="s">
        <v>1313</v>
      </c>
      <c r="X2866" s="3" t="s">
        <v>1314</v>
      </c>
      <c r="Y2866" s="3" t="s">
        <v>1302</v>
      </c>
      <c r="Z2866" s="3" t="s">
        <v>1302</v>
      </c>
      <c r="AA2866" s="3" t="s">
        <v>1302</v>
      </c>
      <c r="AB2866" s="3" t="s">
        <v>1315</v>
      </c>
    </row>
    <row r="2867">
      <c r="A2867" s="3">
        <v>319.0</v>
      </c>
      <c r="B2867" s="3" t="s">
        <v>6738</v>
      </c>
      <c r="C2867" s="3" t="s">
        <v>190</v>
      </c>
      <c r="D2867" s="3" t="s">
        <v>1316</v>
      </c>
      <c r="E2867" s="3" t="s">
        <v>6923</v>
      </c>
      <c r="F2867" s="3" t="s">
        <v>1304</v>
      </c>
      <c r="G2867" s="3" t="str">
        <f>IFERROR(__xludf.DUMMYFUNCTION("GOOGLETRANSLATE(D2867,""fr"",""es"")"),"ciudad capital")</f>
        <v>ciudad capital</v>
      </c>
      <c r="H2867" s="3" t="s">
        <v>1302</v>
      </c>
      <c r="I2867" s="3" t="s">
        <v>1317</v>
      </c>
      <c r="J2867" s="3" t="s">
        <v>1318</v>
      </c>
      <c r="K2867" s="3" t="s">
        <v>1302</v>
      </c>
      <c r="L2867" s="3" t="s">
        <v>1302</v>
      </c>
      <c r="M2867" s="3" t="s">
        <v>1302</v>
      </c>
      <c r="N2867" s="3" t="s">
        <v>1312</v>
      </c>
      <c r="O2867" s="3" t="s">
        <v>1266</v>
      </c>
      <c r="P2867" s="3" t="s">
        <v>1302</v>
      </c>
      <c r="Q2867" s="3" t="s">
        <v>1319</v>
      </c>
      <c r="R2867" s="3" t="s">
        <v>1320</v>
      </c>
      <c r="S2867" s="3" t="s">
        <v>1321</v>
      </c>
      <c r="T2867" s="3" t="s">
        <v>1318</v>
      </c>
      <c r="U2867" s="3" t="s">
        <v>1313</v>
      </c>
      <c r="V2867" s="3" t="s">
        <v>1314</v>
      </c>
      <c r="W2867" s="3" t="s">
        <v>1302</v>
      </c>
    </row>
    <row r="2868">
      <c r="A2868" s="3">
        <v>320.0</v>
      </c>
      <c r="B2868" s="3" t="s">
        <v>6738</v>
      </c>
      <c r="C2868" s="3" t="s">
        <v>190</v>
      </c>
      <c r="D2868" s="3" t="s">
        <v>1322</v>
      </c>
      <c r="E2868" s="3" t="s">
        <v>6923</v>
      </c>
      <c r="F2868" s="3" t="s">
        <v>1304</v>
      </c>
      <c r="G2868" s="3" t="str">
        <f>IFERROR(__xludf.DUMMYFUNCTION("GOOGLETRANSLATE(D2868,""fr"",""es"")"),"letras mayúsculas")</f>
        <v>letras mayúsculas</v>
      </c>
    </row>
    <row r="2869">
      <c r="A2869" s="3">
        <v>321.0</v>
      </c>
      <c r="B2869" s="3" t="s">
        <v>6738</v>
      </c>
      <c r="C2869" s="3" t="s">
        <v>190</v>
      </c>
      <c r="D2869" s="3" t="s">
        <v>1333</v>
      </c>
      <c r="E2869" s="3" t="s">
        <v>1267</v>
      </c>
      <c r="F2869" s="3" t="s">
        <v>1268</v>
      </c>
      <c r="G2869" s="3" t="str">
        <f>IFERROR(__xludf.DUMMYFUNCTION("GOOGLETRANSLATE(D2869,""fr"",""es"")"),"tapas")</f>
        <v>tapas</v>
      </c>
    </row>
    <row r="2870">
      <c r="A2870" s="3">
        <v>322.0</v>
      </c>
      <c r="B2870" s="3" t="s">
        <v>6738</v>
      </c>
      <c r="C2870" s="3" t="s">
        <v>190</v>
      </c>
      <c r="D2870" s="3" t="s">
        <v>6924</v>
      </c>
      <c r="E2870" s="3" t="s">
        <v>5376</v>
      </c>
      <c r="F2870" s="3" t="s">
        <v>5377</v>
      </c>
      <c r="G2870" s="3" t="str">
        <f>IFERROR(__xludf.DUMMYFUNCTION("GOOGLETRANSLATE(D2870,""fr"",""es"")"),"caso")</f>
        <v>caso</v>
      </c>
      <c r="H2870" s="3" t="s">
        <v>6925</v>
      </c>
      <c r="I2870" s="3" t="s">
        <v>6926</v>
      </c>
      <c r="J2870" s="3" t="s">
        <v>6291</v>
      </c>
      <c r="K2870" s="3" t="s">
        <v>6927</v>
      </c>
      <c r="L2870" s="3" t="s">
        <v>6928</v>
      </c>
      <c r="M2870" s="3" t="s">
        <v>6291</v>
      </c>
      <c r="N2870" s="3" t="s">
        <v>6291</v>
      </c>
      <c r="O2870" s="3" t="s">
        <v>6291</v>
      </c>
      <c r="P2870" s="3" t="s">
        <v>6929</v>
      </c>
      <c r="Q2870" s="3" t="s">
        <v>6930</v>
      </c>
      <c r="R2870" s="3" t="s">
        <v>6931</v>
      </c>
      <c r="S2870" s="3" t="s">
        <v>6291</v>
      </c>
      <c r="T2870" s="3" t="s">
        <v>6292</v>
      </c>
      <c r="U2870" s="3" t="s">
        <v>5387</v>
      </c>
      <c r="V2870" s="3" t="s">
        <v>6293</v>
      </c>
      <c r="W2870" s="3" t="s">
        <v>6932</v>
      </c>
      <c r="X2870" s="3" t="s">
        <v>6291</v>
      </c>
      <c r="Y2870" s="3" t="s">
        <v>6933</v>
      </c>
      <c r="Z2870" s="3" t="s">
        <v>6291</v>
      </c>
      <c r="AA2870" s="3" t="s">
        <v>6932</v>
      </c>
      <c r="AB2870" s="3" t="s">
        <v>6934</v>
      </c>
      <c r="AC2870" s="3" t="s">
        <v>6291</v>
      </c>
      <c r="AD2870" s="3" t="s">
        <v>6291</v>
      </c>
      <c r="AE2870" s="3" t="s">
        <v>6291</v>
      </c>
      <c r="AF2870" s="3" t="s">
        <v>6935</v>
      </c>
      <c r="AG2870" s="3" t="s">
        <v>6291</v>
      </c>
      <c r="AH2870" s="3" t="s">
        <v>6291</v>
      </c>
      <c r="AI2870" s="3" t="s">
        <v>6936</v>
      </c>
      <c r="AJ2870" s="3" t="s">
        <v>6937</v>
      </c>
      <c r="AK2870" s="3" t="s">
        <v>6938</v>
      </c>
      <c r="AL2870" s="3" t="s">
        <v>6291</v>
      </c>
      <c r="AM2870" s="3" t="s">
        <v>6939</v>
      </c>
      <c r="AN2870" s="3" t="s">
        <v>6940</v>
      </c>
      <c r="AO2870" s="3" t="s">
        <v>6941</v>
      </c>
      <c r="AP2870" s="3" t="s">
        <v>6291</v>
      </c>
      <c r="AQ2870" s="3" t="s">
        <v>6576</v>
      </c>
      <c r="AR2870" s="3" t="s">
        <v>6291</v>
      </c>
      <c r="AS2870" s="3" t="s">
        <v>6942</v>
      </c>
      <c r="AT2870" s="3" t="s">
        <v>6291</v>
      </c>
      <c r="AU2870" s="3" t="s">
        <v>6943</v>
      </c>
      <c r="AV2870" s="3" t="s">
        <v>6938</v>
      </c>
      <c r="AW2870" s="3" t="s">
        <v>6944</v>
      </c>
      <c r="AX2870" s="3" t="s">
        <v>6291</v>
      </c>
      <c r="AY2870" s="3" t="s">
        <v>6945</v>
      </c>
      <c r="AZ2870" s="3" t="s">
        <v>6291</v>
      </c>
    </row>
    <row r="2871">
      <c r="A2871" s="3">
        <v>323.0</v>
      </c>
      <c r="B2871" s="3" t="s">
        <v>6738</v>
      </c>
      <c r="C2871" s="3" t="s">
        <v>190</v>
      </c>
      <c r="D2871" s="3" t="s">
        <v>1058</v>
      </c>
      <c r="E2871" s="3" t="s">
        <v>985</v>
      </c>
      <c r="F2871" s="3" t="s">
        <v>986</v>
      </c>
      <c r="G2871" s="3" t="str">
        <f>IFERROR(__xludf.DUMMYFUNCTION("GOOGLETRANSLATE(D2871,""fr"",""es"")"),"dinero")</f>
        <v>dinero</v>
      </c>
    </row>
    <row r="2872">
      <c r="A2872" s="3">
        <v>324.0</v>
      </c>
      <c r="B2872" s="3" t="s">
        <v>6738</v>
      </c>
      <c r="C2872" s="3" t="s">
        <v>190</v>
      </c>
      <c r="D2872" s="3" t="s">
        <v>6946</v>
      </c>
      <c r="E2872" s="3" t="s">
        <v>1345</v>
      </c>
      <c r="F2872" s="3" t="s">
        <v>1346</v>
      </c>
      <c r="G2872" s="3" t="str">
        <f>IFERROR(__xludf.DUMMYFUNCTION("GOOGLETRANSLATE(D2872,""fr"",""es"")"),"Cassa")</f>
        <v>Cassa</v>
      </c>
    </row>
    <row r="2873">
      <c r="A2873" s="3">
        <v>325.0</v>
      </c>
      <c r="B2873" s="3" t="s">
        <v>6738</v>
      </c>
      <c r="C2873" s="3" t="s">
        <v>190</v>
      </c>
      <c r="D2873" s="3" t="s">
        <v>1350</v>
      </c>
      <c r="E2873" s="3" t="s">
        <v>1351</v>
      </c>
      <c r="F2873" s="3" t="s">
        <v>1352</v>
      </c>
      <c r="G2873" s="3" t="str">
        <f>IFERROR(__xludf.DUMMYFUNCTION("GOOGLETRANSLATE(D2873,""fr"",""es"")"),"cassâme")</f>
        <v>cassâme</v>
      </c>
    </row>
    <row r="2874">
      <c r="A2874" s="3">
        <v>326.0</v>
      </c>
      <c r="B2874" s="3" t="s">
        <v>6738</v>
      </c>
      <c r="C2874" s="3" t="s">
        <v>190</v>
      </c>
      <c r="D2874" s="3" t="s">
        <v>6947</v>
      </c>
      <c r="E2874" s="3" t="s">
        <v>1345</v>
      </c>
      <c r="F2874" s="3" t="s">
        <v>1346</v>
      </c>
      <c r="G2874" s="3" t="str">
        <f>IFERROR(__xludf.DUMMYFUNCTION("GOOGLETRANSLATE(D2874,""fr"",""es"")"),"casas")</f>
        <v>casas</v>
      </c>
    </row>
    <row r="2875">
      <c r="A2875" s="3">
        <v>327.0</v>
      </c>
      <c r="B2875" s="3" t="s">
        <v>6738</v>
      </c>
      <c r="C2875" s="3" t="s">
        <v>190</v>
      </c>
      <c r="D2875" s="3" t="s">
        <v>1353</v>
      </c>
      <c r="E2875" s="3" t="s">
        <v>1354</v>
      </c>
      <c r="F2875" s="3" t="s">
        <v>1355</v>
      </c>
      <c r="G2875" s="3" t="str">
        <f>IFERROR(__xludf.DUMMYFUNCTION("GOOGLETRANSLATE(D2875,""fr"",""es"")"),"rotura")</f>
        <v>rotura</v>
      </c>
    </row>
    <row r="2876">
      <c r="A2876" s="3">
        <v>328.0</v>
      </c>
      <c r="B2876" s="3" t="s">
        <v>6738</v>
      </c>
      <c r="C2876" s="3" t="s">
        <v>190</v>
      </c>
      <c r="D2876" s="3" t="s">
        <v>1356</v>
      </c>
      <c r="E2876" s="3" t="s">
        <v>1354</v>
      </c>
      <c r="F2876" s="3" t="s">
        <v>1355</v>
      </c>
      <c r="G2876" s="3" t="str">
        <f>IFERROR(__xludf.DUMMYFUNCTION("GOOGLETRANSLATE(D2876,""fr"",""es"")"),"elaborado")</f>
        <v>elaborado</v>
      </c>
    </row>
    <row r="2877">
      <c r="A2877" s="3">
        <v>329.0</v>
      </c>
      <c r="B2877" s="3" t="s">
        <v>6738</v>
      </c>
      <c r="C2877" s="3" t="s">
        <v>190</v>
      </c>
      <c r="D2877" s="3" t="s">
        <v>1357</v>
      </c>
      <c r="E2877" s="3" t="s">
        <v>1354</v>
      </c>
      <c r="F2877" s="3" t="s">
        <v>1355</v>
      </c>
      <c r="G2877" s="3" t="str">
        <f>IFERROR(__xludf.DUMMYFUNCTION("GOOGLETRANSLATE(D2877,""fr"",""es"")"),"brote")</f>
        <v>brote</v>
      </c>
    </row>
    <row r="2878">
      <c r="A2878" s="3">
        <v>330.0</v>
      </c>
      <c r="B2878" s="3" t="s">
        <v>6738</v>
      </c>
      <c r="C2878" s="3" t="s">
        <v>190</v>
      </c>
      <c r="D2878" s="3" t="s">
        <v>6948</v>
      </c>
      <c r="E2878" s="3" t="s">
        <v>1345</v>
      </c>
      <c r="F2878" s="3" t="s">
        <v>1346</v>
      </c>
      <c r="G2878" s="3" t="str">
        <f>IFERROR(__xludf.DUMMYFUNCTION("GOOGLETRANSLATE(D2878,""fr"",""es"")"),"cassât")</f>
        <v>cassât</v>
      </c>
    </row>
    <row r="2879">
      <c r="A2879" s="3">
        <v>331.0</v>
      </c>
      <c r="B2879" s="3" t="s">
        <v>6738</v>
      </c>
      <c r="C2879" s="3" t="s">
        <v>190</v>
      </c>
      <c r="D2879" s="3" t="s">
        <v>1358</v>
      </c>
      <c r="E2879" s="3" t="s">
        <v>1048</v>
      </c>
      <c r="F2879" s="3" t="s">
        <v>127</v>
      </c>
      <c r="G2879" s="3" t="str">
        <f>IFERROR(__xludf.DUMMYFUNCTION("GOOGLETRANSLATE(D2879,""fr"",""es"")"),"roto")</f>
        <v>roto</v>
      </c>
      <c r="H2879" s="3" t="s">
        <v>1359</v>
      </c>
    </row>
    <row r="2880">
      <c r="A2880" s="3">
        <v>332.0</v>
      </c>
      <c r="B2880" s="3" t="s">
        <v>6738</v>
      </c>
      <c r="C2880" s="3" t="s">
        <v>190</v>
      </c>
      <c r="D2880" s="3" t="s">
        <v>1360</v>
      </c>
      <c r="E2880" s="3" t="s">
        <v>1048</v>
      </c>
      <c r="F2880" s="3" t="s">
        <v>127</v>
      </c>
      <c r="G2880" s="3" t="str">
        <f>IFERROR(__xludf.DUMMYFUNCTION("GOOGLETRANSLATE(D2880,""fr"",""es"")"),"descanso")</f>
        <v>descanso</v>
      </c>
    </row>
    <row r="2881">
      <c r="A2881" s="3">
        <v>333.0</v>
      </c>
      <c r="B2881" s="3" t="s">
        <v>6738</v>
      </c>
      <c r="C2881" s="3" t="s">
        <v>190</v>
      </c>
      <c r="D2881" s="3" t="s">
        <v>1361</v>
      </c>
      <c r="E2881" s="3" t="s">
        <v>1048</v>
      </c>
      <c r="F2881" s="3" t="s">
        <v>127</v>
      </c>
      <c r="G2881" s="3" t="str">
        <f>IFERROR(__xludf.DUMMYFUNCTION("GOOGLETRANSLATE(D2881,""fr"",""es"")"),"descanso")</f>
        <v>descanso</v>
      </c>
    </row>
    <row r="2882">
      <c r="A2882" s="3">
        <v>334.0</v>
      </c>
      <c r="B2882" s="3" t="s">
        <v>6738</v>
      </c>
      <c r="C2882" s="3" t="s">
        <v>190</v>
      </c>
      <c r="D2882" s="3" t="s">
        <v>1362</v>
      </c>
      <c r="E2882" s="3" t="s">
        <v>6949</v>
      </c>
      <c r="F2882" s="3" t="s">
        <v>1364</v>
      </c>
      <c r="G2882" s="3" t="str">
        <f>IFERROR(__xludf.DUMMYFUNCTION("GOOGLETRANSLATE(D2882,""fr"",""es"")"),"Cassis")</f>
        <v>Cassis</v>
      </c>
      <c r="H2882" s="3" t="s">
        <v>1365</v>
      </c>
    </row>
    <row r="2883">
      <c r="A2883" s="3">
        <v>335.0</v>
      </c>
      <c r="B2883" s="3" t="s">
        <v>6738</v>
      </c>
      <c r="C2883" s="3" t="s">
        <v>190</v>
      </c>
      <c r="D2883" s="3" t="s">
        <v>1375</v>
      </c>
      <c r="E2883" s="3" t="s">
        <v>1376</v>
      </c>
      <c r="F2883" s="3" t="s">
        <v>1377</v>
      </c>
      <c r="G2883" s="3" t="str">
        <f>IFERROR(__xludf.DUMMYFUNCTION("GOOGLETRANSLATE(D2883,""fr"",""es"")"),"catalán")</f>
        <v>catalán</v>
      </c>
    </row>
    <row r="2884">
      <c r="A2884" s="3">
        <v>336.0</v>
      </c>
      <c r="B2884" s="3" t="s">
        <v>6738</v>
      </c>
      <c r="C2884" s="3" t="s">
        <v>190</v>
      </c>
      <c r="D2884" s="3" t="s">
        <v>1378</v>
      </c>
      <c r="E2884" s="3" t="s">
        <v>1376</v>
      </c>
      <c r="F2884" s="3" t="s">
        <v>1377</v>
      </c>
      <c r="G2884" s="3" t="str">
        <f>IFERROR(__xludf.DUMMYFUNCTION("GOOGLETRANSLATE(D2884,""fr"",""es"")"),"catalán")</f>
        <v>catalán</v>
      </c>
    </row>
    <row r="2885">
      <c r="A2885" s="3">
        <v>337.0</v>
      </c>
      <c r="B2885" s="3" t="s">
        <v>6738</v>
      </c>
      <c r="C2885" s="3" t="s">
        <v>190</v>
      </c>
      <c r="D2885" s="3" t="s">
        <v>6950</v>
      </c>
      <c r="E2885" s="3" t="s">
        <v>6951</v>
      </c>
      <c r="F2885" s="3" t="s">
        <v>6952</v>
      </c>
      <c r="G2885" s="3" t="str">
        <f>IFERROR(__xludf.DUMMYFUNCTION("GOOGLETRANSLATE(D2885,""fr"",""es"")"),"catalítico")</f>
        <v>catalítico</v>
      </c>
      <c r="H2885" s="3" t="s">
        <v>6953</v>
      </c>
    </row>
    <row r="2886">
      <c r="A2886" s="3">
        <v>338.0</v>
      </c>
      <c r="B2886" s="3" t="s">
        <v>6738</v>
      </c>
      <c r="C2886" s="3" t="s">
        <v>190</v>
      </c>
      <c r="D2886" s="3" t="s">
        <v>6954</v>
      </c>
      <c r="E2886" s="3" t="s">
        <v>6951</v>
      </c>
      <c r="F2886" s="3" t="s">
        <v>6952</v>
      </c>
      <c r="G2886" s="3" t="str">
        <f>IFERROR(__xludf.DUMMYFUNCTION("GOOGLETRANSLATE(D2886,""fr"",""es"")"),"catalítico")</f>
        <v>catalítico</v>
      </c>
    </row>
    <row r="2887">
      <c r="A2887" s="3">
        <v>339.0</v>
      </c>
      <c r="B2887" s="3" t="s">
        <v>6738</v>
      </c>
      <c r="C2887" s="3" t="s">
        <v>190</v>
      </c>
      <c r="D2887" s="3" t="s">
        <v>6955</v>
      </c>
      <c r="E2887" s="3" t="s">
        <v>6956</v>
      </c>
      <c r="F2887" s="3" t="s">
        <v>6957</v>
      </c>
      <c r="G2887" s="3" t="str">
        <f>IFERROR(__xludf.DUMMYFUNCTION("GOOGLETRANSLATE(D2887,""fr"",""es"")"),"Cátimini")</f>
        <v>Cátimini</v>
      </c>
    </row>
    <row r="2888">
      <c r="A2888" s="3">
        <v>340.0</v>
      </c>
      <c r="B2888" s="3" t="s">
        <v>6738</v>
      </c>
      <c r="C2888" s="3" t="s">
        <v>190</v>
      </c>
      <c r="D2888" s="3" t="s">
        <v>1455</v>
      </c>
      <c r="E2888" s="3" t="s">
        <v>1456</v>
      </c>
      <c r="F2888" s="3" t="s">
        <v>1457</v>
      </c>
      <c r="G2888" s="3" t="str">
        <f>IFERROR(__xludf.DUMMYFUNCTION("GOOGLETRANSLATE(D2888,""fr"",""es"")"),"chacal")</f>
        <v>chacal</v>
      </c>
      <c r="H2888" s="3" t="s">
        <v>1458</v>
      </c>
      <c r="I2888" s="3" t="s">
        <v>1459</v>
      </c>
      <c r="J2888" s="3" t="s">
        <v>1460</v>
      </c>
      <c r="K2888" s="3" t="s">
        <v>1461</v>
      </c>
      <c r="L2888" s="3" t="s">
        <v>1462</v>
      </c>
      <c r="M2888" s="3" t="s">
        <v>1463</v>
      </c>
      <c r="N2888" s="3" t="s">
        <v>1464</v>
      </c>
      <c r="O2888" s="3" t="s">
        <v>1465</v>
      </c>
      <c r="P2888" s="3" t="s">
        <v>1466</v>
      </c>
      <c r="Q2888" s="3" t="s">
        <v>1467</v>
      </c>
      <c r="R2888" s="3" t="s">
        <v>1468</v>
      </c>
      <c r="S2888" s="3" t="s">
        <v>1469</v>
      </c>
      <c r="T2888" s="3" t="s">
        <v>1470</v>
      </c>
    </row>
    <row r="2889">
      <c r="A2889" s="3">
        <v>341.0</v>
      </c>
      <c r="B2889" s="3" t="s">
        <v>6738</v>
      </c>
      <c r="C2889" s="3" t="s">
        <v>190</v>
      </c>
      <c r="D2889" s="3" t="s">
        <v>1471</v>
      </c>
      <c r="E2889" s="3" t="s">
        <v>1456</v>
      </c>
      <c r="F2889" s="3" t="s">
        <v>1457</v>
      </c>
      <c r="G2889" s="3" t="str">
        <f>IFERROR(__xludf.DUMMYFUNCTION("GOOGLETRANSLATE(D2889,""fr"",""es"")"),"chacal")</f>
        <v>chacal</v>
      </c>
    </row>
    <row r="2890">
      <c r="A2890" s="3">
        <v>342.0</v>
      </c>
      <c r="B2890" s="3" t="s">
        <v>6738</v>
      </c>
      <c r="C2890" s="3" t="s">
        <v>190</v>
      </c>
      <c r="D2890" s="3" t="s">
        <v>6958</v>
      </c>
      <c r="E2890" s="3" t="s">
        <v>1473</v>
      </c>
      <c r="F2890" s="3" t="s">
        <v>1474</v>
      </c>
      <c r="G2890" s="3" t="str">
        <f>IFERROR(__xludf.DUMMYFUNCTION("GOOGLETRANSLATE(D2890,""fr"",""es"")"),"Heyy")</f>
        <v>Heyy</v>
      </c>
      <c r="H2890" s="3" t="s">
        <v>6959</v>
      </c>
      <c r="I2890" s="3" t="s">
        <v>6960</v>
      </c>
    </row>
    <row r="2891">
      <c r="A2891" s="3">
        <v>343.0</v>
      </c>
      <c r="B2891" s="3" t="s">
        <v>6738</v>
      </c>
      <c r="C2891" s="3" t="s">
        <v>190</v>
      </c>
      <c r="D2891" s="3" t="s">
        <v>6961</v>
      </c>
      <c r="E2891" s="3" t="s">
        <v>1473</v>
      </c>
      <c r="F2891" s="3" t="s">
        <v>1474</v>
      </c>
      <c r="G2891" s="3" t="str">
        <f>IFERROR(__xludf.DUMMYFUNCTION("GOOGLETRANSLATE(D2891,""fr"",""es"")"),"heying")</f>
        <v>heying</v>
      </c>
    </row>
    <row r="2892">
      <c r="A2892" s="3">
        <v>344.0</v>
      </c>
      <c r="B2892" s="3" t="s">
        <v>6738</v>
      </c>
      <c r="C2892" s="3" t="s">
        <v>190</v>
      </c>
      <c r="D2892" s="3" t="s">
        <v>1509</v>
      </c>
      <c r="E2892" s="3" t="s">
        <v>1510</v>
      </c>
      <c r="F2892" s="3" t="s">
        <v>1511</v>
      </c>
      <c r="G2892" s="3" t="str">
        <f>IFERROR(__xludf.DUMMYFUNCTION("GOOGLETRANSLATE(D2892,""fr"",""es"")"),"chal")</f>
        <v>chal</v>
      </c>
      <c r="H2892" s="3" t="s">
        <v>1512</v>
      </c>
    </row>
    <row r="2893">
      <c r="A2893" s="3">
        <v>345.0</v>
      </c>
      <c r="B2893" s="3" t="s">
        <v>6738</v>
      </c>
      <c r="C2893" s="3" t="s">
        <v>190</v>
      </c>
      <c r="D2893" s="3" t="s">
        <v>1513</v>
      </c>
      <c r="E2893" s="3" t="s">
        <v>1510</v>
      </c>
      <c r="F2893" s="3" t="s">
        <v>1511</v>
      </c>
      <c r="G2893" s="3" t="str">
        <f>IFERROR(__xludf.DUMMYFUNCTION("GOOGLETRANSLATE(D2893,""fr"",""es"")"),"chales")</f>
        <v>chales</v>
      </c>
    </row>
    <row r="2894">
      <c r="A2894" s="3">
        <v>346.0</v>
      </c>
      <c r="B2894" s="3" t="s">
        <v>6738</v>
      </c>
      <c r="C2894" s="3" t="s">
        <v>190</v>
      </c>
      <c r="D2894" s="3" t="s">
        <v>1518</v>
      </c>
      <c r="E2894" s="3" t="s">
        <v>1519</v>
      </c>
      <c r="F2894" s="3" t="s">
        <v>1520</v>
      </c>
      <c r="G2894" s="3" t="str">
        <f>IFERROR(__xludf.DUMMYFUNCTION("GOOGLETRANSLATE(D2894,""fr"",""es"")"),"marco de la cama")</f>
        <v>marco de la cama</v>
      </c>
      <c r="H2894" s="3" t="s">
        <v>1521</v>
      </c>
      <c r="I2894" s="3" t="s">
        <v>1522</v>
      </c>
    </row>
    <row r="2895">
      <c r="A2895" s="3">
        <v>347.0</v>
      </c>
      <c r="B2895" s="3" t="s">
        <v>6738</v>
      </c>
      <c r="C2895" s="3" t="s">
        <v>190</v>
      </c>
      <c r="D2895" s="3" t="s">
        <v>1523</v>
      </c>
      <c r="E2895" s="3" t="s">
        <v>1519</v>
      </c>
      <c r="F2895" s="3" t="s">
        <v>1520</v>
      </c>
      <c r="G2895" s="3" t="str">
        <f>IFERROR(__xludf.DUMMYFUNCTION("GOOGLETRANSLATE(D2895,""fr"",""es"")"),"castillo")</f>
        <v>castillo</v>
      </c>
    </row>
    <row r="2896">
      <c r="A2896" s="3">
        <v>348.0</v>
      </c>
      <c r="B2896" s="3" t="s">
        <v>6738</v>
      </c>
      <c r="C2896" s="3" t="s">
        <v>190</v>
      </c>
      <c r="D2896" s="3" t="s">
        <v>6962</v>
      </c>
      <c r="E2896" s="3" t="s">
        <v>6963</v>
      </c>
      <c r="F2896" s="3" t="s">
        <v>1526</v>
      </c>
      <c r="G2896" s="3" t="str">
        <f>IFERROR(__xludf.DUMMYFUNCTION("GOOGLETRANSLATE(D2896,""fr"",""es"")"),"chaloupa")</f>
        <v>chaloupa</v>
      </c>
    </row>
    <row r="2897">
      <c r="A2897" s="3">
        <v>349.0</v>
      </c>
      <c r="B2897" s="3" t="s">
        <v>6738</v>
      </c>
      <c r="C2897" s="3" t="s">
        <v>190</v>
      </c>
      <c r="D2897" s="3" t="s">
        <v>1530</v>
      </c>
      <c r="E2897" s="3" t="s">
        <v>6964</v>
      </c>
      <c r="F2897" s="3" t="s">
        <v>1532</v>
      </c>
      <c r="G2897" s="3" t="str">
        <f>IFERROR(__xludf.DUMMYFUNCTION("GOOGLETRANSLATE(D2897,""fr"",""es"")"),"chaloupâme")</f>
        <v>chaloupâme</v>
      </c>
    </row>
    <row r="2898">
      <c r="A2898" s="3">
        <v>350.0</v>
      </c>
      <c r="B2898" s="3" t="s">
        <v>6738</v>
      </c>
      <c r="C2898" s="3" t="s">
        <v>190</v>
      </c>
      <c r="D2898" s="3" t="s">
        <v>6965</v>
      </c>
      <c r="E2898" s="3" t="s">
        <v>6963</v>
      </c>
      <c r="F2898" s="3" t="s">
        <v>1526</v>
      </c>
      <c r="G2898" s="3" t="str">
        <f>IFERROR(__xludf.DUMMYFUNCTION("GOOGLETRANSLATE(D2898,""fr"",""es"")"),"chaloupas")</f>
        <v>chaloupas</v>
      </c>
    </row>
    <row r="2899">
      <c r="A2899" s="3">
        <v>351.0</v>
      </c>
      <c r="B2899" s="3" t="s">
        <v>6738</v>
      </c>
      <c r="C2899" s="3" t="s">
        <v>190</v>
      </c>
      <c r="D2899" s="3" t="s">
        <v>1533</v>
      </c>
      <c r="E2899" s="3" t="s">
        <v>6966</v>
      </c>
      <c r="F2899" s="3" t="s">
        <v>1535</v>
      </c>
      <c r="G2899" s="3" t="str">
        <f>IFERROR(__xludf.DUMMYFUNCTION("GOOGLETRANSLATE(D2899,""fr"",""es"")"),"montañismo")</f>
        <v>montañismo</v>
      </c>
    </row>
    <row r="2900">
      <c r="A2900" s="3">
        <v>352.0</v>
      </c>
      <c r="B2900" s="3" t="s">
        <v>6738</v>
      </c>
      <c r="C2900" s="3" t="s">
        <v>190</v>
      </c>
      <c r="D2900" s="3" t="s">
        <v>1536</v>
      </c>
      <c r="E2900" s="3" t="s">
        <v>6966</v>
      </c>
      <c r="F2900" s="3" t="s">
        <v>1535</v>
      </c>
      <c r="G2900" s="3" t="str">
        <f>IFERROR(__xludf.DUMMYFUNCTION("GOOGLETRANSLATE(D2900,""fr"",""es"")"),"Chaloupass")</f>
        <v>Chaloupass</v>
      </c>
    </row>
    <row r="2901">
      <c r="A2901" s="3">
        <v>353.0</v>
      </c>
      <c r="B2901" s="3" t="s">
        <v>6738</v>
      </c>
      <c r="C2901" s="3" t="s">
        <v>190</v>
      </c>
      <c r="D2901" s="3" t="s">
        <v>1537</v>
      </c>
      <c r="E2901" s="3" t="s">
        <v>6966</v>
      </c>
      <c r="F2901" s="3" t="s">
        <v>1535</v>
      </c>
      <c r="G2901" s="3" t="str">
        <f>IFERROR(__xludf.DUMMYFUNCTION("GOOGLETRANSLATE(D2901,""fr"",""es"")"),"chaloupales")</f>
        <v>chaloupales</v>
      </c>
    </row>
    <row r="2902">
      <c r="A2902" s="3">
        <v>354.0</v>
      </c>
      <c r="B2902" s="3" t="s">
        <v>6738</v>
      </c>
      <c r="C2902" s="3" t="s">
        <v>190</v>
      </c>
      <c r="D2902" s="3" t="s">
        <v>6967</v>
      </c>
      <c r="E2902" s="3" t="s">
        <v>6963</v>
      </c>
      <c r="F2902" s="3" t="s">
        <v>1526</v>
      </c>
      <c r="G2902" s="3" t="str">
        <f>IFERROR(__xludf.DUMMYFUNCTION("GOOGLETRANSLATE(D2902,""fr"",""es"")"),"Chaloupât")</f>
        <v>Chaloupât</v>
      </c>
    </row>
    <row r="2903">
      <c r="A2903" s="3">
        <v>355.0</v>
      </c>
      <c r="B2903" s="3" t="s">
        <v>6738</v>
      </c>
      <c r="C2903" s="3" t="s">
        <v>190</v>
      </c>
      <c r="D2903" s="3" t="s">
        <v>1538</v>
      </c>
      <c r="E2903" s="3" t="s">
        <v>6968</v>
      </c>
      <c r="F2903" s="3" t="s">
        <v>1540</v>
      </c>
      <c r="G2903" s="3" t="str">
        <f>IFERROR(__xludf.DUMMYFUNCTION("GOOGLETRANSLATE(D2903,""fr"",""es"")"),"barco")</f>
        <v>barco</v>
      </c>
      <c r="H2903" s="3" t="s">
        <v>1541</v>
      </c>
    </row>
    <row r="2904">
      <c r="A2904" s="3">
        <v>356.0</v>
      </c>
      <c r="B2904" s="3" t="s">
        <v>6738</v>
      </c>
      <c r="C2904" s="3" t="s">
        <v>190</v>
      </c>
      <c r="D2904" s="3" t="s">
        <v>1542</v>
      </c>
      <c r="E2904" s="3" t="s">
        <v>6968</v>
      </c>
      <c r="F2904" s="3" t="s">
        <v>1540</v>
      </c>
      <c r="G2904" s="3" t="str">
        <f>IFERROR(__xludf.DUMMYFUNCTION("GOOGLETRANSLATE(D2904,""fr"",""es"")"),"chaloupent")</f>
        <v>chaloupent</v>
      </c>
    </row>
    <row r="2905">
      <c r="A2905" s="3">
        <v>357.0</v>
      </c>
      <c r="B2905" s="3" t="s">
        <v>6738</v>
      </c>
      <c r="C2905" s="3" t="s">
        <v>190</v>
      </c>
      <c r="D2905" s="3" t="s">
        <v>1543</v>
      </c>
      <c r="E2905" s="3" t="s">
        <v>6968</v>
      </c>
      <c r="F2905" s="3" t="s">
        <v>1540</v>
      </c>
      <c r="G2905" s="3" t="str">
        <f>IFERROR(__xludf.DUMMYFUNCTION("GOOGLETRANSLATE(D2905,""fr"",""es"")"),"cañas")</f>
        <v>cañas</v>
      </c>
    </row>
    <row r="2906">
      <c r="A2906" s="3">
        <v>358.0</v>
      </c>
      <c r="B2906" s="3" t="s">
        <v>6738</v>
      </c>
      <c r="C2906" s="3" t="s">
        <v>190</v>
      </c>
      <c r="D2906" s="3" t="s">
        <v>6969</v>
      </c>
      <c r="E2906" s="3" t="s">
        <v>1545</v>
      </c>
      <c r="F2906" s="3" t="s">
        <v>1546</v>
      </c>
      <c r="G2906" s="3" t="str">
        <f>IFERROR(__xludf.DUMMYFUNCTION("GOOGLETRANSLATE(D2906,""fr"",""es"")"),"vago")</f>
        <v>vago</v>
      </c>
    </row>
    <row r="2907">
      <c r="A2907" s="3">
        <v>359.0</v>
      </c>
      <c r="B2907" s="3" t="s">
        <v>6738</v>
      </c>
      <c r="C2907" s="3" t="s">
        <v>190</v>
      </c>
      <c r="D2907" s="3" t="s">
        <v>1550</v>
      </c>
      <c r="E2907" s="3" t="s">
        <v>1551</v>
      </c>
      <c r="F2907" s="3" t="s">
        <v>1552</v>
      </c>
      <c r="G2907" s="3" t="str">
        <f>IFERROR(__xludf.DUMMYFUNCTION("GOOGLETRANSLATE(D2907,""fr"",""es"")"),"desvergonzado")</f>
        <v>desvergonzado</v>
      </c>
    </row>
    <row r="2908">
      <c r="A2908" s="3">
        <v>360.0</v>
      </c>
      <c r="B2908" s="3" t="s">
        <v>6738</v>
      </c>
      <c r="C2908" s="3" t="s">
        <v>190</v>
      </c>
      <c r="D2908" s="3" t="s">
        <v>6970</v>
      </c>
      <c r="E2908" s="3" t="s">
        <v>1545</v>
      </c>
      <c r="F2908" s="3" t="s">
        <v>1546</v>
      </c>
      <c r="G2908" s="3" t="str">
        <f>IFERROR(__xludf.DUMMYFUNCTION("GOOGLETRANSLATE(D2908,""fr"",""es"")"),"sombreado")</f>
        <v>sombreado</v>
      </c>
    </row>
    <row r="2909">
      <c r="A2909" s="3">
        <v>361.0</v>
      </c>
      <c r="B2909" s="3" t="s">
        <v>6738</v>
      </c>
      <c r="C2909" s="3" t="s">
        <v>190</v>
      </c>
      <c r="D2909" s="3" t="s">
        <v>1553</v>
      </c>
      <c r="E2909" s="3" t="s">
        <v>1554</v>
      </c>
      <c r="F2909" s="3" t="s">
        <v>1555</v>
      </c>
      <c r="G2909" s="3" t="str">
        <f>IFERROR(__xludf.DUMMYFUNCTION("GOOGLETRANSLATE(D2909,""fr"",""es"")"),"dimes y diretes")</f>
        <v>dimes y diretes</v>
      </c>
    </row>
    <row r="2910">
      <c r="A2910" s="3">
        <v>362.0</v>
      </c>
      <c r="B2910" s="3" t="s">
        <v>6738</v>
      </c>
      <c r="C2910" s="3" t="s">
        <v>190</v>
      </c>
      <c r="D2910" s="3" t="s">
        <v>1556</v>
      </c>
      <c r="E2910" s="3" t="s">
        <v>1554</v>
      </c>
      <c r="F2910" s="3" t="s">
        <v>1555</v>
      </c>
      <c r="G2910" s="3" t="str">
        <f>IFERROR(__xludf.DUMMYFUNCTION("GOOGLETRANSLATE(D2910,""fr"",""es"")"),"persiguiendo")</f>
        <v>persiguiendo</v>
      </c>
    </row>
    <row r="2911">
      <c r="A2911" s="3">
        <v>363.0</v>
      </c>
      <c r="B2911" s="3" t="s">
        <v>6738</v>
      </c>
      <c r="C2911" s="3" t="s">
        <v>190</v>
      </c>
      <c r="D2911" s="3" t="s">
        <v>1557</v>
      </c>
      <c r="E2911" s="3" t="s">
        <v>1554</v>
      </c>
      <c r="F2911" s="3" t="s">
        <v>1555</v>
      </c>
      <c r="G2911" s="3" t="str">
        <f>IFERROR(__xludf.DUMMYFUNCTION("GOOGLETRANSLATE(D2911,""fr"",""es"")"),"dimes y diretes")</f>
        <v>dimes y diretes</v>
      </c>
    </row>
    <row r="2912">
      <c r="A2912" s="3">
        <v>364.0</v>
      </c>
      <c r="B2912" s="3" t="s">
        <v>6738</v>
      </c>
      <c r="C2912" s="3" t="s">
        <v>190</v>
      </c>
      <c r="D2912" s="3" t="s">
        <v>6971</v>
      </c>
      <c r="E2912" s="3" t="s">
        <v>1545</v>
      </c>
      <c r="F2912" s="3" t="s">
        <v>1546</v>
      </c>
      <c r="G2912" s="3" t="str">
        <f>IFERROR(__xludf.DUMMYFUNCTION("GOOGLETRANSLATE(D2912,""fr"",""es"")"),"chamaillât")</f>
        <v>chamaillât</v>
      </c>
    </row>
    <row r="2913">
      <c r="A2913" s="3">
        <v>365.0</v>
      </c>
      <c r="B2913" s="3" t="s">
        <v>6738</v>
      </c>
      <c r="C2913" s="3" t="s">
        <v>190</v>
      </c>
      <c r="D2913" s="3" t="s">
        <v>1558</v>
      </c>
      <c r="E2913" s="3" t="s">
        <v>1559</v>
      </c>
      <c r="F2913" s="3" t="s">
        <v>1560</v>
      </c>
      <c r="G2913" s="3" t="str">
        <f>IFERROR(__xludf.DUMMYFUNCTION("GOOGLETRANSLATE(D2913,""fr"",""es"")"),"disputa")</f>
        <v>disputa</v>
      </c>
    </row>
    <row r="2914">
      <c r="A2914" s="3">
        <v>366.0</v>
      </c>
      <c r="B2914" s="3" t="s">
        <v>6738</v>
      </c>
      <c r="C2914" s="3" t="s">
        <v>190</v>
      </c>
      <c r="D2914" s="3" t="s">
        <v>1561</v>
      </c>
      <c r="E2914" s="3" t="s">
        <v>1559</v>
      </c>
      <c r="F2914" s="3" t="s">
        <v>1560</v>
      </c>
      <c r="G2914" s="3" t="str">
        <f>IFERROR(__xludf.DUMMYFUNCTION("GOOGLETRANSLATE(D2914,""fr"",""es"")"),"disputa")</f>
        <v>disputa</v>
      </c>
    </row>
    <row r="2915">
      <c r="A2915" s="3">
        <v>367.0</v>
      </c>
      <c r="B2915" s="3" t="s">
        <v>6738</v>
      </c>
      <c r="C2915" s="3" t="s">
        <v>190</v>
      </c>
      <c r="D2915" s="3" t="s">
        <v>1562</v>
      </c>
      <c r="E2915" s="3" t="s">
        <v>1559</v>
      </c>
      <c r="F2915" s="3" t="s">
        <v>1560</v>
      </c>
      <c r="G2915" s="3" t="str">
        <f>IFERROR(__xludf.DUMMYFUNCTION("GOOGLETRANSLATE(D2915,""fr"",""es"")"),"dimes y diretes")</f>
        <v>dimes y diretes</v>
      </c>
    </row>
    <row r="2916">
      <c r="A2916" s="3">
        <v>368.0</v>
      </c>
      <c r="B2916" s="3" t="s">
        <v>6738</v>
      </c>
      <c r="C2916" s="3" t="s">
        <v>190</v>
      </c>
      <c r="D2916" s="3" t="s">
        <v>1563</v>
      </c>
      <c r="E2916" s="3" t="s">
        <v>1564</v>
      </c>
      <c r="F2916" s="3" t="s">
        <v>1565</v>
      </c>
      <c r="G2916" s="3" t="str">
        <f>IFERROR(__xludf.DUMMYFUNCTION("GOOGLETRANSLATE(D2916,""fr"",""es"")"),"chamán")</f>
        <v>chamán</v>
      </c>
      <c r="H2916" s="3" t="s">
        <v>1565</v>
      </c>
      <c r="I2916" s="3" t="s">
        <v>1566</v>
      </c>
    </row>
    <row r="2917">
      <c r="A2917" s="3">
        <v>369.0</v>
      </c>
      <c r="B2917" s="3" t="s">
        <v>6738</v>
      </c>
      <c r="C2917" s="3" t="s">
        <v>190</v>
      </c>
      <c r="D2917" s="3" t="s">
        <v>1577</v>
      </c>
      <c r="E2917" s="3" t="s">
        <v>1490</v>
      </c>
      <c r="F2917" s="3" t="s">
        <v>1491</v>
      </c>
      <c r="G2917" s="3" t="str">
        <f>IFERROR(__xludf.DUMMYFUNCTION("GOOGLETRANSLATE(D2917,""fr"",""es"")"),"canal")</f>
        <v>canal</v>
      </c>
    </row>
    <row r="2918">
      <c r="A2918" s="3">
        <v>370.0</v>
      </c>
      <c r="B2918" s="3" t="s">
        <v>6738</v>
      </c>
      <c r="C2918" s="3" t="s">
        <v>190</v>
      </c>
      <c r="D2918" s="3" t="s">
        <v>1578</v>
      </c>
      <c r="E2918" s="3" t="s">
        <v>1579</v>
      </c>
      <c r="F2918" s="3" t="s">
        <v>1580</v>
      </c>
      <c r="G2918" s="3" t="str">
        <f>IFERROR(__xludf.DUMMYFUNCTION("GOOGLETRANSLATE(D2918,""fr"",""es"")"),"tornillo")</f>
        <v>tornillo</v>
      </c>
      <c r="H2918" s="3" t="s">
        <v>1581</v>
      </c>
      <c r="I2918" s="3" t="s">
        <v>1582</v>
      </c>
      <c r="J2918" s="3" t="s">
        <v>1583</v>
      </c>
    </row>
    <row r="2919">
      <c r="A2919" s="3">
        <v>371.0</v>
      </c>
      <c r="B2919" s="3" t="s">
        <v>6738</v>
      </c>
      <c r="C2919" s="3" t="s">
        <v>190</v>
      </c>
      <c r="D2919" s="3" t="s">
        <v>1590</v>
      </c>
      <c r="E2919" s="3" t="s">
        <v>1579</v>
      </c>
      <c r="F2919" s="3" t="s">
        <v>1580</v>
      </c>
      <c r="G2919" s="3" t="str">
        <f>IFERROR(__xludf.DUMMYFUNCTION("GOOGLETRANSLATE(D2919,""fr"",""es"")"),"revestimiento")</f>
        <v>revestimiento</v>
      </c>
    </row>
    <row r="2920">
      <c r="A2920" s="3">
        <v>372.0</v>
      </c>
      <c r="B2920" s="3" t="s">
        <v>6738</v>
      </c>
      <c r="C2920" s="3" t="s">
        <v>190</v>
      </c>
      <c r="D2920" s="3" t="s">
        <v>1591</v>
      </c>
      <c r="E2920" s="3" t="s">
        <v>1592</v>
      </c>
      <c r="F2920" s="3" t="s">
        <v>1593</v>
      </c>
      <c r="G2920" s="3" t="str">
        <f>IFERROR(__xludf.DUMMYFUNCTION("GOOGLETRANSLATE(D2920,""fr"",""es"")"),"cada")</f>
        <v>cada</v>
      </c>
      <c r="H2920" s="3" t="s">
        <v>1594</v>
      </c>
      <c r="I2920" s="3" t="s">
        <v>1595</v>
      </c>
      <c r="J2920" s="3" t="s">
        <v>1596</v>
      </c>
      <c r="K2920" s="3" t="s">
        <v>1597</v>
      </c>
      <c r="L2920" s="3" t="s">
        <v>1598</v>
      </c>
      <c r="M2920" s="3" t="s">
        <v>1594</v>
      </c>
      <c r="N2920" s="3" t="s">
        <v>1599</v>
      </c>
      <c r="O2920" s="3" t="s">
        <v>1599</v>
      </c>
    </row>
    <row r="2921">
      <c r="A2921" s="3">
        <v>373.0</v>
      </c>
      <c r="B2921" s="3" t="s">
        <v>6738</v>
      </c>
      <c r="C2921" s="3" t="s">
        <v>190</v>
      </c>
      <c r="D2921" s="3" t="s">
        <v>6972</v>
      </c>
      <c r="E2921" s="3" t="s">
        <v>1473</v>
      </c>
      <c r="F2921" s="3" t="s">
        <v>1474</v>
      </c>
      <c r="G2921" s="3" t="str">
        <f>IFERROR(__xludf.DUMMYFUNCTION("GOOGLETRANSLATE(D2921,""fr"",""es"")"),"Chas")</f>
        <v>Chas</v>
      </c>
      <c r="H2921" s="3" t="s">
        <v>6973</v>
      </c>
    </row>
    <row r="2922">
      <c r="A2922" s="3">
        <v>374.0</v>
      </c>
      <c r="B2922" s="3" t="s">
        <v>6738</v>
      </c>
      <c r="C2922" s="3" t="s">
        <v>190</v>
      </c>
      <c r="D2922" s="3" t="s">
        <v>6974</v>
      </c>
      <c r="E2922" s="3" t="s">
        <v>1601</v>
      </c>
      <c r="F2922" s="3" t="s">
        <v>1602</v>
      </c>
      <c r="G2922" s="3" t="str">
        <f>IFERROR(__xludf.DUMMYFUNCTION("GOOGLETRANSLATE(D2922,""fr"",""es"")"),"golpeado")</f>
        <v>golpeado</v>
      </c>
    </row>
    <row r="2923">
      <c r="A2923" s="3">
        <v>375.0</v>
      </c>
      <c r="B2923" s="3" t="s">
        <v>6738</v>
      </c>
      <c r="C2923" s="3" t="s">
        <v>190</v>
      </c>
      <c r="D2923" s="3" t="s">
        <v>1606</v>
      </c>
      <c r="E2923" s="3" t="s">
        <v>1607</v>
      </c>
      <c r="F2923" s="3" t="s">
        <v>1608</v>
      </c>
      <c r="G2923" s="3" t="str">
        <f>IFERROR(__xludf.DUMMYFUNCTION("GOOGLETRANSLATE(D2923,""fr"",""es"")"),"chassâme")</f>
        <v>chassâme</v>
      </c>
    </row>
    <row r="2924">
      <c r="A2924" s="3">
        <v>376.0</v>
      </c>
      <c r="B2924" s="3" t="s">
        <v>6738</v>
      </c>
      <c r="C2924" s="3" t="s">
        <v>190</v>
      </c>
      <c r="D2924" s="3" t="s">
        <v>6975</v>
      </c>
      <c r="E2924" s="3" t="s">
        <v>1601</v>
      </c>
      <c r="F2924" s="3" t="s">
        <v>1602</v>
      </c>
      <c r="G2924" s="3" t="str">
        <f>IFERROR(__xludf.DUMMYFUNCTION("GOOGLETRANSLATE(D2924,""fr"",""es"")"),"chasas")</f>
        <v>chasas</v>
      </c>
    </row>
    <row r="2925">
      <c r="A2925" s="3">
        <v>377.0</v>
      </c>
      <c r="B2925" s="3" t="s">
        <v>6738</v>
      </c>
      <c r="C2925" s="3" t="s">
        <v>190</v>
      </c>
      <c r="D2925" s="3" t="s">
        <v>1609</v>
      </c>
      <c r="E2925" s="3" t="s">
        <v>1610</v>
      </c>
      <c r="F2925" s="3" t="s">
        <v>1611</v>
      </c>
      <c r="G2925" s="3" t="str">
        <f>IFERROR(__xludf.DUMMYFUNCTION("GOOGLETRANSLATE(D2925,""fr"",""es"")"),"dumping")</f>
        <v>dumping</v>
      </c>
    </row>
    <row r="2926">
      <c r="A2926" s="3">
        <v>378.0</v>
      </c>
      <c r="B2926" s="3" t="s">
        <v>6738</v>
      </c>
      <c r="C2926" s="3" t="s">
        <v>190</v>
      </c>
      <c r="D2926" s="3" t="s">
        <v>1612</v>
      </c>
      <c r="E2926" s="3" t="s">
        <v>1610</v>
      </c>
      <c r="F2926" s="3" t="s">
        <v>1611</v>
      </c>
      <c r="G2926" s="3" t="str">
        <f>IFERROR(__xludf.DUMMYFUNCTION("GOOGLETRANSLATE(D2926,""fr"",""es"")"),"ocultar")</f>
        <v>ocultar</v>
      </c>
    </row>
    <row r="2927">
      <c r="A2927" s="3">
        <v>379.0</v>
      </c>
      <c r="B2927" s="3" t="s">
        <v>6738</v>
      </c>
      <c r="C2927" s="3" t="s">
        <v>190</v>
      </c>
      <c r="D2927" s="3" t="s">
        <v>1613</v>
      </c>
      <c r="E2927" s="3" t="s">
        <v>1610</v>
      </c>
      <c r="F2927" s="3" t="s">
        <v>1611</v>
      </c>
      <c r="G2927" s="3" t="str">
        <f>IFERROR(__xludf.DUMMYFUNCTION("GOOGLETRANSLATE(D2927,""fr"",""es"")"),"dumping")</f>
        <v>dumping</v>
      </c>
    </row>
    <row r="2928">
      <c r="A2928" s="3">
        <v>380.0</v>
      </c>
      <c r="B2928" s="3" t="s">
        <v>6738</v>
      </c>
      <c r="C2928" s="3" t="s">
        <v>190</v>
      </c>
      <c r="D2928" s="3" t="s">
        <v>6976</v>
      </c>
      <c r="E2928" s="3" t="s">
        <v>1601</v>
      </c>
      <c r="F2928" s="3" t="s">
        <v>1602</v>
      </c>
      <c r="G2928" s="3" t="str">
        <f>IFERROR(__xludf.DUMMYFUNCTION("GOOGLETRANSLATE(D2928,""fr"",""es"")"),"chassât")</f>
        <v>chassât</v>
      </c>
    </row>
    <row r="2929">
      <c r="A2929" s="3">
        <v>381.0</v>
      </c>
      <c r="B2929" s="3" t="s">
        <v>6738</v>
      </c>
      <c r="C2929" s="3" t="s">
        <v>190</v>
      </c>
      <c r="D2929" s="3" t="s">
        <v>1614</v>
      </c>
      <c r="E2929" s="3" t="s">
        <v>1615</v>
      </c>
      <c r="F2929" s="3" t="s">
        <v>1616</v>
      </c>
      <c r="G2929" s="3" t="str">
        <f>IFERROR(__xludf.DUMMYFUNCTION("GOOGLETRANSLATE(D2929,""fr"",""es"")"),"caza")</f>
        <v>caza</v>
      </c>
      <c r="H2929" s="3" t="s">
        <v>1617</v>
      </c>
      <c r="I2929" s="3" t="s">
        <v>1618</v>
      </c>
      <c r="J2929" s="3" t="s">
        <v>1617</v>
      </c>
      <c r="K2929" s="3" t="s">
        <v>1618</v>
      </c>
      <c r="L2929" s="3" t="s">
        <v>1619</v>
      </c>
      <c r="M2929" s="3" t="s">
        <v>1617</v>
      </c>
      <c r="N2929" s="3" t="s">
        <v>1618</v>
      </c>
      <c r="O2929" s="3" t="s">
        <v>1620</v>
      </c>
      <c r="P2929" s="3" t="s">
        <v>1617</v>
      </c>
      <c r="Q2929" s="3" t="s">
        <v>1621</v>
      </c>
      <c r="R2929" s="3" t="s">
        <v>1622</v>
      </c>
      <c r="S2929" s="3" t="s">
        <v>1623</v>
      </c>
      <c r="T2929" s="3" t="s">
        <v>1617</v>
      </c>
      <c r="U2929" s="3" t="s">
        <v>1617</v>
      </c>
      <c r="V2929" s="3" t="s">
        <v>265</v>
      </c>
      <c r="W2929" s="3" t="s">
        <v>1617</v>
      </c>
      <c r="X2929" s="3" t="s">
        <v>1624</v>
      </c>
      <c r="Y2929" s="3" t="s">
        <v>1617</v>
      </c>
      <c r="Z2929" s="3" t="s">
        <v>1617</v>
      </c>
      <c r="AA2929" s="3" t="s">
        <v>1617</v>
      </c>
      <c r="AB2929" s="3" t="s">
        <v>1617</v>
      </c>
      <c r="AC2929" s="3" t="s">
        <v>1625</v>
      </c>
      <c r="AD2929" s="3" t="s">
        <v>1626</v>
      </c>
    </row>
    <row r="2930">
      <c r="A2930" s="3">
        <v>382.0</v>
      </c>
      <c r="B2930" s="3" t="s">
        <v>6738</v>
      </c>
      <c r="C2930" s="3" t="s">
        <v>190</v>
      </c>
      <c r="D2930" s="3" t="s">
        <v>1627</v>
      </c>
      <c r="E2930" s="3" t="s">
        <v>1615</v>
      </c>
      <c r="F2930" s="3" t="s">
        <v>1616</v>
      </c>
      <c r="G2930" s="3" t="str">
        <f>IFERROR(__xludf.DUMMYFUNCTION("GOOGLETRANSLATE(D2930,""fr"",""es"")"),"caza")</f>
        <v>caza</v>
      </c>
    </row>
    <row r="2931">
      <c r="A2931" s="3">
        <v>383.0</v>
      </c>
      <c r="B2931" s="3" t="s">
        <v>6738</v>
      </c>
      <c r="C2931" s="3" t="s">
        <v>190</v>
      </c>
      <c r="D2931" s="3" t="s">
        <v>1628</v>
      </c>
      <c r="E2931" s="3" t="s">
        <v>1615</v>
      </c>
      <c r="F2931" s="3" t="s">
        <v>1616</v>
      </c>
      <c r="G2931" s="3" t="str">
        <f>IFERROR(__xludf.DUMMYFUNCTION("GOOGLETRANSLATE(D2931,""fr"",""es"")"),"caza")</f>
        <v>caza</v>
      </c>
    </row>
    <row r="2932">
      <c r="A2932" s="3">
        <v>384.0</v>
      </c>
      <c r="B2932" s="3" t="s">
        <v>6738</v>
      </c>
      <c r="C2932" s="3" t="s">
        <v>190</v>
      </c>
      <c r="D2932" s="3" t="s">
        <v>1629</v>
      </c>
      <c r="E2932" s="3" t="s">
        <v>1615</v>
      </c>
      <c r="F2932" s="3" t="s">
        <v>1616</v>
      </c>
      <c r="G2932" s="3" t="str">
        <f>IFERROR(__xludf.DUMMYFUNCTION("GOOGLETRANSLATE(D2932,""fr"",""es"")"),"caza")</f>
        <v>caza</v>
      </c>
    </row>
    <row r="2933">
      <c r="A2933" s="3">
        <v>385.0</v>
      </c>
      <c r="B2933" s="3" t="s">
        <v>6738</v>
      </c>
      <c r="C2933" s="3" t="s">
        <v>190</v>
      </c>
      <c r="D2933" s="3" t="s">
        <v>1630</v>
      </c>
      <c r="E2933" s="3" t="s">
        <v>1615</v>
      </c>
      <c r="F2933" s="3" t="s">
        <v>1616</v>
      </c>
      <c r="G2933" s="3" t="str">
        <f>IFERROR(__xludf.DUMMYFUNCTION("GOOGLETRANSLATE(D2933,""fr"",""es"")"),"señales")</f>
        <v>señales</v>
      </c>
    </row>
    <row r="2934">
      <c r="A2934" s="3">
        <v>386.0</v>
      </c>
      <c r="B2934" s="3" t="s">
        <v>6738</v>
      </c>
      <c r="C2934" s="3" t="s">
        <v>190</v>
      </c>
      <c r="D2934" s="3" t="s">
        <v>1631</v>
      </c>
      <c r="E2934" s="3" t="s">
        <v>1632</v>
      </c>
      <c r="F2934" s="3" t="s">
        <v>1633</v>
      </c>
      <c r="G2934" s="3" t="str">
        <f>IFERROR(__xludf.DUMMYFUNCTION("GOOGLETRANSLATE(D2934,""fr"",""es"")"),"cuadro")</f>
        <v>cuadro</v>
      </c>
      <c r="H2934" s="3" t="s">
        <v>1634</v>
      </c>
      <c r="I2934" s="3" t="s">
        <v>1635</v>
      </c>
    </row>
    <row r="2935">
      <c r="A2935" s="3">
        <v>387.0</v>
      </c>
      <c r="B2935" s="3" t="s">
        <v>6738</v>
      </c>
      <c r="C2935" s="3" t="s">
        <v>190</v>
      </c>
      <c r="D2935" s="3" t="s">
        <v>6977</v>
      </c>
      <c r="E2935" s="3" t="s">
        <v>6978</v>
      </c>
      <c r="F2935" s="3" t="s">
        <v>6979</v>
      </c>
      <c r="G2935" s="3" t="str">
        <f>IFERROR(__xludf.DUMMYFUNCTION("GOOGLETRANSLATE(D2935,""fr"",""es"")"),"más casta")</f>
        <v>más casta</v>
      </c>
    </row>
    <row r="2936">
      <c r="A2936" s="3">
        <v>388.0</v>
      </c>
      <c r="B2936" s="3" t="s">
        <v>6738</v>
      </c>
      <c r="C2936" s="3" t="s">
        <v>190</v>
      </c>
      <c r="D2936" s="3" t="s">
        <v>6980</v>
      </c>
      <c r="E2936" s="3" t="s">
        <v>6978</v>
      </c>
      <c r="F2936" s="3" t="s">
        <v>6979</v>
      </c>
      <c r="G2936" s="3" t="str">
        <f>IFERROR(__xludf.DUMMYFUNCTION("GOOGLETRANSLATE(D2936,""fr"",""es"")"),"de titería")</f>
        <v>de titería</v>
      </c>
    </row>
    <row r="2937">
      <c r="A2937" s="3">
        <v>389.0</v>
      </c>
      <c r="B2937" s="3" t="s">
        <v>6738</v>
      </c>
      <c r="C2937" s="3" t="s">
        <v>190</v>
      </c>
      <c r="D2937" s="3" t="s">
        <v>6981</v>
      </c>
      <c r="E2937" s="3" t="s">
        <v>6978</v>
      </c>
      <c r="F2937" s="3" t="s">
        <v>6979</v>
      </c>
      <c r="G2937" s="3" t="str">
        <f>IFERROR(__xludf.DUMMYFUNCTION("GOOGLETRANSLATE(D2937,""fr"",""es"")"),"castigar")</f>
        <v>castigar</v>
      </c>
    </row>
    <row r="2938">
      <c r="A2938" s="3">
        <v>390.0</v>
      </c>
      <c r="B2938" s="3" t="s">
        <v>6738</v>
      </c>
      <c r="C2938" s="3" t="s">
        <v>190</v>
      </c>
      <c r="D2938" s="3" t="s">
        <v>6982</v>
      </c>
      <c r="E2938" s="3" t="s">
        <v>6983</v>
      </c>
      <c r="F2938" s="3" t="s">
        <v>1650</v>
      </c>
      <c r="G2938" s="3" t="str">
        <f>IFERROR(__xludf.DUMMYFUNCTION("GOOGLETRANSLATE(D2938,""fr"",""es"")"),"cosquillas")</f>
        <v>cosquillas</v>
      </c>
    </row>
    <row r="2939">
      <c r="A2939" s="3">
        <v>391.0</v>
      </c>
      <c r="B2939" s="3" t="s">
        <v>6738</v>
      </c>
      <c r="C2939" s="3" t="s">
        <v>190</v>
      </c>
      <c r="D2939" s="3" t="s">
        <v>1654</v>
      </c>
      <c r="E2939" s="3" t="s">
        <v>6984</v>
      </c>
      <c r="F2939" s="3" t="s">
        <v>1656</v>
      </c>
      <c r="G2939" s="3" t="str">
        <f>IFERROR(__xludf.DUMMYFUNCTION("GOOGLETRANSLATE(D2939,""fr"",""es"")"),"cosquillas")</f>
        <v>cosquillas</v>
      </c>
    </row>
    <row r="2940">
      <c r="A2940" s="3">
        <v>392.0</v>
      </c>
      <c r="B2940" s="3" t="s">
        <v>6738</v>
      </c>
      <c r="C2940" s="3" t="s">
        <v>190</v>
      </c>
      <c r="D2940" s="3" t="s">
        <v>6985</v>
      </c>
      <c r="E2940" s="3" t="s">
        <v>6983</v>
      </c>
      <c r="F2940" s="3" t="s">
        <v>1650</v>
      </c>
      <c r="G2940" s="3" t="str">
        <f>IFERROR(__xludf.DUMMYFUNCTION("GOOGLETRANSLATE(D2940,""fr"",""es"")"),"cosquillas")</f>
        <v>cosquillas</v>
      </c>
    </row>
    <row r="2941">
      <c r="A2941" s="3">
        <v>393.0</v>
      </c>
      <c r="B2941" s="3" t="s">
        <v>6738</v>
      </c>
      <c r="C2941" s="3" t="s">
        <v>190</v>
      </c>
      <c r="D2941" s="3" t="s">
        <v>1657</v>
      </c>
      <c r="E2941" s="3" t="s">
        <v>6986</v>
      </c>
      <c r="F2941" s="3" t="s">
        <v>1659</v>
      </c>
      <c r="G2941" s="3" t="str">
        <f>IFERROR(__xludf.DUMMYFUNCTION("GOOGLETRANSLATE(D2941,""fr"",""es"")"),"cosquillas")</f>
        <v>cosquillas</v>
      </c>
    </row>
    <row r="2942">
      <c r="A2942" s="3">
        <v>394.0</v>
      </c>
      <c r="B2942" s="3" t="s">
        <v>6738</v>
      </c>
      <c r="C2942" s="3" t="s">
        <v>190</v>
      </c>
      <c r="D2942" s="3" t="s">
        <v>1660</v>
      </c>
      <c r="E2942" s="3" t="s">
        <v>6986</v>
      </c>
      <c r="F2942" s="3" t="s">
        <v>1659</v>
      </c>
      <c r="G2942" s="3" t="str">
        <f>IFERROR(__xludf.DUMMYFUNCTION("GOOGLETRANSLATE(D2942,""fr"",""es"")"),"cosquillas")</f>
        <v>cosquillas</v>
      </c>
    </row>
    <row r="2943">
      <c r="A2943" s="3">
        <v>395.0</v>
      </c>
      <c r="B2943" s="3" t="s">
        <v>6738</v>
      </c>
      <c r="C2943" s="3" t="s">
        <v>190</v>
      </c>
      <c r="D2943" s="3" t="s">
        <v>1661</v>
      </c>
      <c r="E2943" s="3" t="s">
        <v>6986</v>
      </c>
      <c r="F2943" s="3" t="s">
        <v>1659</v>
      </c>
      <c r="G2943" s="3" t="str">
        <f>IFERROR(__xludf.DUMMYFUNCTION("GOOGLETRANSLATE(D2943,""fr"",""es"")"),"cosquillas")</f>
        <v>cosquillas</v>
      </c>
    </row>
    <row r="2944">
      <c r="A2944" s="3">
        <v>396.0</v>
      </c>
      <c r="B2944" s="3" t="s">
        <v>6738</v>
      </c>
      <c r="C2944" s="3" t="s">
        <v>190</v>
      </c>
      <c r="D2944" s="3" t="s">
        <v>6987</v>
      </c>
      <c r="E2944" s="3" t="s">
        <v>6983</v>
      </c>
      <c r="F2944" s="3" t="s">
        <v>1650</v>
      </c>
      <c r="G2944" s="3" t="str">
        <f>IFERROR(__xludf.DUMMYFUNCTION("GOOGLETRANSLATE(D2944,""fr"",""es"")"),"Chatouillât")</f>
        <v>Chatouillât</v>
      </c>
    </row>
    <row r="2945">
      <c r="A2945" s="3">
        <v>397.0</v>
      </c>
      <c r="B2945" s="3" t="s">
        <v>6738</v>
      </c>
      <c r="C2945" s="3" t="s">
        <v>190</v>
      </c>
      <c r="D2945" s="3" t="s">
        <v>1662</v>
      </c>
      <c r="E2945" s="3" t="s">
        <v>6988</v>
      </c>
      <c r="F2945" s="3" t="s">
        <v>1664</v>
      </c>
      <c r="G2945" s="3" t="str">
        <f>IFERROR(__xludf.DUMMYFUNCTION("GOOGLETRANSLATE(D2945,""fr"",""es"")"),"cosquillas")</f>
        <v>cosquillas</v>
      </c>
    </row>
    <row r="2946">
      <c r="A2946" s="3">
        <v>398.0</v>
      </c>
      <c r="B2946" s="3" t="s">
        <v>6738</v>
      </c>
      <c r="C2946" s="3" t="s">
        <v>190</v>
      </c>
      <c r="D2946" s="3" t="s">
        <v>1665</v>
      </c>
      <c r="E2946" s="3" t="s">
        <v>6988</v>
      </c>
      <c r="F2946" s="3" t="s">
        <v>1664</v>
      </c>
      <c r="G2946" s="3" t="str">
        <f>IFERROR(__xludf.DUMMYFUNCTION("GOOGLETRANSLATE(D2946,""fr"",""es"")"),"cosquillas")</f>
        <v>cosquillas</v>
      </c>
    </row>
    <row r="2947">
      <c r="A2947" s="3">
        <v>399.0</v>
      </c>
      <c r="B2947" s="3" t="s">
        <v>6738</v>
      </c>
      <c r="C2947" s="3" t="s">
        <v>190</v>
      </c>
      <c r="D2947" s="3" t="s">
        <v>1666</v>
      </c>
      <c r="E2947" s="3" t="s">
        <v>6988</v>
      </c>
      <c r="F2947" s="3" t="s">
        <v>1664</v>
      </c>
      <c r="G2947" s="3" t="str">
        <f>IFERROR(__xludf.DUMMYFUNCTION("GOOGLETRANSLATE(D2947,""fr"",""es"")"),"cosquillas")</f>
        <v>cosquillas</v>
      </c>
    </row>
    <row r="2948">
      <c r="A2948" s="3">
        <v>400.0</v>
      </c>
      <c r="B2948" s="3" t="s">
        <v>6738</v>
      </c>
      <c r="C2948" s="3" t="s">
        <v>190</v>
      </c>
      <c r="D2948" s="3" t="s">
        <v>1667</v>
      </c>
      <c r="E2948" s="3" t="s">
        <v>6989</v>
      </c>
      <c r="F2948" s="3" t="s">
        <v>1669</v>
      </c>
      <c r="G2948" s="3" t="str">
        <f>IFERROR(__xludf.DUMMYFUNCTION("GOOGLETRANSLATE(D2948,""fr"",""es"")"),"cosquillas")</f>
        <v>cosquillas</v>
      </c>
    </row>
    <row r="2949">
      <c r="A2949" s="3">
        <v>401.0</v>
      </c>
      <c r="B2949" s="3" t="s">
        <v>6738</v>
      </c>
      <c r="C2949" s="3" t="s">
        <v>190</v>
      </c>
      <c r="D2949" s="3" t="s">
        <v>6990</v>
      </c>
      <c r="E2949" s="3" t="s">
        <v>1473</v>
      </c>
      <c r="F2949" s="3" t="s">
        <v>1474</v>
      </c>
      <c r="G2949" s="3" t="str">
        <f>IFERROR(__xludf.DUMMYFUNCTION("GOOGLETRANSLATE(D2949,""fr"",""es"")"),"gatos")</f>
        <v>gatos</v>
      </c>
    </row>
    <row r="2950">
      <c r="A2950" s="3">
        <v>402.0</v>
      </c>
      <c r="B2950" s="3" t="s">
        <v>6738</v>
      </c>
      <c r="C2950" s="3" t="s">
        <v>190</v>
      </c>
      <c r="D2950" s="3" t="s">
        <v>1691</v>
      </c>
      <c r="E2950" s="3" t="s">
        <v>6991</v>
      </c>
      <c r="F2950" s="3" t="s">
        <v>1693</v>
      </c>
      <c r="G2950" s="3" t="str">
        <f>IFERROR(__xludf.DUMMYFUNCTION("GOOGLETRANSLATE(D2950,""fr"",""es"")"),"elegante")</f>
        <v>elegante</v>
      </c>
      <c r="H2950" s="3" t="s">
        <v>1691</v>
      </c>
      <c r="I2950" s="3" t="s">
        <v>1694</v>
      </c>
      <c r="J2950" s="3" t="s">
        <v>1695</v>
      </c>
      <c r="K2950" s="3" t="s">
        <v>1696</v>
      </c>
      <c r="L2950" s="3" t="s">
        <v>1697</v>
      </c>
      <c r="M2950" s="3" t="s">
        <v>1698</v>
      </c>
      <c r="N2950" s="3" t="s">
        <v>1691</v>
      </c>
      <c r="O2950" s="3" t="s">
        <v>1699</v>
      </c>
      <c r="P2950" s="3" t="s">
        <v>1700</v>
      </c>
      <c r="Q2950" s="3" t="s">
        <v>1701</v>
      </c>
      <c r="R2950" s="3" t="s">
        <v>1702</v>
      </c>
      <c r="S2950" s="3" t="s">
        <v>1703</v>
      </c>
      <c r="T2950" s="3" t="s">
        <v>1704</v>
      </c>
      <c r="U2950" s="3" t="s">
        <v>1705</v>
      </c>
    </row>
    <row r="2951">
      <c r="A2951" s="3">
        <v>403.0</v>
      </c>
      <c r="B2951" s="3" t="s">
        <v>6738</v>
      </c>
      <c r="C2951" s="3" t="s">
        <v>190</v>
      </c>
      <c r="D2951" s="3" t="s">
        <v>6992</v>
      </c>
      <c r="E2951" s="3" t="s">
        <v>6993</v>
      </c>
      <c r="F2951" s="3" t="s">
        <v>1708</v>
      </c>
      <c r="G2951" s="3" t="str">
        <f>IFERROR(__xludf.DUMMYFUNCTION("GOOGLETRANSLATE(D2951,""fr"",""es"")"),"chicana")</f>
        <v>chicana</v>
      </c>
    </row>
    <row r="2952">
      <c r="A2952" s="3">
        <v>404.0</v>
      </c>
      <c r="B2952" s="3" t="s">
        <v>6738</v>
      </c>
      <c r="C2952" s="3" t="s">
        <v>190</v>
      </c>
      <c r="D2952" s="3" t="s">
        <v>1712</v>
      </c>
      <c r="E2952" s="3" t="s">
        <v>6994</v>
      </c>
      <c r="F2952" s="3" t="s">
        <v>1714</v>
      </c>
      <c r="G2952" s="3" t="str">
        <f>IFERROR(__xludf.DUMMYFUNCTION("GOOGLETRANSLATE(D2952,""fr"",""es"")"),"chicanâmes")</f>
        <v>chicanâmes</v>
      </c>
    </row>
    <row r="2953">
      <c r="A2953" s="3">
        <v>405.0</v>
      </c>
      <c r="B2953" s="3" t="s">
        <v>6738</v>
      </c>
      <c r="C2953" s="3" t="s">
        <v>190</v>
      </c>
      <c r="D2953" s="3" t="s">
        <v>6995</v>
      </c>
      <c r="E2953" s="3" t="s">
        <v>6993</v>
      </c>
      <c r="F2953" s="3" t="s">
        <v>1708</v>
      </c>
      <c r="G2953" s="3" t="str">
        <f>IFERROR(__xludf.DUMMYFUNCTION("GOOGLETRANSLATE(D2953,""fr"",""es"")"),"chicanas")</f>
        <v>chicanas</v>
      </c>
    </row>
    <row r="2954">
      <c r="A2954" s="3">
        <v>406.0</v>
      </c>
      <c r="B2954" s="3" t="s">
        <v>6738</v>
      </c>
      <c r="C2954" s="3" t="s">
        <v>190</v>
      </c>
      <c r="D2954" s="3" t="s">
        <v>1715</v>
      </c>
      <c r="E2954" s="3" t="s">
        <v>6996</v>
      </c>
      <c r="F2954" s="3" t="s">
        <v>1717</v>
      </c>
      <c r="G2954" s="3" t="str">
        <f>IFERROR(__xludf.DUMMYFUNCTION("GOOGLETRANSLATE(D2954,""fr"",""es"")"),"chicular")</f>
        <v>chicular</v>
      </c>
    </row>
    <row r="2955">
      <c r="A2955" s="3">
        <v>407.0</v>
      </c>
      <c r="B2955" s="3" t="s">
        <v>6738</v>
      </c>
      <c r="C2955" s="3" t="s">
        <v>190</v>
      </c>
      <c r="D2955" s="3" t="s">
        <v>1718</v>
      </c>
      <c r="E2955" s="3" t="s">
        <v>6996</v>
      </c>
      <c r="F2955" s="3" t="s">
        <v>1717</v>
      </c>
      <c r="G2955" s="3" t="str">
        <f>IFERROR(__xludf.DUMMYFUNCTION("GOOGLETRANSLATE(D2955,""fr"",""es"")"),"elegante")</f>
        <v>elegante</v>
      </c>
    </row>
    <row r="2956">
      <c r="A2956" s="3">
        <v>408.0</v>
      </c>
      <c r="B2956" s="3" t="s">
        <v>6738</v>
      </c>
      <c r="C2956" s="3" t="s">
        <v>190</v>
      </c>
      <c r="D2956" s="3" t="s">
        <v>1719</v>
      </c>
      <c r="E2956" s="3" t="s">
        <v>6996</v>
      </c>
      <c r="F2956" s="3" t="s">
        <v>1717</v>
      </c>
      <c r="G2956" s="3" t="str">
        <f>IFERROR(__xludf.DUMMYFUNCTION("GOOGLETRANSLATE(D2956,""fr"",""es"")"),"chicanas")</f>
        <v>chicanas</v>
      </c>
    </row>
    <row r="2957">
      <c r="A2957" s="3">
        <v>409.0</v>
      </c>
      <c r="B2957" s="3" t="s">
        <v>6738</v>
      </c>
      <c r="C2957" s="3" t="s">
        <v>190</v>
      </c>
      <c r="D2957" s="3" t="s">
        <v>6997</v>
      </c>
      <c r="E2957" s="3" t="s">
        <v>6993</v>
      </c>
      <c r="F2957" s="3" t="s">
        <v>1708</v>
      </c>
      <c r="G2957" s="3" t="str">
        <f>IFERROR(__xludf.DUMMYFUNCTION("GOOGLETRANSLATE(D2957,""fr"",""es"")"),"chicanât")</f>
        <v>chicanât</v>
      </c>
    </row>
    <row r="2958">
      <c r="A2958" s="3">
        <v>410.0</v>
      </c>
      <c r="B2958" s="3" t="s">
        <v>6738</v>
      </c>
      <c r="C2958" s="3" t="s">
        <v>190</v>
      </c>
      <c r="D2958" s="3" t="s">
        <v>1720</v>
      </c>
      <c r="E2958" s="3" t="s">
        <v>6998</v>
      </c>
      <c r="F2958" s="3" t="s">
        <v>1722</v>
      </c>
      <c r="G2958" s="3" t="str">
        <f>IFERROR(__xludf.DUMMYFUNCTION("GOOGLETRANSLATE(D2958,""fr"",""es"")"),"crítica")</f>
        <v>crítica</v>
      </c>
    </row>
    <row r="2959">
      <c r="A2959" s="3">
        <v>411.0</v>
      </c>
      <c r="B2959" s="3" t="s">
        <v>6738</v>
      </c>
      <c r="C2959" s="3" t="s">
        <v>190</v>
      </c>
      <c r="D2959" s="3" t="s">
        <v>1723</v>
      </c>
      <c r="E2959" s="3" t="s">
        <v>6998</v>
      </c>
      <c r="F2959" s="3" t="s">
        <v>1722</v>
      </c>
      <c r="G2959" s="3" t="str">
        <f>IFERROR(__xludf.DUMMYFUNCTION("GOOGLETRANSLATE(D2959,""fr"",""es"")"),"crítica")</f>
        <v>crítica</v>
      </c>
    </row>
    <row r="2960">
      <c r="A2960" s="3">
        <v>412.0</v>
      </c>
      <c r="B2960" s="3" t="s">
        <v>6738</v>
      </c>
      <c r="C2960" s="3" t="s">
        <v>190</v>
      </c>
      <c r="D2960" s="3" t="s">
        <v>1724</v>
      </c>
      <c r="E2960" s="3" t="s">
        <v>6998</v>
      </c>
      <c r="F2960" s="3" t="s">
        <v>1722</v>
      </c>
      <c r="G2960" s="3" t="str">
        <f>IFERROR(__xludf.DUMMYFUNCTION("GOOGLETRANSLATE(D2960,""fr"",""es"")"),"desconcierto")</f>
        <v>desconcierto</v>
      </c>
    </row>
    <row r="2961">
      <c r="A2961" s="3">
        <v>413.0</v>
      </c>
      <c r="B2961" s="3" t="s">
        <v>6738</v>
      </c>
      <c r="C2961" s="3" t="s">
        <v>190</v>
      </c>
      <c r="D2961" s="3" t="s">
        <v>1725</v>
      </c>
      <c r="E2961" s="3" t="s">
        <v>6999</v>
      </c>
      <c r="F2961" s="3" t="s">
        <v>1727</v>
      </c>
      <c r="G2961" s="3" t="str">
        <f>IFERROR(__xludf.DUMMYFUNCTION("GOOGLETRANSLATE(D2961,""fr"",""es"")"),"chiche")</f>
        <v>chiche</v>
      </c>
    </row>
    <row r="2962">
      <c r="A2962" s="3">
        <v>414.0</v>
      </c>
      <c r="B2962" s="3" t="s">
        <v>6738</v>
      </c>
      <c r="C2962" s="3" t="s">
        <v>190</v>
      </c>
      <c r="D2962" s="3" t="s">
        <v>1728</v>
      </c>
      <c r="E2962" s="3" t="s">
        <v>6999</v>
      </c>
      <c r="F2962" s="3" t="s">
        <v>1727</v>
      </c>
      <c r="G2962" s="3" t="str">
        <f>IFERROR(__xludf.DUMMYFUNCTION("GOOGLETRANSLATE(D2962,""fr"",""es"")"),"chicas")</f>
        <v>chicas</v>
      </c>
    </row>
    <row r="2963">
      <c r="A2963" s="3">
        <v>415.0</v>
      </c>
      <c r="B2963" s="3" t="s">
        <v>6738</v>
      </c>
      <c r="C2963" s="3" t="s">
        <v>190</v>
      </c>
      <c r="D2963" s="3" t="s">
        <v>1700</v>
      </c>
      <c r="E2963" s="3" t="s">
        <v>7000</v>
      </c>
      <c r="F2963" s="3" t="s">
        <v>1730</v>
      </c>
      <c r="G2963" s="3" t="str">
        <f>IFERROR(__xludf.DUMMYFUNCTION("GOOGLETRANSLATE(D2963,""fr"",""es"")"),"Chi-chi")</f>
        <v>Chi-chi</v>
      </c>
    </row>
    <row r="2964">
      <c r="A2964" s="3">
        <v>416.0</v>
      </c>
      <c r="B2964" s="3" t="s">
        <v>6738</v>
      </c>
      <c r="C2964" s="3" t="s">
        <v>190</v>
      </c>
      <c r="D2964" s="3" t="s">
        <v>1731</v>
      </c>
      <c r="E2964" s="3" t="s">
        <v>7000</v>
      </c>
      <c r="F2964" s="3" t="s">
        <v>1730</v>
      </c>
      <c r="G2964" s="3" t="str">
        <f>IFERROR(__xludf.DUMMYFUNCTION("GOOGLETRANSLATE(D2964,""fr"",""es"")"),"impactante")</f>
        <v>impactante</v>
      </c>
    </row>
    <row r="2965">
      <c r="A2965" s="3">
        <v>417.0</v>
      </c>
      <c r="B2965" s="3" t="s">
        <v>6738</v>
      </c>
      <c r="C2965" s="3" t="s">
        <v>190</v>
      </c>
      <c r="D2965" s="3" t="s">
        <v>1732</v>
      </c>
      <c r="E2965" s="3" t="s">
        <v>6991</v>
      </c>
      <c r="F2965" s="3" t="s">
        <v>1693</v>
      </c>
      <c r="G2965" s="3" t="str">
        <f>IFERROR(__xludf.DUMMYFUNCTION("GOOGLETRANSLATE(D2965,""fr"",""es"")"),"elegante")</f>
        <v>elegante</v>
      </c>
    </row>
    <row r="2966">
      <c r="A2966" s="3">
        <v>418.0</v>
      </c>
      <c r="B2966" s="3" t="s">
        <v>6738</v>
      </c>
      <c r="C2966" s="3" t="s">
        <v>190</v>
      </c>
      <c r="D2966" s="3" t="s">
        <v>1733</v>
      </c>
      <c r="E2966" s="3" t="s">
        <v>1734</v>
      </c>
      <c r="F2966" s="3" t="s">
        <v>1735</v>
      </c>
      <c r="G2966" s="3" t="str">
        <f>IFERROR(__xludf.DUMMYFUNCTION("GOOGLETRANSLATE(D2966,""fr"",""es"")"),"chie")</f>
        <v>chie</v>
      </c>
    </row>
    <row r="2967">
      <c r="A2967" s="3">
        <v>419.0</v>
      </c>
      <c r="B2967" s="3" t="s">
        <v>6738</v>
      </c>
      <c r="C2967" s="3" t="s">
        <v>190</v>
      </c>
      <c r="D2967" s="3" t="s">
        <v>1736</v>
      </c>
      <c r="E2967" s="3" t="s">
        <v>1734</v>
      </c>
      <c r="F2967" s="3" t="s">
        <v>1735</v>
      </c>
      <c r="G2967" s="3" t="str">
        <f>IFERROR(__xludf.DUMMYFUNCTION("GOOGLETRANSLATE(D2967,""fr"",""es"")"),"mierda")</f>
        <v>mierda</v>
      </c>
    </row>
    <row r="2968">
      <c r="A2968" s="3">
        <v>420.0</v>
      </c>
      <c r="B2968" s="3" t="s">
        <v>6738</v>
      </c>
      <c r="C2968" s="3" t="s">
        <v>190</v>
      </c>
      <c r="D2968" s="3" t="s">
        <v>1737</v>
      </c>
      <c r="E2968" s="3" t="s">
        <v>1734</v>
      </c>
      <c r="F2968" s="3" t="s">
        <v>1735</v>
      </c>
      <c r="G2968" s="3" t="str">
        <f>IFERROR(__xludf.DUMMYFUNCTION("GOOGLETRANSLATE(D2968,""fr"",""es"")"),"chies")</f>
        <v>chies</v>
      </c>
    </row>
    <row r="2969">
      <c r="A2969" s="3">
        <v>421.0</v>
      </c>
      <c r="B2969" s="3" t="s">
        <v>6738</v>
      </c>
      <c r="C2969" s="3" t="s">
        <v>190</v>
      </c>
      <c r="D2969" s="3" t="s">
        <v>1738</v>
      </c>
      <c r="E2969" s="3" t="s">
        <v>7001</v>
      </c>
      <c r="F2969" s="3" t="s">
        <v>1740</v>
      </c>
      <c r="G2969" s="3" t="str">
        <f>IFERROR(__xludf.DUMMYFUNCTION("GOOGLETRANSLATE(D2969,""fr"",""es"")"),"Chile")</f>
        <v>Chile</v>
      </c>
      <c r="H2969" s="3" t="s">
        <v>1741</v>
      </c>
      <c r="I2969" s="3" t="s">
        <v>1742</v>
      </c>
      <c r="J2969" s="3" t="s">
        <v>1743</v>
      </c>
      <c r="K2969" s="3" t="s">
        <v>1744</v>
      </c>
      <c r="L2969" s="3" t="s">
        <v>1745</v>
      </c>
      <c r="M2969" s="3" t="s">
        <v>1746</v>
      </c>
      <c r="N2969" s="3" t="s">
        <v>1747</v>
      </c>
    </row>
    <row r="2970">
      <c r="A2970" s="3">
        <v>422.0</v>
      </c>
      <c r="B2970" s="3" t="s">
        <v>6738</v>
      </c>
      <c r="C2970" s="3" t="s">
        <v>190</v>
      </c>
      <c r="D2970" s="3" t="s">
        <v>1748</v>
      </c>
      <c r="E2970" s="3" t="s">
        <v>7002</v>
      </c>
      <c r="F2970" s="3" t="s">
        <v>1750</v>
      </c>
      <c r="G2970" s="3" t="str">
        <f>IFERROR(__xludf.DUMMYFUNCTION("GOOGLETRANSLATE(D2970,""fr"",""es"")"),"química")</f>
        <v>química</v>
      </c>
      <c r="H2970" s="3" t="s">
        <v>1751</v>
      </c>
      <c r="I2970" s="3" t="s">
        <v>1752</v>
      </c>
      <c r="J2970" s="3" t="s">
        <v>1751</v>
      </c>
      <c r="K2970" s="3" t="s">
        <v>1753</v>
      </c>
      <c r="L2970" s="3" t="s">
        <v>1754</v>
      </c>
      <c r="M2970" s="3" t="s">
        <v>1755</v>
      </c>
      <c r="N2970" s="3" t="s">
        <v>1756</v>
      </c>
    </row>
    <row r="2971">
      <c r="A2971" s="3">
        <v>423.0</v>
      </c>
      <c r="B2971" s="3" t="s">
        <v>6738</v>
      </c>
      <c r="C2971" s="3" t="s">
        <v>190</v>
      </c>
      <c r="D2971" s="3" t="s">
        <v>1757</v>
      </c>
      <c r="E2971" s="3" t="s">
        <v>7002</v>
      </c>
      <c r="F2971" s="3" t="s">
        <v>1750</v>
      </c>
      <c r="G2971" s="3" t="str">
        <f>IFERROR(__xludf.DUMMYFUNCTION("GOOGLETRANSLATE(D2971,""fr"",""es"")"),"químicos")</f>
        <v>químicos</v>
      </c>
    </row>
    <row r="2972">
      <c r="A2972" s="3">
        <v>424.0</v>
      </c>
      <c r="B2972" s="3" t="s">
        <v>6738</v>
      </c>
      <c r="C2972" s="3" t="s">
        <v>190</v>
      </c>
      <c r="D2972" s="3" t="s">
        <v>1758</v>
      </c>
      <c r="E2972" s="3" t="s">
        <v>7003</v>
      </c>
      <c r="F2972" s="3" t="s">
        <v>1760</v>
      </c>
      <c r="G2972" s="3" t="str">
        <f>IFERROR(__xludf.DUMMYFUNCTION("GOOGLETRANSLATE(D2972,""fr"",""es"")"),"químico")</f>
        <v>químico</v>
      </c>
      <c r="H2972" s="3" t="s">
        <v>1755</v>
      </c>
      <c r="I2972" s="3" t="s">
        <v>1761</v>
      </c>
      <c r="J2972" s="3" t="s">
        <v>1755</v>
      </c>
      <c r="K2972" s="3" t="s">
        <v>1755</v>
      </c>
      <c r="L2972" s="3" t="s">
        <v>1756</v>
      </c>
    </row>
    <row r="2973">
      <c r="A2973" s="3">
        <v>425.0</v>
      </c>
      <c r="B2973" s="3" t="s">
        <v>6738</v>
      </c>
      <c r="C2973" s="3" t="s">
        <v>190</v>
      </c>
      <c r="D2973" s="3" t="s">
        <v>1762</v>
      </c>
      <c r="E2973" s="3" t="s">
        <v>7003</v>
      </c>
      <c r="F2973" s="3" t="s">
        <v>1760</v>
      </c>
      <c r="G2973" s="3" t="str">
        <f>IFERROR(__xludf.DUMMYFUNCTION("GOOGLETRANSLATE(D2973,""fr"",""es"")"),"químicos")</f>
        <v>químicos</v>
      </c>
    </row>
    <row r="2974">
      <c r="A2974" s="3">
        <v>426.0</v>
      </c>
      <c r="B2974" s="3" t="s">
        <v>6738</v>
      </c>
      <c r="C2974" s="3" t="s">
        <v>190</v>
      </c>
      <c r="D2974" s="3" t="s">
        <v>1790</v>
      </c>
      <c r="E2974" s="3" t="s">
        <v>7004</v>
      </c>
      <c r="F2974" s="3" t="s">
        <v>1775</v>
      </c>
      <c r="G2974" s="3" t="str">
        <f>IFERROR(__xludf.DUMMYFUNCTION("GOOGLETRANSLATE(D2974,""fr"",""es"")"),"Porcelana")</f>
        <v>Porcelana</v>
      </c>
    </row>
    <row r="2975">
      <c r="A2975" s="3">
        <v>427.0</v>
      </c>
      <c r="B2975" s="3" t="s">
        <v>6738</v>
      </c>
      <c r="C2975" s="3" t="s">
        <v>190</v>
      </c>
      <c r="D2975" s="3" t="s">
        <v>1779</v>
      </c>
      <c r="E2975" s="3" t="s">
        <v>7005</v>
      </c>
      <c r="F2975" s="3" t="s">
        <v>1781</v>
      </c>
      <c r="G2975" s="3" t="str">
        <f>IFERROR(__xludf.DUMMYFUNCTION("GOOGLETRANSLATE(D2975,""fr"",""es"")"),"chino")</f>
        <v>chino</v>
      </c>
    </row>
    <row r="2976">
      <c r="A2976" s="3">
        <v>428.0</v>
      </c>
      <c r="B2976" s="3" t="s">
        <v>6738</v>
      </c>
      <c r="C2976" s="3" t="s">
        <v>190</v>
      </c>
      <c r="D2976" s="3" t="s">
        <v>7006</v>
      </c>
      <c r="E2976" s="3" t="s">
        <v>7004</v>
      </c>
      <c r="F2976" s="3" t="s">
        <v>1775</v>
      </c>
      <c r="G2976" s="3" t="str">
        <f>IFERROR(__xludf.DUMMYFUNCTION("GOOGLETRANSLATE(D2976,""fr"",""es"")"),"chinos")</f>
        <v>chinos</v>
      </c>
    </row>
    <row r="2977">
      <c r="A2977" s="3">
        <v>429.0</v>
      </c>
      <c r="B2977" s="3" t="s">
        <v>6738</v>
      </c>
      <c r="C2977" s="3" t="s">
        <v>190</v>
      </c>
      <c r="D2977" s="3" t="s">
        <v>1782</v>
      </c>
      <c r="E2977" s="3" t="s">
        <v>7007</v>
      </c>
      <c r="F2977" s="3" t="s">
        <v>1784</v>
      </c>
      <c r="G2977" s="3" t="str">
        <f>IFERROR(__xludf.DUMMYFUNCTION("GOOGLETRANSLATE(D2977,""fr"",""es"")"),"chino")</f>
        <v>chino</v>
      </c>
    </row>
    <row r="2978">
      <c r="A2978" s="3">
        <v>430.0</v>
      </c>
      <c r="B2978" s="3" t="s">
        <v>6738</v>
      </c>
      <c r="C2978" s="3" t="s">
        <v>190</v>
      </c>
      <c r="D2978" s="3" t="s">
        <v>1785</v>
      </c>
      <c r="E2978" s="3" t="s">
        <v>7007</v>
      </c>
      <c r="F2978" s="3" t="s">
        <v>1784</v>
      </c>
      <c r="G2978" s="3" t="str">
        <f>IFERROR(__xludf.DUMMYFUNCTION("GOOGLETRANSLATE(D2978,""fr"",""es"")"),"chino")</f>
        <v>chino</v>
      </c>
    </row>
    <row r="2979">
      <c r="A2979" s="3">
        <v>431.0</v>
      </c>
      <c r="B2979" s="3" t="s">
        <v>6738</v>
      </c>
      <c r="C2979" s="3" t="s">
        <v>190</v>
      </c>
      <c r="D2979" s="3" t="s">
        <v>1786</v>
      </c>
      <c r="E2979" s="3" t="s">
        <v>7007</v>
      </c>
      <c r="F2979" s="3" t="s">
        <v>1784</v>
      </c>
      <c r="G2979" s="3" t="str">
        <f>IFERROR(__xludf.DUMMYFUNCTION("GOOGLETRANSLATE(D2979,""fr"",""es"")"),"chino")</f>
        <v>chino</v>
      </c>
    </row>
    <row r="2980">
      <c r="A2980" s="3">
        <v>432.0</v>
      </c>
      <c r="B2980" s="3" t="s">
        <v>6738</v>
      </c>
      <c r="C2980" s="3" t="s">
        <v>190</v>
      </c>
      <c r="D2980" s="3" t="s">
        <v>7008</v>
      </c>
      <c r="E2980" s="3" t="s">
        <v>7004</v>
      </c>
      <c r="F2980" s="3" t="s">
        <v>1775</v>
      </c>
      <c r="G2980" s="3" t="str">
        <f>IFERROR(__xludf.DUMMYFUNCTION("GOOGLETRANSLATE(D2980,""fr"",""es"")"),"barbilla")</f>
        <v>barbilla</v>
      </c>
    </row>
    <row r="2981">
      <c r="A2981" s="3">
        <v>433.0</v>
      </c>
      <c r="B2981" s="3" t="s">
        <v>6738</v>
      </c>
      <c r="C2981" s="3" t="s">
        <v>190</v>
      </c>
      <c r="D2981" s="3" t="s">
        <v>1787</v>
      </c>
      <c r="E2981" s="3" t="s">
        <v>7009</v>
      </c>
      <c r="F2981" s="3" t="s">
        <v>1789</v>
      </c>
      <c r="G2981" s="3" t="str">
        <f>IFERROR(__xludf.DUMMYFUNCTION("GOOGLETRANSLATE(D2981,""fr"",""es"")"),"Porcelana")</f>
        <v>Porcelana</v>
      </c>
      <c r="H2981" s="3" t="s">
        <v>1790</v>
      </c>
      <c r="I2981" s="3" t="s">
        <v>1791</v>
      </c>
      <c r="J2981" s="3" t="s">
        <v>1792</v>
      </c>
      <c r="K2981" s="3" t="s">
        <v>1793</v>
      </c>
      <c r="L2981" s="3" t="s">
        <v>1794</v>
      </c>
      <c r="M2981" s="3" t="s">
        <v>1795</v>
      </c>
      <c r="N2981" s="3" t="s">
        <v>1796</v>
      </c>
      <c r="O2981" s="3" t="s">
        <v>1797</v>
      </c>
      <c r="P2981" s="3" t="s">
        <v>1798</v>
      </c>
      <c r="Q2981" s="3" t="s">
        <v>1791</v>
      </c>
      <c r="R2981" s="3" t="s">
        <v>1799</v>
      </c>
      <c r="S2981" s="3" t="s">
        <v>1800</v>
      </c>
    </row>
    <row r="2982">
      <c r="A2982" s="3">
        <v>434.0</v>
      </c>
      <c r="B2982" s="3" t="s">
        <v>6738</v>
      </c>
      <c r="C2982" s="3" t="s">
        <v>190</v>
      </c>
      <c r="D2982" s="3" t="s">
        <v>1801</v>
      </c>
      <c r="E2982" s="3" t="s">
        <v>7009</v>
      </c>
      <c r="F2982" s="3" t="s">
        <v>1789</v>
      </c>
      <c r="G2982" s="3" t="str">
        <f>IFERROR(__xludf.DUMMYFUNCTION("GOOGLETRANSLATE(D2982,""fr"",""es"")"),"Porcelana")</f>
        <v>Porcelana</v>
      </c>
      <c r="H2982" s="3" t="s">
        <v>1790</v>
      </c>
      <c r="I2982" s="3" t="s">
        <v>1791</v>
      </c>
      <c r="J2982" s="3" t="s">
        <v>1792</v>
      </c>
      <c r="K2982" s="3" t="s">
        <v>1793</v>
      </c>
      <c r="L2982" s="3" t="s">
        <v>1794</v>
      </c>
      <c r="M2982" s="3" t="s">
        <v>1795</v>
      </c>
      <c r="N2982" s="3" t="s">
        <v>1796</v>
      </c>
      <c r="O2982" s="3" t="s">
        <v>1797</v>
      </c>
      <c r="P2982" s="3" t="s">
        <v>1798</v>
      </c>
      <c r="Q2982" s="3" t="s">
        <v>1791</v>
      </c>
      <c r="R2982" s="3" t="s">
        <v>1799</v>
      </c>
      <c r="S2982" s="3" t="s">
        <v>1800</v>
      </c>
    </row>
    <row r="2983">
      <c r="A2983" s="3">
        <v>435.0</v>
      </c>
      <c r="B2983" s="3" t="s">
        <v>6738</v>
      </c>
      <c r="C2983" s="3" t="s">
        <v>190</v>
      </c>
      <c r="D2983" s="3" t="s">
        <v>1802</v>
      </c>
      <c r="E2983" s="3" t="s">
        <v>7009</v>
      </c>
      <c r="F2983" s="3" t="s">
        <v>1789</v>
      </c>
      <c r="G2983" s="3" t="str">
        <f>IFERROR(__xludf.DUMMYFUNCTION("GOOGLETRANSLATE(D2983,""fr"",""es"")"),"chino")</f>
        <v>chino</v>
      </c>
    </row>
    <row r="2984">
      <c r="A2984" s="3">
        <v>436.0</v>
      </c>
      <c r="B2984" s="3" t="s">
        <v>6738</v>
      </c>
      <c r="C2984" s="3" t="s">
        <v>190</v>
      </c>
      <c r="D2984" s="3" t="s">
        <v>1803</v>
      </c>
      <c r="E2984" s="3" t="s">
        <v>7009</v>
      </c>
      <c r="F2984" s="3" t="s">
        <v>1789</v>
      </c>
      <c r="G2984" s="3" t="str">
        <f>IFERROR(__xludf.DUMMYFUNCTION("GOOGLETRANSLATE(D2984,""fr"",""es"")"),"China")</f>
        <v>China</v>
      </c>
    </row>
    <row r="2985">
      <c r="A2985" s="3">
        <v>437.0</v>
      </c>
      <c r="B2985" s="3" t="s">
        <v>6738</v>
      </c>
      <c r="C2985" s="3" t="s">
        <v>190</v>
      </c>
      <c r="D2985" s="3" t="s">
        <v>7010</v>
      </c>
      <c r="E2985" s="3" t="s">
        <v>7011</v>
      </c>
      <c r="F2985" s="3" t="s">
        <v>1806</v>
      </c>
      <c r="G2985" s="3" t="str">
        <f>IFERROR(__xludf.DUMMYFUNCTION("GOOGLETRANSLATE(D2985,""fr"",""es"")"),"chipa")</f>
        <v>chipa</v>
      </c>
    </row>
    <row r="2986">
      <c r="A2986" s="3">
        <v>438.0</v>
      </c>
      <c r="B2986" s="3" t="s">
        <v>6738</v>
      </c>
      <c r="C2986" s="3" t="s">
        <v>190</v>
      </c>
      <c r="D2986" s="3" t="s">
        <v>1810</v>
      </c>
      <c r="E2986" s="3" t="s">
        <v>7012</v>
      </c>
      <c r="F2986" s="3" t="s">
        <v>1812</v>
      </c>
      <c r="G2986" s="3" t="str">
        <f>IFERROR(__xludf.DUMMYFUNCTION("GOOGLETRANSLATE(D2986,""fr"",""es"")"),"chip")</f>
        <v>chip</v>
      </c>
    </row>
    <row r="2987">
      <c r="A2987" s="3">
        <v>439.0</v>
      </c>
      <c r="B2987" s="3" t="s">
        <v>6738</v>
      </c>
      <c r="C2987" s="3" t="s">
        <v>190</v>
      </c>
      <c r="D2987" s="3" t="s">
        <v>7013</v>
      </c>
      <c r="E2987" s="3" t="s">
        <v>7011</v>
      </c>
      <c r="F2987" s="3" t="s">
        <v>1806</v>
      </c>
      <c r="G2987" s="3" t="str">
        <f>IFERROR(__xludf.DUMMYFUNCTION("GOOGLETRANSLATE(D2987,""fr"",""es"")"),"chipas")</f>
        <v>chipas</v>
      </c>
    </row>
    <row r="2988">
      <c r="A2988" s="3">
        <v>440.0</v>
      </c>
      <c r="B2988" s="3" t="s">
        <v>6738</v>
      </c>
      <c r="C2988" s="3" t="s">
        <v>190</v>
      </c>
      <c r="D2988" s="3" t="s">
        <v>1813</v>
      </c>
      <c r="E2988" s="3" t="s">
        <v>7014</v>
      </c>
      <c r="F2988" s="3" t="s">
        <v>1815</v>
      </c>
      <c r="G2988" s="3" t="str">
        <f>IFERROR(__xludf.DUMMYFUNCTION("GOOGLETRANSLATE(D2988,""fr"",""es"")"),"chipasse")</f>
        <v>chipasse</v>
      </c>
    </row>
    <row r="2989">
      <c r="A2989" s="3">
        <v>441.0</v>
      </c>
      <c r="B2989" s="3" t="s">
        <v>6738</v>
      </c>
      <c r="C2989" s="3" t="s">
        <v>190</v>
      </c>
      <c r="D2989" s="3" t="s">
        <v>1816</v>
      </c>
      <c r="E2989" s="3" t="s">
        <v>7014</v>
      </c>
      <c r="F2989" s="3" t="s">
        <v>1815</v>
      </c>
      <c r="G2989" s="3" t="str">
        <f>IFERROR(__xludf.DUMMYFUNCTION("GOOGLETRANSLATE(D2989,""fr"",""es"")"),"chip")</f>
        <v>chip</v>
      </c>
    </row>
    <row r="2990">
      <c r="A2990" s="3">
        <v>442.0</v>
      </c>
      <c r="B2990" s="3" t="s">
        <v>6738</v>
      </c>
      <c r="C2990" s="3" t="s">
        <v>190</v>
      </c>
      <c r="D2990" s="3" t="s">
        <v>1817</v>
      </c>
      <c r="E2990" s="3" t="s">
        <v>7014</v>
      </c>
      <c r="F2990" s="3" t="s">
        <v>1815</v>
      </c>
      <c r="G2990" s="3" t="str">
        <f>IFERROR(__xludf.DUMMYFUNCTION("GOOGLETRANSLATE(D2990,""fr"",""es"")"),"chipses")</f>
        <v>chipses</v>
      </c>
    </row>
    <row r="2991">
      <c r="A2991" s="3">
        <v>443.0</v>
      </c>
      <c r="B2991" s="3" t="s">
        <v>6738</v>
      </c>
      <c r="C2991" s="3" t="s">
        <v>190</v>
      </c>
      <c r="D2991" s="3" t="s">
        <v>7015</v>
      </c>
      <c r="E2991" s="3" t="s">
        <v>7011</v>
      </c>
      <c r="F2991" s="3" t="s">
        <v>1806</v>
      </c>
      <c r="G2991" s="3" t="str">
        <f>IFERROR(__xludf.DUMMYFUNCTION("GOOGLETRANSLATE(D2991,""fr"",""es"")"),"chip")</f>
        <v>chip</v>
      </c>
    </row>
    <row r="2992">
      <c r="A2992" s="3">
        <v>444.0</v>
      </c>
      <c r="B2992" s="3" t="s">
        <v>6738</v>
      </c>
      <c r="C2992" s="3" t="s">
        <v>190</v>
      </c>
      <c r="D2992" s="3" t="s">
        <v>1818</v>
      </c>
      <c r="E2992" s="3" t="s">
        <v>7016</v>
      </c>
      <c r="F2992" s="3" t="s">
        <v>1820</v>
      </c>
      <c r="G2992" s="3" t="str">
        <f>IFERROR(__xludf.DUMMYFUNCTION("GOOGLETRANSLATE(D2992,""fr"",""es"")"),"chiple")</f>
        <v>chiple</v>
      </c>
    </row>
    <row r="2993">
      <c r="A2993" s="3">
        <v>445.0</v>
      </c>
      <c r="B2993" s="3" t="s">
        <v>6738</v>
      </c>
      <c r="C2993" s="3" t="s">
        <v>190</v>
      </c>
      <c r="D2993" s="3" t="s">
        <v>1821</v>
      </c>
      <c r="E2993" s="3" t="s">
        <v>7016</v>
      </c>
      <c r="F2993" s="3" t="s">
        <v>1820</v>
      </c>
      <c r="G2993" s="3" t="str">
        <f>IFERROR(__xludf.DUMMYFUNCTION("GOOGLETRANSLATE(D2993,""fr"",""es"")"),"chiple")</f>
        <v>chiple</v>
      </c>
    </row>
    <row r="2994">
      <c r="A2994" s="3">
        <v>446.0</v>
      </c>
      <c r="B2994" s="3" t="s">
        <v>6738</v>
      </c>
      <c r="C2994" s="3" t="s">
        <v>190</v>
      </c>
      <c r="D2994" s="3" t="s">
        <v>1822</v>
      </c>
      <c r="E2994" s="3" t="s">
        <v>7016</v>
      </c>
      <c r="F2994" s="3" t="s">
        <v>1820</v>
      </c>
      <c r="G2994" s="3" t="str">
        <f>IFERROR(__xludf.DUMMYFUNCTION("GOOGLETRANSLATE(D2994,""fr"",""es"")"),"chie")</f>
        <v>chie</v>
      </c>
    </row>
    <row r="2995">
      <c r="A2995" s="3">
        <v>447.0</v>
      </c>
      <c r="B2995" s="3" t="s">
        <v>6738</v>
      </c>
      <c r="C2995" s="3" t="s">
        <v>190</v>
      </c>
      <c r="D2995" s="3" t="s">
        <v>1823</v>
      </c>
      <c r="E2995" s="3" t="s">
        <v>7017</v>
      </c>
      <c r="F2995" s="3" t="s">
        <v>1825</v>
      </c>
      <c r="G2995" s="3" t="str">
        <f>IFERROR(__xludf.DUMMYFUNCTION("GOOGLETRANSLATE(D2995,""fr"",""es"")"),"chipie")</f>
        <v>chipie</v>
      </c>
      <c r="H2995" s="3" t="s">
        <v>1826</v>
      </c>
      <c r="I2995" s="3" t="s">
        <v>1827</v>
      </c>
      <c r="J2995" s="3" t="s">
        <v>1828</v>
      </c>
      <c r="K2995" s="3" t="s">
        <v>1829</v>
      </c>
      <c r="L2995" s="3" t="s">
        <v>1830</v>
      </c>
    </row>
    <row r="2996">
      <c r="A2996" s="3">
        <v>448.0</v>
      </c>
      <c r="B2996" s="3" t="s">
        <v>6738</v>
      </c>
      <c r="C2996" s="3" t="s">
        <v>190</v>
      </c>
      <c r="D2996" s="3" t="s">
        <v>1831</v>
      </c>
      <c r="E2996" s="3" t="s">
        <v>7017</v>
      </c>
      <c r="F2996" s="3" t="s">
        <v>1825</v>
      </c>
      <c r="G2996" s="3" t="str">
        <f>IFERROR(__xludf.DUMMYFUNCTION("GOOGLETRANSLATE(D2996,""fr"",""es"")"),"chipies")</f>
        <v>chipies</v>
      </c>
    </row>
    <row r="2997">
      <c r="A2997" s="3">
        <v>449.0</v>
      </c>
      <c r="B2997" s="3" t="s">
        <v>6738</v>
      </c>
      <c r="C2997" s="3" t="s">
        <v>190</v>
      </c>
      <c r="D2997" s="3" t="s">
        <v>7018</v>
      </c>
      <c r="E2997" s="3" t="s">
        <v>7019</v>
      </c>
      <c r="F2997" s="3" t="s">
        <v>1834</v>
      </c>
      <c r="G2997" s="3" t="str">
        <f>IFERROR(__xludf.DUMMYFUNCTION("GOOGLETRANSLATE(D2997,""fr"",""es"")"),"chiqua")</f>
        <v>chiqua</v>
      </c>
    </row>
    <row r="2998">
      <c r="A2998" s="3">
        <v>450.0</v>
      </c>
      <c r="B2998" s="3" t="s">
        <v>6738</v>
      </c>
      <c r="C2998" s="3" t="s">
        <v>190</v>
      </c>
      <c r="D2998" s="3" t="s">
        <v>1838</v>
      </c>
      <c r="E2998" s="3" t="s">
        <v>7020</v>
      </c>
      <c r="F2998" s="3" t="s">
        <v>1840</v>
      </c>
      <c r="G2998" s="3" t="str">
        <f>IFERROR(__xludf.DUMMYFUNCTION("GOOGLETRANSLATE(D2998,""fr"",""es"")"),"chica")</f>
        <v>chica</v>
      </c>
    </row>
    <row r="2999">
      <c r="A2999" s="3">
        <v>451.0</v>
      </c>
      <c r="B2999" s="3" t="s">
        <v>6738</v>
      </c>
      <c r="C2999" s="3" t="s">
        <v>190</v>
      </c>
      <c r="D2999" s="3" t="s">
        <v>7021</v>
      </c>
      <c r="E2999" s="3" t="s">
        <v>7019</v>
      </c>
      <c r="F2999" s="3" t="s">
        <v>1834</v>
      </c>
      <c r="G2999" s="3" t="str">
        <f>IFERROR(__xludf.DUMMYFUNCTION("GOOGLETRANSLATE(D2999,""fr"",""es"")"),"chiquas")</f>
        <v>chiquas</v>
      </c>
    </row>
    <row r="3000">
      <c r="A3000" s="3">
        <v>452.0</v>
      </c>
      <c r="B3000" s="3" t="s">
        <v>6738</v>
      </c>
      <c r="C3000" s="3" t="s">
        <v>190</v>
      </c>
      <c r="D3000" s="3" t="s">
        <v>1841</v>
      </c>
      <c r="E3000" s="3" t="s">
        <v>7022</v>
      </c>
      <c r="F3000" s="3" t="s">
        <v>1843</v>
      </c>
      <c r="G3000" s="3" t="str">
        <f>IFERROR(__xludf.DUMMYFUNCTION("GOOGLETRANSLATE(D3000,""fr"",""es"")"),"chiquasse")</f>
        <v>chiquasse</v>
      </c>
    </row>
    <row r="3001">
      <c r="A3001" s="3">
        <v>453.0</v>
      </c>
      <c r="B3001" s="3" t="s">
        <v>6738</v>
      </c>
      <c r="C3001" s="3" t="s">
        <v>190</v>
      </c>
      <c r="D3001" s="3" t="s">
        <v>1844</v>
      </c>
      <c r="E3001" s="3" t="s">
        <v>7022</v>
      </c>
      <c r="F3001" s="3" t="s">
        <v>1843</v>
      </c>
      <c r="G3001" s="3" t="str">
        <f>IFERROR(__xludf.DUMMYFUNCTION("GOOGLETRANSLATE(D3001,""fr"",""es"")"),"polluelo")</f>
        <v>polluelo</v>
      </c>
    </row>
    <row r="3002">
      <c r="A3002" s="3">
        <v>454.0</v>
      </c>
      <c r="B3002" s="3" t="s">
        <v>6738</v>
      </c>
      <c r="C3002" s="3" t="s">
        <v>190</v>
      </c>
      <c r="D3002" s="3" t="s">
        <v>1845</v>
      </c>
      <c r="E3002" s="3" t="s">
        <v>7022</v>
      </c>
      <c r="F3002" s="3" t="s">
        <v>1843</v>
      </c>
      <c r="G3002" s="3" t="str">
        <f>IFERROR(__xludf.DUMMYFUNCTION("GOOGLETRANSLATE(D3002,""fr"",""es"")"),"chiquasses")</f>
        <v>chiquasses</v>
      </c>
    </row>
    <row r="3003">
      <c r="A3003" s="3">
        <v>455.0</v>
      </c>
      <c r="B3003" s="3" t="s">
        <v>6738</v>
      </c>
      <c r="C3003" s="3" t="s">
        <v>190</v>
      </c>
      <c r="D3003" s="3" t="s">
        <v>7023</v>
      </c>
      <c r="E3003" s="3" t="s">
        <v>7019</v>
      </c>
      <c r="F3003" s="3" t="s">
        <v>1834</v>
      </c>
      <c r="G3003" s="3" t="str">
        <f>IFERROR(__xludf.DUMMYFUNCTION("GOOGLETRANSLATE(D3003,""fr"",""es"")"),"chiquat")</f>
        <v>chiquat</v>
      </c>
    </row>
    <row r="3004">
      <c r="A3004" s="3">
        <v>456.0</v>
      </c>
      <c r="B3004" s="3" t="s">
        <v>6738</v>
      </c>
      <c r="C3004" s="3" t="s">
        <v>190</v>
      </c>
      <c r="D3004" s="3" t="s">
        <v>1846</v>
      </c>
      <c r="E3004" s="3" t="s">
        <v>6991</v>
      </c>
      <c r="F3004" s="3" t="s">
        <v>1693</v>
      </c>
      <c r="G3004" s="3" t="str">
        <f>IFERROR(__xludf.DUMMYFUNCTION("GOOGLETRANSLATE(D3004,""fr"",""es"")"),"chique")</f>
        <v>chique</v>
      </c>
      <c r="H3004" s="3" t="s">
        <v>1696</v>
      </c>
      <c r="I3004" s="3" t="s">
        <v>1697</v>
      </c>
      <c r="J3004" s="3" t="s">
        <v>1698</v>
      </c>
    </row>
    <row r="3005">
      <c r="A3005" s="3">
        <v>457.0</v>
      </c>
      <c r="B3005" s="3" t="s">
        <v>6738</v>
      </c>
      <c r="C3005" s="3" t="s">
        <v>190</v>
      </c>
      <c r="D3005" s="3" t="s">
        <v>1847</v>
      </c>
      <c r="E3005" s="3" t="s">
        <v>6991</v>
      </c>
      <c r="F3005" s="3" t="s">
        <v>1693</v>
      </c>
      <c r="G3005" s="3" t="str">
        <f>IFERROR(__xludf.DUMMYFUNCTION("GOOGLETRANSLATE(D3005,""fr"",""es"")"),"polluelo")</f>
        <v>polluelo</v>
      </c>
    </row>
    <row r="3006">
      <c r="A3006" s="3">
        <v>458.0</v>
      </c>
      <c r="B3006" s="3" t="s">
        <v>6738</v>
      </c>
      <c r="C3006" s="3" t="s">
        <v>190</v>
      </c>
      <c r="D3006" s="3" t="s">
        <v>1848</v>
      </c>
      <c r="E3006" s="3" t="s">
        <v>6991</v>
      </c>
      <c r="F3006" s="3" t="s">
        <v>1693</v>
      </c>
      <c r="G3006" s="3" t="str">
        <f>IFERROR(__xludf.DUMMYFUNCTION("GOOGLETRANSLATE(D3006,""fr"",""es"")"),"Chicas")</f>
        <v>Chicas</v>
      </c>
    </row>
    <row r="3007">
      <c r="A3007" s="3">
        <v>459.0</v>
      </c>
      <c r="B3007" s="3" t="s">
        <v>6738</v>
      </c>
      <c r="C3007" s="3" t="s">
        <v>190</v>
      </c>
      <c r="D3007" s="3" t="s">
        <v>1849</v>
      </c>
      <c r="E3007" s="3" t="s">
        <v>1850</v>
      </c>
      <c r="F3007" s="3" t="s">
        <v>1851</v>
      </c>
      <c r="G3007" s="3" t="str">
        <f>IFERROR(__xludf.DUMMYFUNCTION("GOOGLETRANSLATE(D3007,""fr"",""es"")"),"repollo")</f>
        <v>repollo</v>
      </c>
      <c r="H3007" s="3" t="s">
        <v>1852</v>
      </c>
      <c r="I3007" s="3" t="s">
        <v>1853</v>
      </c>
      <c r="J3007" s="3" t="s">
        <v>1854</v>
      </c>
      <c r="K3007" s="3" t="s">
        <v>1855</v>
      </c>
      <c r="L3007" s="3" t="s">
        <v>1856</v>
      </c>
      <c r="M3007" s="3" t="s">
        <v>1857</v>
      </c>
      <c r="N3007" s="3" t="s">
        <v>1858</v>
      </c>
      <c r="O3007" s="3" t="s">
        <v>1859</v>
      </c>
      <c r="P3007" s="3" t="s">
        <v>1860</v>
      </c>
      <c r="Q3007" s="3" t="s">
        <v>1861</v>
      </c>
      <c r="R3007" s="3" t="s">
        <v>1862</v>
      </c>
      <c r="S3007" s="3" t="s">
        <v>1863</v>
      </c>
      <c r="T3007" s="3" t="s">
        <v>1864</v>
      </c>
      <c r="U3007" s="3" t="s">
        <v>1853</v>
      </c>
      <c r="V3007" s="3" t="s">
        <v>1849</v>
      </c>
      <c r="W3007" s="3" t="s">
        <v>1865</v>
      </c>
      <c r="X3007" s="3" t="s">
        <v>1866</v>
      </c>
      <c r="Y3007" s="3" t="s">
        <v>1867</v>
      </c>
      <c r="Z3007" s="3" t="s">
        <v>1868</v>
      </c>
      <c r="AA3007" s="3" t="s">
        <v>1869</v>
      </c>
      <c r="AB3007" s="3" t="s">
        <v>1870</v>
      </c>
      <c r="AC3007" s="3" t="s">
        <v>1871</v>
      </c>
      <c r="AD3007" s="3" t="s">
        <v>1872</v>
      </c>
      <c r="AE3007" s="3" t="s">
        <v>1853</v>
      </c>
      <c r="AF3007" s="3" t="s">
        <v>1873</v>
      </c>
      <c r="AG3007" s="3" t="s">
        <v>1872</v>
      </c>
      <c r="AH3007" s="3" t="s">
        <v>1874</v>
      </c>
      <c r="AI3007" s="3" t="s">
        <v>1875</v>
      </c>
      <c r="AJ3007" s="3" t="s">
        <v>1876</v>
      </c>
      <c r="AK3007" s="3" t="s">
        <v>1877</v>
      </c>
      <c r="AL3007" s="3" t="s">
        <v>1878</v>
      </c>
      <c r="AM3007" s="3" t="s">
        <v>1879</v>
      </c>
    </row>
    <row r="3008">
      <c r="A3008" s="3">
        <v>460.0</v>
      </c>
      <c r="B3008" s="3" t="s">
        <v>6738</v>
      </c>
      <c r="C3008" s="3" t="s">
        <v>190</v>
      </c>
      <c r="D3008" s="3" t="s">
        <v>7024</v>
      </c>
      <c r="E3008" s="3" t="s">
        <v>7025</v>
      </c>
      <c r="F3008" s="3" t="s">
        <v>7026</v>
      </c>
      <c r="G3008" s="3" t="str">
        <f>IFERROR(__xludf.DUMMYFUNCTION("GOOGLETRANSLATE(D3008,""fr"",""es"")"),"grajo")</f>
        <v>grajo</v>
      </c>
      <c r="H3008" s="3" t="s">
        <v>7027</v>
      </c>
      <c r="I3008" s="3" t="s">
        <v>7028</v>
      </c>
      <c r="J3008" s="3" t="s">
        <v>7029</v>
      </c>
    </row>
    <row r="3009">
      <c r="A3009" s="3">
        <v>461.0</v>
      </c>
      <c r="B3009" s="3" t="s">
        <v>6738</v>
      </c>
      <c r="C3009" s="3" t="s">
        <v>190</v>
      </c>
      <c r="D3009" s="3" t="s">
        <v>1880</v>
      </c>
      <c r="E3009" s="3" t="s">
        <v>7030</v>
      </c>
      <c r="F3009" s="3" t="s">
        <v>1882</v>
      </c>
      <c r="G3009" s="3" t="str">
        <f>IFERROR(__xludf.DUMMYFUNCTION("GOOGLETRANSLATE(D3009,""fr"",""es"")"),"mascota")</f>
        <v>mascota</v>
      </c>
      <c r="H3009" s="3" t="s">
        <v>1883</v>
      </c>
      <c r="I3009" s="3" t="s">
        <v>1884</v>
      </c>
      <c r="J3009" s="3" t="s">
        <v>1885</v>
      </c>
      <c r="K3009" s="3" t="s">
        <v>1886</v>
      </c>
      <c r="L3009" s="3" t="s">
        <v>1887</v>
      </c>
      <c r="M3009" s="3" t="s">
        <v>1888</v>
      </c>
      <c r="N3009" s="3" t="s">
        <v>1889</v>
      </c>
      <c r="O3009" s="3" t="s">
        <v>1890</v>
      </c>
      <c r="P3009" s="3" t="s">
        <v>1891</v>
      </c>
    </row>
    <row r="3010">
      <c r="A3010" s="3">
        <v>462.0</v>
      </c>
      <c r="B3010" s="3" t="s">
        <v>6738</v>
      </c>
      <c r="C3010" s="3" t="s">
        <v>190</v>
      </c>
      <c r="D3010" s="3" t="s">
        <v>1892</v>
      </c>
      <c r="E3010" s="3" t="s">
        <v>7030</v>
      </c>
      <c r="F3010" s="3" t="s">
        <v>1882</v>
      </c>
      <c r="G3010" s="3" t="str">
        <f>IFERROR(__xludf.DUMMYFUNCTION("GOOGLETRANSLATE(D3010,""fr"",""es"")"),"querida")</f>
        <v>querida</v>
      </c>
    </row>
    <row r="3011">
      <c r="A3011" s="3">
        <v>463.0</v>
      </c>
      <c r="B3011" s="3" t="s">
        <v>6738</v>
      </c>
      <c r="C3011" s="3" t="s">
        <v>190</v>
      </c>
      <c r="D3011" s="3" t="s">
        <v>7031</v>
      </c>
      <c r="E3011" s="3" t="s">
        <v>7032</v>
      </c>
      <c r="F3011" s="3" t="s">
        <v>1895</v>
      </c>
      <c r="G3011" s="3" t="str">
        <f>IFERROR(__xludf.DUMMYFUNCTION("GOOGLETRANSLATE(D3011,""fr"",""es"")"),"querida")</f>
        <v>querida</v>
      </c>
    </row>
    <row r="3012">
      <c r="A3012" s="3">
        <v>464.0</v>
      </c>
      <c r="B3012" s="3" t="s">
        <v>6738</v>
      </c>
      <c r="C3012" s="3" t="s">
        <v>190</v>
      </c>
      <c r="D3012" s="3" t="s">
        <v>1899</v>
      </c>
      <c r="E3012" s="3" t="s">
        <v>7033</v>
      </c>
      <c r="F3012" s="3" t="s">
        <v>1901</v>
      </c>
      <c r="G3012" s="3" t="str">
        <f>IFERROR(__xludf.DUMMYFUNCTION("GOOGLETRANSLATE(D3012,""fr"",""es"")"),"querida")</f>
        <v>querida</v>
      </c>
    </row>
    <row r="3013">
      <c r="A3013" s="3">
        <v>465.0</v>
      </c>
      <c r="B3013" s="3" t="s">
        <v>6738</v>
      </c>
      <c r="C3013" s="3" t="s">
        <v>190</v>
      </c>
      <c r="D3013" s="3" t="s">
        <v>7034</v>
      </c>
      <c r="E3013" s="3" t="s">
        <v>7032</v>
      </c>
      <c r="F3013" s="3" t="s">
        <v>1895</v>
      </c>
      <c r="G3013" s="3" t="str">
        <f>IFERROR(__xludf.DUMMYFUNCTION("GOOGLETRANSLATE(D3013,""fr"",""es"")"),"querida")</f>
        <v>querida</v>
      </c>
    </row>
    <row r="3014">
      <c r="A3014" s="3">
        <v>466.0</v>
      </c>
      <c r="B3014" s="3" t="s">
        <v>6738</v>
      </c>
      <c r="C3014" s="3" t="s">
        <v>190</v>
      </c>
      <c r="D3014" s="3" t="s">
        <v>1902</v>
      </c>
      <c r="E3014" s="3" t="s">
        <v>7035</v>
      </c>
      <c r="F3014" s="3" t="s">
        <v>1904</v>
      </c>
      <c r="G3014" s="3" t="str">
        <f>IFERROR(__xludf.DUMMYFUNCTION("GOOGLETRANSLATE(D3014,""fr"",""es"")"),"querida")</f>
        <v>querida</v>
      </c>
    </row>
    <row r="3015">
      <c r="A3015" s="3">
        <v>467.0</v>
      </c>
      <c r="B3015" s="3" t="s">
        <v>6738</v>
      </c>
      <c r="C3015" s="3" t="s">
        <v>190</v>
      </c>
      <c r="D3015" s="3" t="s">
        <v>1905</v>
      </c>
      <c r="E3015" s="3" t="s">
        <v>7035</v>
      </c>
      <c r="F3015" s="3" t="s">
        <v>1904</v>
      </c>
      <c r="G3015" s="3" t="str">
        <f>IFERROR(__xludf.DUMMYFUNCTION("GOOGLETRANSLATE(D3015,""fr"",""es"")"),"mimar")</f>
        <v>mimar</v>
      </c>
    </row>
    <row r="3016">
      <c r="A3016" s="3">
        <v>468.0</v>
      </c>
      <c r="B3016" s="3" t="s">
        <v>6738</v>
      </c>
      <c r="C3016" s="3" t="s">
        <v>190</v>
      </c>
      <c r="D3016" s="3" t="s">
        <v>1906</v>
      </c>
      <c r="E3016" s="3" t="s">
        <v>7035</v>
      </c>
      <c r="F3016" s="3" t="s">
        <v>1904</v>
      </c>
      <c r="G3016" s="3" t="str">
        <f>IFERROR(__xludf.DUMMYFUNCTION("GOOGLETRANSLATE(D3016,""fr"",""es"")"),"querida")</f>
        <v>querida</v>
      </c>
    </row>
    <row r="3017">
      <c r="A3017" s="3">
        <v>469.0</v>
      </c>
      <c r="B3017" s="3" t="s">
        <v>6738</v>
      </c>
      <c r="C3017" s="3" t="s">
        <v>190</v>
      </c>
      <c r="D3017" s="3" t="s">
        <v>7036</v>
      </c>
      <c r="E3017" s="3" t="s">
        <v>7032</v>
      </c>
      <c r="F3017" s="3" t="s">
        <v>1895</v>
      </c>
      <c r="G3017" s="3" t="str">
        <f>IFERROR(__xludf.DUMMYFUNCTION("GOOGLETRANSLATE(D3017,""fr"",""es"")"),"querida")</f>
        <v>querida</v>
      </c>
    </row>
    <row r="3018">
      <c r="A3018" s="3">
        <v>470.0</v>
      </c>
      <c r="B3018" s="3" t="s">
        <v>6738</v>
      </c>
      <c r="C3018" s="3" t="s">
        <v>190</v>
      </c>
      <c r="D3018" s="3" t="s">
        <v>7037</v>
      </c>
      <c r="E3018" s="3" t="s">
        <v>7038</v>
      </c>
      <c r="F3018" s="3" t="s">
        <v>7039</v>
      </c>
      <c r="G3018" s="3" t="str">
        <f>IFERROR(__xludf.DUMMYFUNCTION("GOOGLETRANSLATE(D3018,""fr"",""es"")"),"Chouia")</f>
        <v>Chouia</v>
      </c>
    </row>
    <row r="3019">
      <c r="A3019" s="3">
        <v>471.0</v>
      </c>
      <c r="B3019" s="3" t="s">
        <v>6738</v>
      </c>
      <c r="C3019" s="3" t="s">
        <v>190</v>
      </c>
      <c r="D3019" s="3" t="s">
        <v>1907</v>
      </c>
      <c r="E3019" s="3" t="s">
        <v>1850</v>
      </c>
      <c r="F3019" s="3" t="s">
        <v>1851</v>
      </c>
      <c r="G3019" s="3" t="str">
        <f>IFERROR(__xludf.DUMMYFUNCTION("GOOGLETRANSLATE(D3019,""fr"",""es"")"),"repollo")</f>
        <v>repollo</v>
      </c>
    </row>
    <row r="3020">
      <c r="A3020" s="3">
        <v>472.0</v>
      </c>
      <c r="B3020" s="3" t="s">
        <v>6738</v>
      </c>
      <c r="C3020" s="3" t="s">
        <v>190</v>
      </c>
      <c r="D3020" s="3" t="s">
        <v>1908</v>
      </c>
      <c r="E3020" s="3" t="s">
        <v>1909</v>
      </c>
      <c r="F3020" s="3" t="s">
        <v>1910</v>
      </c>
      <c r="G3020" s="3" t="str">
        <f>IFERROR(__xludf.DUMMYFUNCTION("GOOGLETRANSLATE(D3020,""fr"",""es"")"),"este")</f>
        <v>este</v>
      </c>
    </row>
    <row r="3021">
      <c r="A3021" s="3">
        <v>473.0</v>
      </c>
      <c r="B3021" s="3" t="s">
        <v>6738</v>
      </c>
      <c r="C3021" s="3" t="s">
        <v>190</v>
      </c>
      <c r="D3021" s="3" t="s">
        <v>1911</v>
      </c>
      <c r="E3021" s="3" t="s">
        <v>7040</v>
      </c>
      <c r="F3021" s="3" t="s">
        <v>1913</v>
      </c>
      <c r="G3021" s="3" t="str">
        <f>IFERROR(__xludf.DUMMYFUNCTION("GOOGLETRANSLATE(D3021,""fr"",""es"")"),"pestaña")</f>
        <v>pestaña</v>
      </c>
      <c r="H3021" s="3" t="s">
        <v>1914</v>
      </c>
      <c r="I3021" s="3" t="s">
        <v>1915</v>
      </c>
      <c r="J3021" s="3" t="s">
        <v>1916</v>
      </c>
      <c r="K3021" s="3" t="s">
        <v>1917</v>
      </c>
      <c r="L3021" s="3" t="s">
        <v>1918</v>
      </c>
      <c r="M3021" s="3" t="s">
        <v>1919</v>
      </c>
      <c r="N3021" s="3" t="s">
        <v>1920</v>
      </c>
      <c r="O3021" s="3" t="s">
        <v>1921</v>
      </c>
      <c r="P3021" s="3" t="s">
        <v>1919</v>
      </c>
      <c r="Q3021" s="3" t="s">
        <v>1920</v>
      </c>
      <c r="R3021" s="3" t="s">
        <v>1921</v>
      </c>
    </row>
    <row r="3022">
      <c r="A3022" s="3">
        <v>474.0</v>
      </c>
      <c r="B3022" s="3" t="s">
        <v>6738</v>
      </c>
      <c r="C3022" s="3" t="s">
        <v>190</v>
      </c>
      <c r="D3022" s="3" t="s">
        <v>1922</v>
      </c>
      <c r="E3022" s="3" t="s">
        <v>7041</v>
      </c>
      <c r="F3022" s="3" t="s">
        <v>1924</v>
      </c>
      <c r="G3022" s="3" t="str">
        <f>IFERROR(__xludf.DUMMYFUNCTION("GOOGLETRANSLATE(D3022,""fr"",""es"")"),"material de pelo")</f>
        <v>material de pelo</v>
      </c>
    </row>
    <row r="3023">
      <c r="A3023" s="3">
        <v>475.0</v>
      </c>
      <c r="B3023" s="3" t="s">
        <v>6738</v>
      </c>
      <c r="C3023" s="3" t="s">
        <v>190</v>
      </c>
      <c r="D3023" s="3" t="s">
        <v>1925</v>
      </c>
      <c r="E3023" s="3" t="s">
        <v>7041</v>
      </c>
      <c r="F3023" s="3" t="s">
        <v>1924</v>
      </c>
      <c r="G3023" s="3" t="str">
        <f>IFERROR(__xludf.DUMMYFUNCTION("GOOGLETRANSLATE(D3023,""fr"",""es"")"),"material de pelo")</f>
        <v>material de pelo</v>
      </c>
    </row>
    <row r="3024">
      <c r="A3024" s="3">
        <v>476.0</v>
      </c>
      <c r="B3024" s="3" t="s">
        <v>6738</v>
      </c>
      <c r="C3024" s="3" t="s">
        <v>190</v>
      </c>
      <c r="D3024" s="3" t="s">
        <v>7042</v>
      </c>
      <c r="E3024" s="3" t="s">
        <v>7043</v>
      </c>
      <c r="F3024" s="3" t="s">
        <v>1928</v>
      </c>
      <c r="G3024" s="3" t="str">
        <f>IFERROR(__xludf.DUMMYFUNCTION("GOOGLETRANSLATE(D3024,""fr"",""es"")"),"cilla")</f>
        <v>cilla</v>
      </c>
    </row>
    <row r="3025">
      <c r="A3025" s="3">
        <v>477.0</v>
      </c>
      <c r="B3025" s="3" t="s">
        <v>6738</v>
      </c>
      <c r="C3025" s="3" t="s">
        <v>190</v>
      </c>
      <c r="D3025" s="3" t="s">
        <v>1932</v>
      </c>
      <c r="E3025" s="3" t="s">
        <v>7044</v>
      </c>
      <c r="F3025" s="3" t="s">
        <v>1934</v>
      </c>
      <c r="G3025" s="3" t="str">
        <f>IFERROR(__xludf.DUMMYFUNCTION("GOOGLETRANSLATE(D3025,""fr"",""es"")"),"cillâme")</f>
        <v>cillâme</v>
      </c>
    </row>
    <row r="3026">
      <c r="A3026" s="3">
        <v>478.0</v>
      </c>
      <c r="B3026" s="3" t="s">
        <v>6738</v>
      </c>
      <c r="C3026" s="3" t="s">
        <v>190</v>
      </c>
      <c r="D3026" s="3" t="s">
        <v>7045</v>
      </c>
      <c r="E3026" s="3" t="s">
        <v>7043</v>
      </c>
      <c r="F3026" s="3" t="s">
        <v>1928</v>
      </c>
      <c r="G3026" s="3" t="str">
        <f>IFERROR(__xludf.DUMMYFUNCTION("GOOGLETRANSLATE(D3026,""fr"",""es"")"),"cillas")</f>
        <v>cillas</v>
      </c>
    </row>
    <row r="3027">
      <c r="A3027" s="3">
        <v>479.0</v>
      </c>
      <c r="B3027" s="3" t="s">
        <v>6738</v>
      </c>
      <c r="C3027" s="3" t="s">
        <v>190</v>
      </c>
      <c r="D3027" s="3" t="s">
        <v>1935</v>
      </c>
      <c r="E3027" s="3" t="s">
        <v>7046</v>
      </c>
      <c r="F3027" s="3" t="s">
        <v>1937</v>
      </c>
      <c r="G3027" s="3" t="str">
        <f>IFERROR(__xludf.DUMMYFUNCTION("GOOGLETRANSLATE(D3027,""fr"",""es"")"),"cillage")</f>
        <v>cillage</v>
      </c>
    </row>
    <row r="3028">
      <c r="A3028" s="3">
        <v>480.0</v>
      </c>
      <c r="B3028" s="3" t="s">
        <v>6738</v>
      </c>
      <c r="C3028" s="3" t="s">
        <v>190</v>
      </c>
      <c r="D3028" s="3" t="s">
        <v>1938</v>
      </c>
      <c r="E3028" s="3" t="s">
        <v>7046</v>
      </c>
      <c r="F3028" s="3" t="s">
        <v>1937</v>
      </c>
      <c r="G3028" s="3" t="str">
        <f>IFERROR(__xludf.DUMMYFUNCTION("GOOGLETRANSLATE(D3028,""fr"",""es"")"),"culpamiento")</f>
        <v>culpamiento</v>
      </c>
    </row>
    <row r="3029">
      <c r="A3029" s="3">
        <v>481.0</v>
      </c>
      <c r="B3029" s="3" t="s">
        <v>6738</v>
      </c>
      <c r="C3029" s="3" t="s">
        <v>190</v>
      </c>
      <c r="D3029" s="3" t="s">
        <v>1939</v>
      </c>
      <c r="E3029" s="3" t="s">
        <v>7046</v>
      </c>
      <c r="F3029" s="3" t="s">
        <v>1937</v>
      </c>
      <c r="G3029" s="3" t="str">
        <f>IFERROR(__xludf.DUMMYFUNCTION("GOOGLETRANSLATE(D3029,""fr"",""es"")"),"cillasses")</f>
        <v>cillasses</v>
      </c>
    </row>
    <row r="3030">
      <c r="A3030" s="3">
        <v>482.0</v>
      </c>
      <c r="B3030" s="3" t="s">
        <v>6738</v>
      </c>
      <c r="C3030" s="3" t="s">
        <v>190</v>
      </c>
      <c r="D3030" s="3" t="s">
        <v>7047</v>
      </c>
      <c r="E3030" s="3" t="s">
        <v>7043</v>
      </c>
      <c r="F3030" s="3" t="s">
        <v>1928</v>
      </c>
      <c r="G3030" s="3" t="str">
        <f>IFERROR(__xludf.DUMMYFUNCTION("GOOGLETRANSLATE(D3030,""fr"",""es"")"),"cillât")</f>
        <v>cillât</v>
      </c>
    </row>
    <row r="3031">
      <c r="A3031" s="3">
        <v>483.0</v>
      </c>
      <c r="B3031" s="3" t="s">
        <v>6738</v>
      </c>
      <c r="C3031" s="3" t="s">
        <v>190</v>
      </c>
      <c r="D3031" s="3" t="s">
        <v>1940</v>
      </c>
      <c r="E3031" s="3" t="s">
        <v>7048</v>
      </c>
      <c r="F3031" s="3" t="s">
        <v>1942</v>
      </c>
      <c r="G3031" s="3" t="str">
        <f>IFERROR(__xludf.DUMMYFUNCTION("GOOGLETRANSLATE(D3031,""fr"",""es"")"),"cila")</f>
        <v>cila</v>
      </c>
    </row>
    <row r="3032">
      <c r="A3032" s="3">
        <v>484.0</v>
      </c>
      <c r="B3032" s="3" t="s">
        <v>6738</v>
      </c>
      <c r="C3032" s="3" t="s">
        <v>190</v>
      </c>
      <c r="D3032" s="3" t="s">
        <v>1943</v>
      </c>
      <c r="E3032" s="3" t="s">
        <v>7048</v>
      </c>
      <c r="F3032" s="3" t="s">
        <v>1942</v>
      </c>
      <c r="G3032" s="3" t="str">
        <f>IFERROR(__xludf.DUMMYFUNCTION("GOOGLETRANSLATE(D3032,""fr"",""es"")"),"cila")</f>
        <v>cila</v>
      </c>
    </row>
    <row r="3033">
      <c r="A3033" s="3">
        <v>485.0</v>
      </c>
      <c r="B3033" s="3" t="s">
        <v>6738</v>
      </c>
      <c r="C3033" s="3" t="s">
        <v>190</v>
      </c>
      <c r="D3033" s="3" t="s">
        <v>1944</v>
      </c>
      <c r="E3033" s="3" t="s">
        <v>7048</v>
      </c>
      <c r="F3033" s="3" t="s">
        <v>1942</v>
      </c>
      <c r="G3033" s="3" t="str">
        <f>IFERROR(__xludf.DUMMYFUNCTION("GOOGLETRANSLATE(D3033,""fr"",""es"")"),"cilles")</f>
        <v>cilles</v>
      </c>
    </row>
    <row r="3034">
      <c r="A3034" s="3">
        <v>486.0</v>
      </c>
      <c r="B3034" s="3" t="s">
        <v>6738</v>
      </c>
      <c r="C3034" s="3" t="s">
        <v>190</v>
      </c>
      <c r="D3034" s="3" t="s">
        <v>1945</v>
      </c>
      <c r="E3034" s="3" t="s">
        <v>7040</v>
      </c>
      <c r="F3034" s="3" t="s">
        <v>1913</v>
      </c>
      <c r="G3034" s="3" t="str">
        <f>IFERROR(__xludf.DUMMYFUNCTION("GOOGLETRANSLATE(D3034,""fr"",""es"")"),"pestaña")</f>
        <v>pestaña</v>
      </c>
      <c r="H3034" s="3" t="s">
        <v>1919</v>
      </c>
      <c r="I3034" s="3" t="s">
        <v>1920</v>
      </c>
      <c r="J3034" s="3" t="s">
        <v>1921</v>
      </c>
    </row>
    <row r="3035">
      <c r="A3035" s="3">
        <v>487.0</v>
      </c>
      <c r="B3035" s="3" t="s">
        <v>6738</v>
      </c>
      <c r="C3035" s="3" t="s">
        <v>190</v>
      </c>
      <c r="D3035" s="3" t="s">
        <v>1946</v>
      </c>
      <c r="E3035" s="3" t="s">
        <v>7049</v>
      </c>
      <c r="F3035" s="3" t="s">
        <v>1948</v>
      </c>
      <c r="G3035" s="3" t="str">
        <f>IFERROR(__xludf.DUMMYFUNCTION("GOOGLETRANSLATE(D3035,""fr"",""es"")"),"parte superior")</f>
        <v>parte superior</v>
      </c>
      <c r="H3035" s="3" t="s">
        <v>1949</v>
      </c>
      <c r="I3035" s="3" t="s">
        <v>1950</v>
      </c>
      <c r="J3035" s="3" t="s">
        <v>1951</v>
      </c>
      <c r="K3035" s="3" t="s">
        <v>1952</v>
      </c>
      <c r="L3035" s="3" t="s">
        <v>1953</v>
      </c>
      <c r="M3035" s="3" t="s">
        <v>1954</v>
      </c>
      <c r="N3035" s="3" t="s">
        <v>1955</v>
      </c>
      <c r="O3035" s="3" t="s">
        <v>1956</v>
      </c>
      <c r="P3035" s="3" t="s">
        <v>1957</v>
      </c>
      <c r="Q3035" s="3" t="s">
        <v>1958</v>
      </c>
      <c r="R3035" s="3" t="s">
        <v>1959</v>
      </c>
      <c r="S3035" s="3" t="s">
        <v>1960</v>
      </c>
      <c r="T3035" s="3" t="s">
        <v>1954</v>
      </c>
      <c r="U3035" s="3" t="s">
        <v>1951</v>
      </c>
      <c r="V3035" s="3" t="s">
        <v>1961</v>
      </c>
      <c r="W3035" s="3" t="s">
        <v>1962</v>
      </c>
      <c r="X3035" s="3" t="s">
        <v>1963</v>
      </c>
      <c r="Y3035" s="3" t="s">
        <v>1958</v>
      </c>
      <c r="Z3035" s="3" t="s">
        <v>1954</v>
      </c>
      <c r="AA3035" s="3" t="s">
        <v>1961</v>
      </c>
      <c r="AB3035" s="3" t="s">
        <v>1964</v>
      </c>
      <c r="AC3035" s="3" t="s">
        <v>1965</v>
      </c>
      <c r="AD3035" s="3" t="s">
        <v>1954</v>
      </c>
      <c r="AE3035" s="3" t="s">
        <v>1966</v>
      </c>
      <c r="AF3035" s="3" t="s">
        <v>1959</v>
      </c>
      <c r="AG3035" s="3" t="s">
        <v>1967</v>
      </c>
      <c r="AH3035" s="3" t="s">
        <v>1968</v>
      </c>
      <c r="AI3035" s="3" t="s">
        <v>1969</v>
      </c>
      <c r="AJ3035" s="3" t="s">
        <v>1957</v>
      </c>
    </row>
    <row r="3036">
      <c r="A3036" s="3">
        <v>488.0</v>
      </c>
      <c r="B3036" s="3" t="s">
        <v>6738</v>
      </c>
      <c r="C3036" s="3" t="s">
        <v>190</v>
      </c>
      <c r="D3036" s="3" t="s">
        <v>1970</v>
      </c>
      <c r="E3036" s="3" t="s">
        <v>7049</v>
      </c>
      <c r="F3036" s="3" t="s">
        <v>1948</v>
      </c>
      <c r="G3036" s="3" t="str">
        <f>IFERROR(__xludf.DUMMYFUNCTION("GOOGLETRANSLATE(D3036,""fr"",""es"")"),"picos")</f>
        <v>picos</v>
      </c>
    </row>
    <row r="3037">
      <c r="A3037" s="3">
        <v>489.0</v>
      </c>
      <c r="B3037" s="3" t="s">
        <v>6738</v>
      </c>
      <c r="C3037" s="3" t="s">
        <v>190</v>
      </c>
      <c r="D3037" s="3" t="s">
        <v>7050</v>
      </c>
      <c r="E3037" s="3" t="s">
        <v>7051</v>
      </c>
      <c r="F3037" s="3" t="s">
        <v>1973</v>
      </c>
      <c r="G3037" s="3" t="str">
        <f>IFERROR(__xludf.DUMMYFUNCTION("GOOGLETRANSLATE(D3037,""fr"",""es"")"),"urbano")</f>
        <v>urbano</v>
      </c>
    </row>
    <row r="3038">
      <c r="A3038" s="3">
        <v>490.0</v>
      </c>
      <c r="B3038" s="3" t="s">
        <v>6738</v>
      </c>
      <c r="C3038" s="3" t="s">
        <v>190</v>
      </c>
      <c r="D3038" s="3" t="s">
        <v>1977</v>
      </c>
      <c r="E3038" s="3" t="s">
        <v>7052</v>
      </c>
      <c r="F3038" s="3" t="s">
        <v>1979</v>
      </c>
      <c r="G3038" s="3" t="str">
        <f>IFERROR(__xludf.DUMMYFUNCTION("GOOGLETRANSLATE(D3038,""fr"",""es"")"),"plantador")</f>
        <v>plantador</v>
      </c>
    </row>
    <row r="3039">
      <c r="A3039" s="3">
        <v>491.0</v>
      </c>
      <c r="B3039" s="3" t="s">
        <v>6738</v>
      </c>
      <c r="C3039" s="3" t="s">
        <v>190</v>
      </c>
      <c r="D3039" s="3" t="s">
        <v>7053</v>
      </c>
      <c r="E3039" s="3" t="s">
        <v>7051</v>
      </c>
      <c r="F3039" s="3" t="s">
        <v>1973</v>
      </c>
      <c r="G3039" s="3" t="str">
        <f>IFERROR(__xludf.DUMMYFUNCTION("GOOGLETRANSLATE(D3039,""fr"",""es"")"),"cita")</f>
        <v>cita</v>
      </c>
    </row>
    <row r="3040">
      <c r="A3040" s="3">
        <v>492.0</v>
      </c>
      <c r="B3040" s="3" t="s">
        <v>6738</v>
      </c>
      <c r="C3040" s="3" t="s">
        <v>190</v>
      </c>
      <c r="D3040" s="3" t="s">
        <v>1980</v>
      </c>
      <c r="E3040" s="3" t="s">
        <v>7054</v>
      </c>
      <c r="F3040" s="3" t="s">
        <v>1982</v>
      </c>
      <c r="G3040" s="3" t="str">
        <f>IFERROR(__xludf.DUMMYFUNCTION("GOOGLETRANSLATE(D3040,""fr"",""es"")"),"florecer")</f>
        <v>florecer</v>
      </c>
    </row>
    <row r="3041">
      <c r="A3041" s="3">
        <v>493.0</v>
      </c>
      <c r="B3041" s="3" t="s">
        <v>6738</v>
      </c>
      <c r="C3041" s="3" t="s">
        <v>190</v>
      </c>
      <c r="D3041" s="3" t="s">
        <v>1983</v>
      </c>
      <c r="E3041" s="3" t="s">
        <v>7054</v>
      </c>
      <c r="F3041" s="3" t="s">
        <v>1982</v>
      </c>
      <c r="G3041" s="3" t="str">
        <f>IFERROR(__xludf.DUMMYFUNCTION("GOOGLETRANSLATE(D3041,""fr"",""es"")"),"cotizar")</f>
        <v>cotizar</v>
      </c>
    </row>
    <row r="3042">
      <c r="A3042" s="3">
        <v>494.0</v>
      </c>
      <c r="B3042" s="3" t="s">
        <v>6738</v>
      </c>
      <c r="C3042" s="3" t="s">
        <v>190</v>
      </c>
      <c r="D3042" s="3" t="s">
        <v>1984</v>
      </c>
      <c r="E3042" s="3" t="s">
        <v>7054</v>
      </c>
      <c r="F3042" s="3" t="s">
        <v>1982</v>
      </c>
      <c r="G3042" s="3" t="str">
        <f>IFERROR(__xludf.DUMMYFUNCTION("GOOGLETRANSLATE(D3042,""fr"",""es"")"),"cotas")</f>
        <v>cotas</v>
      </c>
    </row>
    <row r="3043">
      <c r="A3043" s="3">
        <v>495.0</v>
      </c>
      <c r="B3043" s="3" t="s">
        <v>6738</v>
      </c>
      <c r="C3043" s="3" t="s">
        <v>190</v>
      </c>
      <c r="D3043" s="3" t="s">
        <v>7055</v>
      </c>
      <c r="E3043" s="3" t="s">
        <v>7051</v>
      </c>
      <c r="F3043" s="3" t="s">
        <v>1973</v>
      </c>
      <c r="G3043" s="3" t="str">
        <f>IFERROR(__xludf.DUMMYFUNCTION("GOOGLETRANSLATE(D3043,""fr"",""es"")"),"citât")</f>
        <v>citât</v>
      </c>
    </row>
    <row r="3044">
      <c r="A3044" s="3">
        <v>496.0</v>
      </c>
      <c r="B3044" s="3" t="s">
        <v>6738</v>
      </c>
      <c r="C3044" s="3" t="s">
        <v>190</v>
      </c>
      <c r="D3044" s="3" t="s">
        <v>1985</v>
      </c>
      <c r="E3044" s="3" t="s">
        <v>7056</v>
      </c>
      <c r="F3044" s="3" t="s">
        <v>1987</v>
      </c>
      <c r="G3044" s="3" t="str">
        <f>IFERROR(__xludf.DUMMYFUNCTION("GOOGLETRANSLATE(D3044,""fr"",""es"")"),"Galleta")</f>
        <v>Galleta</v>
      </c>
    </row>
    <row r="3045">
      <c r="A3045" s="3">
        <v>497.0</v>
      </c>
      <c r="B3045" s="3" t="s">
        <v>6738</v>
      </c>
      <c r="C3045" s="3" t="s">
        <v>190</v>
      </c>
      <c r="D3045" s="3" t="s">
        <v>1988</v>
      </c>
      <c r="E3045" s="3" t="s">
        <v>7057</v>
      </c>
      <c r="F3045" s="3" t="s">
        <v>1990</v>
      </c>
      <c r="G3045" s="3" t="str">
        <f>IFERROR(__xludf.DUMMYFUNCTION("GOOGLETRANSLATE(D3045,""fr"",""es"")"),"Frío")</f>
        <v>Frío</v>
      </c>
      <c r="H3045" s="3" t="s">
        <v>1988</v>
      </c>
      <c r="I3045" s="3" t="s">
        <v>1991</v>
      </c>
      <c r="J3045" s="3" t="s">
        <v>1992</v>
      </c>
      <c r="K3045" s="3" t="s">
        <v>1988</v>
      </c>
      <c r="L3045" s="3" t="s">
        <v>1993</v>
      </c>
      <c r="M3045" s="3" t="s">
        <v>1994</v>
      </c>
      <c r="N3045" s="3" t="s">
        <v>1988</v>
      </c>
      <c r="O3045" s="3" t="s">
        <v>1988</v>
      </c>
      <c r="P3045" s="3" t="s">
        <v>1988</v>
      </c>
      <c r="Q3045" s="3" t="s">
        <v>1988</v>
      </c>
      <c r="R3045" s="3" t="s">
        <v>1995</v>
      </c>
      <c r="S3045" s="3" t="s">
        <v>1996</v>
      </c>
      <c r="T3045" s="3" t="s">
        <v>1988</v>
      </c>
      <c r="U3045" s="3" t="s">
        <v>1997</v>
      </c>
      <c r="V3045" s="3" t="s">
        <v>1998</v>
      </c>
      <c r="W3045" s="3" t="s">
        <v>1988</v>
      </c>
    </row>
    <row r="3046">
      <c r="A3046" s="3">
        <v>498.0</v>
      </c>
      <c r="B3046" s="3" t="s">
        <v>6738</v>
      </c>
      <c r="C3046" s="3" t="s">
        <v>190</v>
      </c>
      <c r="D3046" s="3" t="s">
        <v>1999</v>
      </c>
      <c r="E3046" s="3" t="s">
        <v>2000</v>
      </c>
      <c r="F3046" s="3" t="s">
        <v>2001</v>
      </c>
      <c r="G3046" s="3" t="str">
        <f>IFERROR(__xludf.DUMMYFUNCTION("GOOGLETRANSLATE(D3046,""fr"",""es"")"),"cuello")</f>
        <v>cuello</v>
      </c>
      <c r="H3046" s="3" t="s">
        <v>2002</v>
      </c>
      <c r="I3046" s="3" t="s">
        <v>2002</v>
      </c>
      <c r="J3046" s="3" t="s">
        <v>2003</v>
      </c>
      <c r="K3046" s="3" t="s">
        <v>2004</v>
      </c>
      <c r="L3046" s="3" t="s">
        <v>2005</v>
      </c>
      <c r="M3046" s="3" t="s">
        <v>2006</v>
      </c>
      <c r="N3046" s="3" t="s">
        <v>2002</v>
      </c>
      <c r="O3046" s="3" t="s">
        <v>2007</v>
      </c>
      <c r="P3046" s="3" t="s">
        <v>2008</v>
      </c>
      <c r="Q3046" s="3" t="s">
        <v>2009</v>
      </c>
      <c r="R3046" s="3" t="s">
        <v>2010</v>
      </c>
      <c r="S3046" s="3" t="s">
        <v>2011</v>
      </c>
    </row>
    <row r="3047">
      <c r="A3047" s="3">
        <v>499.0</v>
      </c>
      <c r="B3047" s="3" t="s">
        <v>6738</v>
      </c>
      <c r="C3047" s="3" t="s">
        <v>190</v>
      </c>
      <c r="D3047" s="3" t="s">
        <v>7058</v>
      </c>
      <c r="E3047" s="3" t="s">
        <v>7059</v>
      </c>
      <c r="F3047" s="3" t="s">
        <v>2014</v>
      </c>
      <c r="G3047" s="3" t="str">
        <f>IFERROR(__xludf.DUMMYFUNCTION("GOOGLETRANSLATE(D3047,""fr"",""es"")"),"poner")</f>
        <v>poner</v>
      </c>
    </row>
    <row r="3048">
      <c r="A3048" s="3">
        <v>500.0</v>
      </c>
      <c r="B3048" s="3" t="s">
        <v>6738</v>
      </c>
      <c r="C3048" s="3" t="s">
        <v>190</v>
      </c>
      <c r="D3048" s="3" t="s">
        <v>2018</v>
      </c>
      <c r="E3048" s="3" t="s">
        <v>7060</v>
      </c>
      <c r="F3048" s="3" t="s">
        <v>2020</v>
      </c>
      <c r="G3048" s="3" t="str">
        <f>IFERROR(__xludf.DUMMYFUNCTION("GOOGLETRANSLATE(D3048,""fr"",""es"")"),"sofá")</f>
        <v>sofá</v>
      </c>
    </row>
    <row r="3049">
      <c r="A3049" s="3">
        <v>501.0</v>
      </c>
      <c r="B3049" s="3" t="s">
        <v>6738</v>
      </c>
      <c r="C3049" s="3" t="s">
        <v>190</v>
      </c>
      <c r="D3049" s="3" t="s">
        <v>7061</v>
      </c>
      <c r="E3049" s="3" t="s">
        <v>7059</v>
      </c>
      <c r="F3049" s="3" t="s">
        <v>2014</v>
      </c>
      <c r="G3049" s="3" t="str">
        <f>IFERROR(__xludf.DUMMYFUNCTION("GOOGLETRANSLATE(D3049,""fr"",""es"")"),"cama")</f>
        <v>cama</v>
      </c>
    </row>
    <row r="3050">
      <c r="A3050" s="3">
        <v>502.0</v>
      </c>
      <c r="B3050" s="3" t="s">
        <v>6738</v>
      </c>
      <c r="C3050" s="3" t="s">
        <v>190</v>
      </c>
      <c r="D3050" s="3" t="s">
        <v>2021</v>
      </c>
      <c r="E3050" s="3" t="s">
        <v>7062</v>
      </c>
      <c r="F3050" s="3" t="s">
        <v>2023</v>
      </c>
      <c r="G3050" s="3" t="str">
        <f>IFERROR(__xludf.DUMMYFUNCTION("GOOGLETRANSLATE(D3050,""fr"",""es"")"),"mamón")</f>
        <v>mamón</v>
      </c>
    </row>
    <row r="3051">
      <c r="A3051" s="3">
        <v>503.0</v>
      </c>
      <c r="B3051" s="3" t="s">
        <v>6738</v>
      </c>
      <c r="C3051" s="3" t="s">
        <v>190</v>
      </c>
      <c r="D3051" s="3" t="s">
        <v>2024</v>
      </c>
      <c r="E3051" s="3" t="s">
        <v>7062</v>
      </c>
      <c r="F3051" s="3" t="s">
        <v>2023</v>
      </c>
      <c r="G3051" s="3" t="str">
        <f>IFERROR(__xludf.DUMMYFUNCTION("GOOGLETRANSLATE(D3051,""fr"",""es"")"),"configurar")</f>
        <v>configurar</v>
      </c>
    </row>
    <row r="3052">
      <c r="A3052" s="3">
        <v>504.0</v>
      </c>
      <c r="B3052" s="3" t="s">
        <v>6738</v>
      </c>
      <c r="C3052" s="3" t="s">
        <v>190</v>
      </c>
      <c r="D3052" s="3" t="s">
        <v>2025</v>
      </c>
      <c r="E3052" s="3" t="s">
        <v>7062</v>
      </c>
      <c r="F3052" s="3" t="s">
        <v>2023</v>
      </c>
      <c r="G3052" s="3" t="str">
        <f>IFERROR(__xludf.DUMMYFUNCTION("GOOGLETRANSLATE(D3052,""fr"",""es"")"),"cama")</f>
        <v>cama</v>
      </c>
    </row>
    <row r="3053">
      <c r="A3053" s="3">
        <v>505.0</v>
      </c>
      <c r="B3053" s="3" t="s">
        <v>6738</v>
      </c>
      <c r="C3053" s="3" t="s">
        <v>190</v>
      </c>
      <c r="D3053" s="3" t="s">
        <v>7063</v>
      </c>
      <c r="E3053" s="3" t="s">
        <v>7059</v>
      </c>
      <c r="F3053" s="3" t="s">
        <v>2014</v>
      </c>
      <c r="G3053" s="3" t="str">
        <f>IFERROR(__xludf.DUMMYFUNCTION("GOOGLETRANSLATE(D3053,""fr"",""es"")"),"sofá")</f>
        <v>sofá</v>
      </c>
    </row>
    <row r="3054">
      <c r="A3054" s="3">
        <v>506.0</v>
      </c>
      <c r="B3054" s="3" t="s">
        <v>6738</v>
      </c>
      <c r="C3054" s="3" t="s">
        <v>190</v>
      </c>
      <c r="D3054" s="3" t="s">
        <v>2026</v>
      </c>
      <c r="E3054" s="3" t="s">
        <v>7064</v>
      </c>
      <c r="F3054" s="3" t="s">
        <v>2028</v>
      </c>
      <c r="G3054" s="3" t="str">
        <f>IFERROR(__xludf.DUMMYFUNCTION("GOOGLETRANSLATE(D3054,""fr"",""es"")"),"capa")</f>
        <v>capa</v>
      </c>
      <c r="H3054" s="3" t="s">
        <v>2029</v>
      </c>
      <c r="I3054" s="3" t="s">
        <v>2030</v>
      </c>
      <c r="J3054" s="3" t="s">
        <v>2031</v>
      </c>
      <c r="K3054" s="3" t="s">
        <v>2032</v>
      </c>
      <c r="L3054" s="3" t="s">
        <v>2033</v>
      </c>
      <c r="M3054" s="3" t="s">
        <v>2034</v>
      </c>
      <c r="N3054" s="3" t="s">
        <v>2035</v>
      </c>
      <c r="O3054" s="3" t="s">
        <v>2033</v>
      </c>
      <c r="P3054" s="3" t="s">
        <v>2036</v>
      </c>
      <c r="Q3054" s="3" t="s">
        <v>2035</v>
      </c>
      <c r="R3054" s="3" t="s">
        <v>2034</v>
      </c>
      <c r="S3054" s="3" t="s">
        <v>2037</v>
      </c>
      <c r="T3054" s="3" t="s">
        <v>2038</v>
      </c>
      <c r="U3054" s="3" t="s">
        <v>2034</v>
      </c>
      <c r="V3054" s="3" t="s">
        <v>2039</v>
      </c>
      <c r="W3054" s="3" t="s">
        <v>2040</v>
      </c>
      <c r="X3054" s="3" t="s">
        <v>2034</v>
      </c>
      <c r="Y3054" s="3" t="s">
        <v>2039</v>
      </c>
    </row>
    <row r="3055">
      <c r="A3055" s="3">
        <v>507.0</v>
      </c>
      <c r="B3055" s="3" t="s">
        <v>6738</v>
      </c>
      <c r="C3055" s="3" t="s">
        <v>190</v>
      </c>
      <c r="D3055" s="3" t="s">
        <v>2041</v>
      </c>
      <c r="E3055" s="3" t="s">
        <v>7064</v>
      </c>
      <c r="F3055" s="3" t="s">
        <v>2028</v>
      </c>
      <c r="G3055" s="3" t="str">
        <f>IFERROR(__xludf.DUMMYFUNCTION("GOOGLETRANSLATE(D3055,""fr"",""es"")"),"poner")</f>
        <v>poner</v>
      </c>
    </row>
    <row r="3056">
      <c r="A3056" s="3">
        <v>508.0</v>
      </c>
      <c r="B3056" s="3" t="s">
        <v>6738</v>
      </c>
      <c r="C3056" s="3" t="s">
        <v>190</v>
      </c>
      <c r="D3056" s="3" t="s">
        <v>2042</v>
      </c>
      <c r="E3056" s="3" t="s">
        <v>7064</v>
      </c>
      <c r="F3056" s="3" t="s">
        <v>2028</v>
      </c>
      <c r="G3056" s="3" t="str">
        <f>IFERROR(__xludf.DUMMYFUNCTION("GOOGLETRANSLATE(D3056,""fr"",""es"")"),"capas")</f>
        <v>capas</v>
      </c>
    </row>
    <row r="3057">
      <c r="A3057" s="3">
        <v>509.0</v>
      </c>
      <c r="B3057" s="3" t="s">
        <v>6738</v>
      </c>
      <c r="C3057" s="3" t="s">
        <v>190</v>
      </c>
      <c r="D3057" s="3" t="s">
        <v>7065</v>
      </c>
      <c r="E3057" s="3" t="s">
        <v>7066</v>
      </c>
      <c r="F3057" s="3" t="s">
        <v>7067</v>
      </c>
      <c r="G3057" s="3" t="str">
        <f>IFERROR(__xludf.DUMMYFUNCTION("GOOGLETRANSLATE(D3057,""fr"",""es"")"),"cuco")</f>
        <v>cuco</v>
      </c>
      <c r="H3057" s="3" t="s">
        <v>7068</v>
      </c>
      <c r="I3057" s="3" t="s">
        <v>7069</v>
      </c>
      <c r="J3057" s="3" t="s">
        <v>7070</v>
      </c>
      <c r="K3057" s="3" t="s">
        <v>6817</v>
      </c>
      <c r="L3057" s="3" t="s">
        <v>7070</v>
      </c>
    </row>
    <row r="3058">
      <c r="A3058" s="3">
        <v>510.0</v>
      </c>
      <c r="B3058" s="3" t="s">
        <v>6738</v>
      </c>
      <c r="C3058" s="3" t="s">
        <v>190</v>
      </c>
      <c r="D3058" s="3" t="s">
        <v>2043</v>
      </c>
      <c r="E3058" s="3" t="s">
        <v>7071</v>
      </c>
      <c r="F3058" s="3" t="s">
        <v>2045</v>
      </c>
      <c r="G3058" s="3" t="str">
        <f>IFERROR(__xludf.DUMMYFUNCTION("GOOGLETRANSLATE(D3058,""fr"",""es"")"),"Hola")</f>
        <v>Hola</v>
      </c>
      <c r="H3058" s="3" t="s">
        <v>2046</v>
      </c>
      <c r="I3058" s="3" t="s">
        <v>2046</v>
      </c>
      <c r="J3058" s="3" t="s">
        <v>2047</v>
      </c>
      <c r="K3058" s="3" t="s">
        <v>2048</v>
      </c>
      <c r="L3058" s="3" t="s">
        <v>2049</v>
      </c>
      <c r="M3058" s="3" t="s">
        <v>2050</v>
      </c>
      <c r="N3058" s="3" t="s">
        <v>2051</v>
      </c>
      <c r="O3058" s="3" t="s">
        <v>2052</v>
      </c>
      <c r="P3058" s="3" t="s">
        <v>2053</v>
      </c>
      <c r="Q3058" s="3" t="s">
        <v>593</v>
      </c>
      <c r="R3058" s="3" t="s">
        <v>2054</v>
      </c>
      <c r="S3058" s="3" t="s">
        <v>2046</v>
      </c>
      <c r="T3058" s="3" t="s">
        <v>2055</v>
      </c>
      <c r="U3058" s="3" t="s">
        <v>2056</v>
      </c>
      <c r="V3058" s="3" t="s">
        <v>2057</v>
      </c>
      <c r="W3058" s="3" t="s">
        <v>2058</v>
      </c>
      <c r="X3058" s="3" t="s">
        <v>2059</v>
      </c>
    </row>
    <row r="3059">
      <c r="A3059" s="3">
        <v>511.0</v>
      </c>
      <c r="B3059" s="3" t="s">
        <v>6738</v>
      </c>
      <c r="C3059" s="3" t="s">
        <v>190</v>
      </c>
      <c r="D3059" s="3" t="s">
        <v>2060</v>
      </c>
      <c r="E3059" s="3" t="s">
        <v>7071</v>
      </c>
      <c r="F3059" s="3" t="s">
        <v>2045</v>
      </c>
      <c r="G3059" s="3" t="str">
        <f>IFERROR(__xludf.DUMMYFUNCTION("GOOGLETRANSLATE(D3059,""fr"",""es"")"),"acuado")</f>
        <v>acuado</v>
      </c>
    </row>
    <row r="3060">
      <c r="A3060" s="3">
        <v>512.0</v>
      </c>
      <c r="B3060" s="3" t="s">
        <v>6738</v>
      </c>
      <c r="C3060" s="3" t="s">
        <v>190</v>
      </c>
      <c r="D3060" s="3" t="s">
        <v>2061</v>
      </c>
      <c r="E3060" s="3" t="s">
        <v>7072</v>
      </c>
      <c r="F3060" s="3" t="s">
        <v>2063</v>
      </c>
      <c r="G3060" s="3" t="str">
        <f>IFERROR(__xludf.DUMMYFUNCTION("GOOGLETRANSLATE(D3060,""fr"",""es"")"),"pelota")</f>
        <v>pelota</v>
      </c>
      <c r="H3060" s="3" t="s">
        <v>2064</v>
      </c>
      <c r="I3060" s="3" t="s">
        <v>2065</v>
      </c>
      <c r="J3060" s="3" t="s">
        <v>2066</v>
      </c>
      <c r="K3060" s="3" t="s">
        <v>2067</v>
      </c>
      <c r="L3060" s="3" t="s">
        <v>2068</v>
      </c>
      <c r="M3060" s="3" t="s">
        <v>2069</v>
      </c>
      <c r="N3060" s="3" t="s">
        <v>2070</v>
      </c>
      <c r="O3060" s="3" t="s">
        <v>2071</v>
      </c>
      <c r="P3060" s="3" t="s">
        <v>2072</v>
      </c>
      <c r="Q3060" s="3" t="s">
        <v>2064</v>
      </c>
      <c r="R3060" s="3" t="s">
        <v>2073</v>
      </c>
      <c r="S3060" s="3" t="s">
        <v>2065</v>
      </c>
      <c r="T3060" s="3" t="s">
        <v>1068</v>
      </c>
      <c r="U3060" s="3" t="s">
        <v>2074</v>
      </c>
      <c r="V3060" s="3" t="s">
        <v>2075</v>
      </c>
      <c r="W3060" s="3" t="s">
        <v>2076</v>
      </c>
      <c r="X3060" s="3" t="s">
        <v>2077</v>
      </c>
      <c r="Y3060" s="3" t="s">
        <v>2067</v>
      </c>
    </row>
    <row r="3061">
      <c r="A3061" s="3">
        <v>513.0</v>
      </c>
      <c r="B3061" s="3" t="s">
        <v>6738</v>
      </c>
      <c r="C3061" s="3" t="s">
        <v>190</v>
      </c>
      <c r="D3061" s="3" t="s">
        <v>2078</v>
      </c>
      <c r="E3061" s="3" t="s">
        <v>7072</v>
      </c>
      <c r="F3061" s="3" t="s">
        <v>2063</v>
      </c>
      <c r="G3061" s="3" t="str">
        <f>IFERROR(__xludf.DUMMYFUNCTION("GOOGLETRANSLATE(D3061,""fr"",""es"")"),"pelotas")</f>
        <v>pelotas</v>
      </c>
    </row>
    <row r="3062">
      <c r="A3062" s="3">
        <v>514.0</v>
      </c>
      <c r="B3062" s="3" t="s">
        <v>6738</v>
      </c>
      <c r="C3062" s="3" t="s">
        <v>190</v>
      </c>
      <c r="D3062" s="3" t="s">
        <v>7073</v>
      </c>
      <c r="E3062" s="3" t="s">
        <v>7074</v>
      </c>
      <c r="F3062" s="3" t="s">
        <v>2081</v>
      </c>
      <c r="G3062" s="3" t="str">
        <f>IFERROR(__xludf.DUMMYFUNCTION("GOOGLETRANSLATE(D3062,""fr"",""es"")"),"pileta")</f>
        <v>pileta</v>
      </c>
    </row>
    <row r="3063">
      <c r="A3063" s="3">
        <v>515.0</v>
      </c>
      <c r="B3063" s="3" t="s">
        <v>6738</v>
      </c>
      <c r="C3063" s="3" t="s">
        <v>190</v>
      </c>
      <c r="D3063" s="3" t="s">
        <v>2085</v>
      </c>
      <c r="E3063" s="3" t="s">
        <v>7075</v>
      </c>
      <c r="F3063" s="3" t="s">
        <v>2087</v>
      </c>
      <c r="G3063" s="3" t="str">
        <f>IFERROR(__xludf.DUMMYFUNCTION("GOOGLETRANSLATE(D3063,""fr"",""es"")"),"puta")</f>
        <v>puta</v>
      </c>
    </row>
    <row r="3064">
      <c r="A3064" s="3">
        <v>516.0</v>
      </c>
      <c r="B3064" s="3" t="s">
        <v>6738</v>
      </c>
      <c r="C3064" s="3" t="s">
        <v>190</v>
      </c>
      <c r="D3064" s="3" t="s">
        <v>7076</v>
      </c>
      <c r="E3064" s="3" t="s">
        <v>7074</v>
      </c>
      <c r="F3064" s="3" t="s">
        <v>2081</v>
      </c>
      <c r="G3064" s="3" t="str">
        <f>IFERROR(__xludf.DUMMYFUNCTION("GOOGLETRANSLATE(D3064,""fr"",""es"")"),"coulas")</f>
        <v>coulas</v>
      </c>
    </row>
    <row r="3065">
      <c r="A3065" s="3">
        <v>517.0</v>
      </c>
      <c r="B3065" s="3" t="s">
        <v>6738</v>
      </c>
      <c r="C3065" s="3" t="s">
        <v>190</v>
      </c>
      <c r="D3065" s="3" t="s">
        <v>2088</v>
      </c>
      <c r="E3065" s="3" t="s">
        <v>7077</v>
      </c>
      <c r="F3065" s="3" t="s">
        <v>2090</v>
      </c>
      <c r="G3065" s="3" t="str">
        <f>IFERROR(__xludf.DUMMYFUNCTION("GOOGLETRANSLATE(D3065,""fr"",""es"")"),"boulasses")</f>
        <v>boulasses</v>
      </c>
    </row>
    <row r="3066">
      <c r="A3066" s="3">
        <v>518.0</v>
      </c>
      <c r="B3066" s="3" t="s">
        <v>6738</v>
      </c>
      <c r="C3066" s="3" t="s">
        <v>190</v>
      </c>
      <c r="D3066" s="3" t="s">
        <v>2091</v>
      </c>
      <c r="E3066" s="3" t="s">
        <v>7077</v>
      </c>
      <c r="F3066" s="3" t="s">
        <v>2090</v>
      </c>
      <c r="G3066" s="3" t="str">
        <f>IFERROR(__xludf.DUMMYFUNCTION("GOOGLETRANSLATE(D3066,""fr"",""es"")"),"correr")</f>
        <v>correr</v>
      </c>
    </row>
    <row r="3067">
      <c r="A3067" s="3">
        <v>519.0</v>
      </c>
      <c r="B3067" s="3" t="s">
        <v>6738</v>
      </c>
      <c r="C3067" s="3" t="s">
        <v>190</v>
      </c>
      <c r="D3067" s="3" t="s">
        <v>2092</v>
      </c>
      <c r="E3067" s="3" t="s">
        <v>7077</v>
      </c>
      <c r="F3067" s="3" t="s">
        <v>2090</v>
      </c>
      <c r="G3067" s="3" t="str">
        <f>IFERROR(__xludf.DUMMYFUNCTION("GOOGLETRANSLATE(D3067,""fr"",""es"")"),"boulasses")</f>
        <v>boulasses</v>
      </c>
    </row>
    <row r="3068">
      <c r="A3068" s="3">
        <v>520.0</v>
      </c>
      <c r="B3068" s="3" t="s">
        <v>6738</v>
      </c>
      <c r="C3068" s="3" t="s">
        <v>190</v>
      </c>
      <c r="D3068" s="3" t="s">
        <v>7078</v>
      </c>
      <c r="E3068" s="3" t="s">
        <v>7074</v>
      </c>
      <c r="F3068" s="3" t="s">
        <v>2081</v>
      </c>
      <c r="G3068" s="3" t="str">
        <f>IFERROR(__xludf.DUMMYFUNCTION("GOOGLETRANSLATE(D3068,""fr"",""es"")"),"coulât")</f>
        <v>coulât</v>
      </c>
    </row>
    <row r="3069">
      <c r="A3069" s="3">
        <v>521.0</v>
      </c>
      <c r="B3069" s="3" t="s">
        <v>6738</v>
      </c>
      <c r="C3069" s="3" t="s">
        <v>190</v>
      </c>
      <c r="D3069" s="3" t="s">
        <v>2093</v>
      </c>
      <c r="E3069" s="3" t="s">
        <v>7057</v>
      </c>
      <c r="F3069" s="3" t="s">
        <v>1990</v>
      </c>
      <c r="G3069" s="3" t="str">
        <f>IFERROR(__xludf.DUMMYFUNCTION("GOOGLETRANSLATE(D3069,""fr"",""es"")"),"caudal")</f>
        <v>caudal</v>
      </c>
    </row>
    <row r="3070">
      <c r="A3070" s="3">
        <v>522.0</v>
      </c>
      <c r="B3070" s="3" t="s">
        <v>6738</v>
      </c>
      <c r="C3070" s="3" t="s">
        <v>190</v>
      </c>
      <c r="D3070" s="3" t="s">
        <v>2094</v>
      </c>
      <c r="E3070" s="3" t="s">
        <v>7057</v>
      </c>
      <c r="F3070" s="3" t="s">
        <v>1990</v>
      </c>
      <c r="G3070" s="3" t="str">
        <f>IFERROR(__xludf.DUMMYFUNCTION("GOOGLETRANSLATE(D3070,""fr"",""es"")"),"caudal")</f>
        <v>caudal</v>
      </c>
    </row>
    <row r="3071">
      <c r="A3071" s="3">
        <v>523.0</v>
      </c>
      <c r="B3071" s="3" t="s">
        <v>6738</v>
      </c>
      <c r="C3071" s="3" t="s">
        <v>190</v>
      </c>
      <c r="D3071" s="3" t="s">
        <v>2095</v>
      </c>
      <c r="E3071" s="3" t="s">
        <v>7057</v>
      </c>
      <c r="F3071" s="3" t="s">
        <v>1990</v>
      </c>
      <c r="G3071" s="3" t="str">
        <f>IFERROR(__xludf.DUMMYFUNCTION("GOOGLETRANSLATE(D3071,""fr"",""es"")"),"caudal")</f>
        <v>caudal</v>
      </c>
    </row>
    <row r="3072">
      <c r="A3072" s="3">
        <v>524.0</v>
      </c>
      <c r="B3072" s="3" t="s">
        <v>6738</v>
      </c>
      <c r="C3072" s="3" t="s">
        <v>190</v>
      </c>
      <c r="D3072" s="3" t="s">
        <v>2096</v>
      </c>
      <c r="E3072" s="3" t="s">
        <v>7079</v>
      </c>
      <c r="F3072" s="3" t="s">
        <v>2098</v>
      </c>
      <c r="G3072" s="3" t="str">
        <f>IFERROR(__xludf.DUMMYFUNCTION("GOOGLETRANSLATE(D3072,""fr"",""es"")"),"coulis")</f>
        <v>coulis</v>
      </c>
    </row>
    <row r="3073">
      <c r="A3073" s="3">
        <v>525.0</v>
      </c>
      <c r="B3073" s="3" t="s">
        <v>6738</v>
      </c>
      <c r="C3073" s="3" t="s">
        <v>190</v>
      </c>
      <c r="D3073" s="3" t="s">
        <v>7080</v>
      </c>
      <c r="E3073" s="3" t="s">
        <v>7081</v>
      </c>
      <c r="F3073" s="3" t="s">
        <v>2101</v>
      </c>
      <c r="G3073" s="3" t="str">
        <f>IFERROR(__xludf.DUMMYFUNCTION("GOOGLETRANSLATE(D3073,""fr"",""es"")"),"coulissa")</f>
        <v>coulissa</v>
      </c>
    </row>
    <row r="3074">
      <c r="A3074" s="3">
        <v>526.0</v>
      </c>
      <c r="B3074" s="3" t="s">
        <v>6738</v>
      </c>
      <c r="C3074" s="3" t="s">
        <v>190</v>
      </c>
      <c r="D3074" s="3" t="s">
        <v>2105</v>
      </c>
      <c r="E3074" s="3" t="s">
        <v>7082</v>
      </c>
      <c r="F3074" s="3" t="s">
        <v>2107</v>
      </c>
      <c r="G3074" s="3" t="str">
        <f>IFERROR(__xludf.DUMMYFUNCTION("GOOGLETRANSLATE(D3074,""fr"",""es"")"),"coulissa")</f>
        <v>coulissa</v>
      </c>
    </row>
    <row r="3075">
      <c r="A3075" s="3">
        <v>527.0</v>
      </c>
      <c r="B3075" s="3" t="s">
        <v>6738</v>
      </c>
      <c r="C3075" s="3" t="s">
        <v>190</v>
      </c>
      <c r="D3075" s="3" t="s">
        <v>7083</v>
      </c>
      <c r="E3075" s="3" t="s">
        <v>7081</v>
      </c>
      <c r="F3075" s="3" t="s">
        <v>2101</v>
      </c>
      <c r="G3075" s="3" t="str">
        <f>IFERROR(__xludf.DUMMYFUNCTION("GOOGLETRANSLATE(D3075,""fr"",""es"")"),"coulissas")</f>
        <v>coulissas</v>
      </c>
    </row>
    <row r="3076">
      <c r="A3076" s="3">
        <v>528.0</v>
      </c>
      <c r="B3076" s="3" t="s">
        <v>6738</v>
      </c>
      <c r="C3076" s="3" t="s">
        <v>190</v>
      </c>
      <c r="D3076" s="3" t="s">
        <v>2108</v>
      </c>
      <c r="E3076" s="3" t="s">
        <v>7084</v>
      </c>
      <c r="F3076" s="3" t="s">
        <v>2110</v>
      </c>
      <c r="G3076" s="3" t="str">
        <f>IFERROR(__xludf.DUMMYFUNCTION("GOOGLETRANSLATE(D3076,""fr"",""es"")"),"coulissasse")</f>
        <v>coulissasse</v>
      </c>
    </row>
    <row r="3077">
      <c r="A3077" s="3">
        <v>529.0</v>
      </c>
      <c r="B3077" s="3" t="s">
        <v>6738</v>
      </c>
      <c r="C3077" s="3" t="s">
        <v>190</v>
      </c>
      <c r="D3077" s="3" t="s">
        <v>2111</v>
      </c>
      <c r="E3077" s="3" t="s">
        <v>7084</v>
      </c>
      <c r="F3077" s="3" t="s">
        <v>2110</v>
      </c>
      <c r="G3077" s="3" t="str">
        <f>IFERROR(__xludf.DUMMYFUNCTION("GOOGLETRANSLATE(D3077,""fr"",""es"")"),"Persona especial")</f>
        <v>Persona especial</v>
      </c>
    </row>
    <row r="3078">
      <c r="A3078" s="3">
        <v>530.0</v>
      </c>
      <c r="B3078" s="3" t="s">
        <v>6738</v>
      </c>
      <c r="C3078" s="3" t="s">
        <v>190</v>
      </c>
      <c r="D3078" s="3" t="s">
        <v>2112</v>
      </c>
      <c r="E3078" s="3" t="s">
        <v>7084</v>
      </c>
      <c r="F3078" s="3" t="s">
        <v>2110</v>
      </c>
      <c r="G3078" s="3" t="str">
        <f>IFERROR(__xludf.DUMMYFUNCTION("GOOGLETRANSLATE(D3078,""fr"",""es"")"),"coulissasses")</f>
        <v>coulissasses</v>
      </c>
    </row>
    <row r="3079">
      <c r="A3079" s="3">
        <v>531.0</v>
      </c>
      <c r="B3079" s="3" t="s">
        <v>6738</v>
      </c>
      <c r="C3079" s="3" t="s">
        <v>190</v>
      </c>
      <c r="D3079" s="3" t="s">
        <v>7085</v>
      </c>
      <c r="E3079" s="3" t="s">
        <v>7081</v>
      </c>
      <c r="F3079" s="3" t="s">
        <v>2101</v>
      </c>
      <c r="G3079" s="3" t="str">
        <f>IFERROR(__xludf.DUMMYFUNCTION("GOOGLETRANSLATE(D3079,""fr"",""es"")"),"coulissat")</f>
        <v>coulissat</v>
      </c>
    </row>
    <row r="3080">
      <c r="A3080" s="3">
        <v>532.0</v>
      </c>
      <c r="B3080" s="3" t="s">
        <v>6738</v>
      </c>
      <c r="C3080" s="3" t="s">
        <v>190</v>
      </c>
      <c r="D3080" s="3" t="s">
        <v>2113</v>
      </c>
      <c r="E3080" s="3" t="s">
        <v>7086</v>
      </c>
      <c r="F3080" s="3" t="s">
        <v>2115</v>
      </c>
      <c r="G3080" s="3" t="str">
        <f>IFERROR(__xludf.DUMMYFUNCTION("GOOGLETRANSLATE(D3080,""fr"",""es"")"),"deslizar")</f>
        <v>deslizar</v>
      </c>
      <c r="H3080" s="3" t="s">
        <v>2116</v>
      </c>
      <c r="I3080" s="3" t="s">
        <v>2117</v>
      </c>
    </row>
    <row r="3081">
      <c r="A3081" s="3">
        <v>533.0</v>
      </c>
      <c r="B3081" s="3" t="s">
        <v>6738</v>
      </c>
      <c r="C3081" s="3" t="s">
        <v>190</v>
      </c>
      <c r="D3081" s="3" t="s">
        <v>2118</v>
      </c>
      <c r="E3081" s="3" t="s">
        <v>7086</v>
      </c>
      <c r="F3081" s="3" t="s">
        <v>2115</v>
      </c>
      <c r="G3081" s="3" t="str">
        <f>IFERROR(__xludf.DUMMYFUNCTION("GOOGLETRANSLATE(D3081,""fr"",""es"")"),"deslizar")</f>
        <v>deslizar</v>
      </c>
    </row>
    <row r="3082">
      <c r="A3082" s="3">
        <v>534.0</v>
      </c>
      <c r="B3082" s="3" t="s">
        <v>6738</v>
      </c>
      <c r="C3082" s="3" t="s">
        <v>190</v>
      </c>
      <c r="D3082" s="3" t="s">
        <v>2119</v>
      </c>
      <c r="E3082" s="3" t="s">
        <v>7086</v>
      </c>
      <c r="F3082" s="3" t="s">
        <v>2115</v>
      </c>
      <c r="G3082" s="3" t="str">
        <f>IFERROR(__xludf.DUMMYFUNCTION("GOOGLETRANSLATE(D3082,""fr"",""es"")"),"entre bastidores")</f>
        <v>entre bastidores</v>
      </c>
    </row>
    <row r="3083">
      <c r="A3083" s="3">
        <v>535.0</v>
      </c>
      <c r="B3083" s="3" t="s">
        <v>6738</v>
      </c>
      <c r="C3083" s="3" t="s">
        <v>190</v>
      </c>
      <c r="D3083" s="3" t="s">
        <v>2120</v>
      </c>
      <c r="E3083" s="3" t="s">
        <v>2000</v>
      </c>
      <c r="F3083" s="3" t="s">
        <v>2001</v>
      </c>
      <c r="G3083" s="3" t="str">
        <f>IFERROR(__xludf.DUMMYFUNCTION("GOOGLETRANSLATE(D3083,""fr"",""es"")"),"Corte")</f>
        <v>Corte</v>
      </c>
      <c r="H3083" s="3" t="s">
        <v>2121</v>
      </c>
      <c r="I3083" s="3" t="s">
        <v>2120</v>
      </c>
      <c r="J3083" s="3" t="s">
        <v>2122</v>
      </c>
      <c r="K3083" s="3" t="s">
        <v>2123</v>
      </c>
      <c r="L3083" s="3" t="s">
        <v>2124</v>
      </c>
      <c r="M3083" s="3" t="s">
        <v>2125</v>
      </c>
      <c r="N3083" s="3" t="s">
        <v>2126</v>
      </c>
      <c r="O3083" s="3" t="s">
        <v>2127</v>
      </c>
      <c r="P3083" s="3" t="s">
        <v>2128</v>
      </c>
      <c r="Q3083" s="3" t="s">
        <v>2129</v>
      </c>
      <c r="R3083" s="3" t="s">
        <v>2130</v>
      </c>
      <c r="S3083" s="3" t="s">
        <v>2131</v>
      </c>
      <c r="T3083" s="3" t="s">
        <v>2132</v>
      </c>
      <c r="U3083" s="3" t="s">
        <v>2133</v>
      </c>
      <c r="V3083" s="3" t="s">
        <v>2134</v>
      </c>
      <c r="W3083" s="3" t="s">
        <v>2135</v>
      </c>
      <c r="X3083" s="3" t="s">
        <v>2136</v>
      </c>
      <c r="Y3083" s="3" t="s">
        <v>2137</v>
      </c>
      <c r="Z3083" s="3" t="s">
        <v>2138</v>
      </c>
      <c r="AA3083" s="3" t="s">
        <v>2138</v>
      </c>
      <c r="AB3083" s="3" t="s">
        <v>911</v>
      </c>
      <c r="AC3083" s="3" t="s">
        <v>2139</v>
      </c>
      <c r="AD3083" s="3" t="s">
        <v>2136</v>
      </c>
      <c r="AE3083" s="3" t="s">
        <v>2140</v>
      </c>
      <c r="AF3083" s="3" t="s">
        <v>2141</v>
      </c>
      <c r="AG3083" s="3" t="s">
        <v>2142</v>
      </c>
      <c r="AH3083" s="3" t="s">
        <v>2143</v>
      </c>
      <c r="AI3083" s="3" t="s">
        <v>2144</v>
      </c>
      <c r="AJ3083" s="3" t="s">
        <v>2120</v>
      </c>
      <c r="AK3083" s="3" t="s">
        <v>2145</v>
      </c>
      <c r="AL3083" s="3" t="s">
        <v>2146</v>
      </c>
      <c r="AM3083" s="3" t="s">
        <v>2147</v>
      </c>
      <c r="AN3083" s="3" t="s">
        <v>2148</v>
      </c>
      <c r="AO3083" s="3" t="s">
        <v>2149</v>
      </c>
      <c r="AP3083" s="3" t="s">
        <v>2150</v>
      </c>
      <c r="AQ3083" s="3" t="s">
        <v>2151</v>
      </c>
      <c r="AR3083" s="3" t="s">
        <v>2136</v>
      </c>
      <c r="AS3083" s="3" t="s">
        <v>2152</v>
      </c>
      <c r="AT3083" s="3" t="s">
        <v>2153</v>
      </c>
      <c r="AU3083" s="3" t="s">
        <v>2136</v>
      </c>
      <c r="AV3083" s="3" t="s">
        <v>2154</v>
      </c>
      <c r="AW3083" s="3" t="s">
        <v>2155</v>
      </c>
      <c r="AX3083" s="3" t="s">
        <v>2156</v>
      </c>
      <c r="AY3083" s="3" t="s">
        <v>2136</v>
      </c>
      <c r="AZ3083" s="3" t="s">
        <v>2157</v>
      </c>
      <c r="BA3083" s="3" t="s">
        <v>2122</v>
      </c>
      <c r="BB3083" s="3" t="s">
        <v>2158</v>
      </c>
      <c r="BC3083" s="3" t="s">
        <v>2125</v>
      </c>
      <c r="BD3083" s="3" t="s">
        <v>2140</v>
      </c>
      <c r="BE3083" s="3" t="s">
        <v>2159</v>
      </c>
      <c r="BF3083" s="3" t="s">
        <v>2160</v>
      </c>
      <c r="BG3083" s="3" t="s">
        <v>2161</v>
      </c>
      <c r="BH3083" s="3" t="s">
        <v>921</v>
      </c>
      <c r="BI3083" s="3" t="s">
        <v>2147</v>
      </c>
    </row>
    <row r="3084">
      <c r="A3084" s="3">
        <v>536.0</v>
      </c>
      <c r="B3084" s="3" t="s">
        <v>6738</v>
      </c>
      <c r="C3084" s="3" t="s">
        <v>190</v>
      </c>
      <c r="D3084" s="3" t="s">
        <v>7087</v>
      </c>
      <c r="E3084" s="3" t="s">
        <v>7088</v>
      </c>
      <c r="F3084" s="3" t="s">
        <v>2164</v>
      </c>
      <c r="G3084" s="3" t="str">
        <f>IFERROR(__xludf.DUMMYFUNCTION("GOOGLETRANSLATE(D3084,""fr"",""es"")"),"Corte")</f>
        <v>Corte</v>
      </c>
    </row>
    <row r="3085">
      <c r="A3085" s="3">
        <v>537.0</v>
      </c>
      <c r="B3085" s="3" t="s">
        <v>6738</v>
      </c>
      <c r="C3085" s="3" t="s">
        <v>190</v>
      </c>
      <c r="D3085" s="3" t="s">
        <v>2168</v>
      </c>
      <c r="E3085" s="3" t="s">
        <v>7089</v>
      </c>
      <c r="F3085" s="3" t="s">
        <v>2170</v>
      </c>
      <c r="G3085" s="3" t="str">
        <f>IFERROR(__xludf.DUMMYFUNCTION("GOOGLETRANSLATE(D3085,""fr"",""es"")"),"coupinas")</f>
        <v>coupinas</v>
      </c>
    </row>
    <row r="3086">
      <c r="A3086" s="3">
        <v>538.0</v>
      </c>
      <c r="B3086" s="3" t="s">
        <v>6738</v>
      </c>
      <c r="C3086" s="3" t="s">
        <v>190</v>
      </c>
      <c r="D3086" s="3" t="s">
        <v>7090</v>
      </c>
      <c r="E3086" s="3" t="s">
        <v>7088</v>
      </c>
      <c r="F3086" s="3" t="s">
        <v>2164</v>
      </c>
      <c r="G3086" s="3" t="str">
        <f>IFERROR(__xludf.DUMMYFUNCTION("GOOGLETRANSLATE(D3086,""fr"",""es"")"),"corte")</f>
        <v>corte</v>
      </c>
    </row>
    <row r="3087">
      <c r="A3087" s="3">
        <v>539.0</v>
      </c>
      <c r="B3087" s="3" t="s">
        <v>6738</v>
      </c>
      <c r="C3087" s="3" t="s">
        <v>190</v>
      </c>
      <c r="D3087" s="3" t="s">
        <v>2171</v>
      </c>
      <c r="E3087" s="3" t="s">
        <v>7091</v>
      </c>
      <c r="F3087" s="3" t="s">
        <v>2173</v>
      </c>
      <c r="G3087" s="3" t="str">
        <f>IFERROR(__xludf.DUMMYFUNCTION("GOOGLETRANSLATE(D3087,""fr"",""es"")"),"corte")</f>
        <v>corte</v>
      </c>
    </row>
    <row r="3088">
      <c r="A3088" s="3">
        <v>540.0</v>
      </c>
      <c r="B3088" s="3" t="s">
        <v>6738</v>
      </c>
      <c r="C3088" s="3" t="s">
        <v>190</v>
      </c>
      <c r="D3088" s="3" t="s">
        <v>2174</v>
      </c>
      <c r="E3088" s="3" t="s">
        <v>7091</v>
      </c>
      <c r="F3088" s="3" t="s">
        <v>2173</v>
      </c>
      <c r="G3088" s="3" t="str">
        <f>IFERROR(__xludf.DUMMYFUNCTION("GOOGLETRANSLATE(D3088,""fr"",""es"")"),"cortar")</f>
        <v>cortar</v>
      </c>
    </row>
    <row r="3089">
      <c r="A3089" s="3">
        <v>541.0</v>
      </c>
      <c r="B3089" s="3" t="s">
        <v>6738</v>
      </c>
      <c r="C3089" s="3" t="s">
        <v>190</v>
      </c>
      <c r="D3089" s="3" t="s">
        <v>2175</v>
      </c>
      <c r="E3089" s="3" t="s">
        <v>7091</v>
      </c>
      <c r="F3089" s="3" t="s">
        <v>2173</v>
      </c>
      <c r="G3089" s="3" t="str">
        <f>IFERROR(__xludf.DUMMYFUNCTION("GOOGLETRANSLATE(D3089,""fr"",""es"")"),"corte")</f>
        <v>corte</v>
      </c>
    </row>
    <row r="3090">
      <c r="A3090" s="3">
        <v>542.0</v>
      </c>
      <c r="B3090" s="3" t="s">
        <v>6738</v>
      </c>
      <c r="C3090" s="3" t="s">
        <v>190</v>
      </c>
      <c r="D3090" s="3" t="s">
        <v>7092</v>
      </c>
      <c r="E3090" s="3" t="s">
        <v>7088</v>
      </c>
      <c r="F3090" s="3" t="s">
        <v>2164</v>
      </c>
      <c r="G3090" s="3" t="str">
        <f>IFERROR(__xludf.DUMMYFUNCTION("GOOGLETRANSLATE(D3090,""fr"",""es"")"),"sofá")</f>
        <v>sofá</v>
      </c>
    </row>
    <row r="3091">
      <c r="A3091" s="3">
        <v>543.0</v>
      </c>
      <c r="B3091" s="3" t="s">
        <v>6738</v>
      </c>
      <c r="C3091" s="3" t="s">
        <v>190</v>
      </c>
      <c r="D3091" s="3" t="s">
        <v>2176</v>
      </c>
      <c r="E3091" s="3" t="s">
        <v>7093</v>
      </c>
      <c r="F3091" s="3" t="s">
        <v>2178</v>
      </c>
      <c r="G3091" s="3" t="str">
        <f>IFERROR(__xludf.DUMMYFUNCTION("GOOGLETRANSLATE(D3091,""fr"",""es"")"),"cortado")</f>
        <v>cortado</v>
      </c>
      <c r="H3091" s="3" t="s">
        <v>2179</v>
      </c>
      <c r="I3091" s="3" t="s">
        <v>2180</v>
      </c>
      <c r="J3091" s="3" t="s">
        <v>2181</v>
      </c>
      <c r="K3091" s="3" t="s">
        <v>2182</v>
      </c>
      <c r="L3091" s="3" t="s">
        <v>2149</v>
      </c>
      <c r="M3091" s="3" t="s">
        <v>2183</v>
      </c>
      <c r="N3091" s="3" t="s">
        <v>2184</v>
      </c>
      <c r="O3091" s="3" t="s">
        <v>2040</v>
      </c>
      <c r="P3091" s="3" t="s">
        <v>2185</v>
      </c>
      <c r="Q3091" s="3" t="s">
        <v>2186</v>
      </c>
      <c r="R3091" s="3" t="s">
        <v>2187</v>
      </c>
      <c r="S3091" s="3" t="s">
        <v>2180</v>
      </c>
      <c r="T3091" s="3" t="s">
        <v>2040</v>
      </c>
      <c r="U3091" s="3" t="s">
        <v>2188</v>
      </c>
      <c r="V3091" s="3" t="s">
        <v>2189</v>
      </c>
      <c r="W3091" s="3" t="s">
        <v>2181</v>
      </c>
      <c r="X3091" s="3" t="s">
        <v>2183</v>
      </c>
      <c r="Y3091" s="3" t="s">
        <v>2149</v>
      </c>
      <c r="Z3091" s="3" t="s">
        <v>2190</v>
      </c>
    </row>
    <row r="3092">
      <c r="A3092" s="3">
        <v>544.0</v>
      </c>
      <c r="B3092" s="3" t="s">
        <v>6738</v>
      </c>
      <c r="C3092" s="3" t="s">
        <v>190</v>
      </c>
      <c r="D3092" s="3" t="s">
        <v>2195</v>
      </c>
      <c r="E3092" s="3" t="s">
        <v>7093</v>
      </c>
      <c r="F3092" s="3" t="s">
        <v>2178</v>
      </c>
      <c r="G3092" s="3" t="str">
        <f>IFERROR(__xludf.DUMMYFUNCTION("GOOGLETRANSLATE(D3092,""fr"",""es"")"),"Corte")</f>
        <v>Corte</v>
      </c>
    </row>
    <row r="3093">
      <c r="A3093" s="3">
        <v>545.0</v>
      </c>
      <c r="B3093" s="3" t="s">
        <v>6738</v>
      </c>
      <c r="C3093" s="3" t="s">
        <v>190</v>
      </c>
      <c r="D3093" s="3" t="s">
        <v>2196</v>
      </c>
      <c r="E3093" s="3" t="s">
        <v>7093</v>
      </c>
      <c r="F3093" s="3" t="s">
        <v>2178</v>
      </c>
      <c r="G3093" s="3" t="str">
        <f>IFERROR(__xludf.DUMMYFUNCTION("GOOGLETRANSLATE(D3093,""fr"",""es"")"),"cortes")</f>
        <v>cortes</v>
      </c>
    </row>
    <row r="3094">
      <c r="A3094" s="3">
        <v>546.0</v>
      </c>
      <c r="B3094" s="3" t="s">
        <v>6738</v>
      </c>
      <c r="C3094" s="3" t="s">
        <v>190</v>
      </c>
      <c r="D3094" s="3" t="s">
        <v>2197</v>
      </c>
      <c r="E3094" s="3" t="s">
        <v>2000</v>
      </c>
      <c r="F3094" s="3" t="s">
        <v>2001</v>
      </c>
      <c r="G3094" s="3" t="str">
        <f>IFERROR(__xludf.DUMMYFUNCTION("GOOGLETRANSLATE(D3094,""fr"",""es"")"),"golpes")</f>
        <v>golpes</v>
      </c>
    </row>
    <row r="3095">
      <c r="A3095" s="3">
        <v>547.0</v>
      </c>
      <c r="B3095" s="3" t="s">
        <v>6738</v>
      </c>
      <c r="C3095" s="3" t="s">
        <v>190</v>
      </c>
      <c r="D3095" s="3" t="s">
        <v>2198</v>
      </c>
      <c r="E3095" s="3" t="s">
        <v>7094</v>
      </c>
      <c r="F3095" s="3" t="s">
        <v>2200</v>
      </c>
      <c r="G3095" s="3" t="str">
        <f>IFERROR(__xludf.DUMMYFUNCTION("GOOGLETRANSLATE(D3095,""fr"",""es"")"),"incubar")</f>
        <v>incubar</v>
      </c>
    </row>
    <row r="3096">
      <c r="A3096" s="3">
        <v>548.0</v>
      </c>
      <c r="B3096" s="3" t="s">
        <v>6738</v>
      </c>
      <c r="C3096" s="3" t="s">
        <v>190</v>
      </c>
      <c r="D3096" s="3" t="s">
        <v>2201</v>
      </c>
      <c r="E3096" s="3" t="s">
        <v>2000</v>
      </c>
      <c r="F3096" s="3" t="s">
        <v>2001</v>
      </c>
      <c r="G3096" s="3" t="str">
        <f>IFERROR(__xludf.DUMMYFUNCTION("GOOGLETRANSLATE(D3096,""fr"",""es"")"),"cous")</f>
        <v>cous</v>
      </c>
    </row>
    <row r="3097">
      <c r="A3097" s="3">
        <v>549.0</v>
      </c>
      <c r="B3097" s="3" t="s">
        <v>6738</v>
      </c>
      <c r="C3097" s="3" t="s">
        <v>190</v>
      </c>
      <c r="D3097" s="3" t="s">
        <v>2206</v>
      </c>
      <c r="E3097" s="3" t="s">
        <v>2000</v>
      </c>
      <c r="F3097" s="3" t="s">
        <v>2001</v>
      </c>
      <c r="G3097" s="3" t="str">
        <f>IFERROR(__xludf.DUMMYFUNCTION("GOOGLETRANSLATE(D3097,""fr"",""es"")"),"costo")</f>
        <v>costo</v>
      </c>
      <c r="H3097" s="3" t="s">
        <v>2207</v>
      </c>
      <c r="I3097" s="3" t="s">
        <v>2208</v>
      </c>
      <c r="J3097" s="3" t="s">
        <v>2209</v>
      </c>
      <c r="K3097" s="3" t="s">
        <v>2207</v>
      </c>
      <c r="L3097" s="3" t="s">
        <v>2209</v>
      </c>
      <c r="M3097" s="3" t="s">
        <v>2207</v>
      </c>
      <c r="N3097" s="3" t="s">
        <v>2210</v>
      </c>
      <c r="O3097" s="3" t="s">
        <v>2207</v>
      </c>
    </row>
    <row r="3098">
      <c r="A3098" s="3">
        <v>550.0</v>
      </c>
      <c r="B3098" s="3" t="s">
        <v>6738</v>
      </c>
      <c r="C3098" s="3" t="s">
        <v>190</v>
      </c>
      <c r="D3098" s="3" t="s">
        <v>7095</v>
      </c>
      <c r="E3098" s="3" t="s">
        <v>7096</v>
      </c>
      <c r="F3098" s="3" t="s">
        <v>2213</v>
      </c>
      <c r="G3098" s="3" t="str">
        <f>IFERROR(__xludf.DUMMYFUNCTION("GOOGLETRANSLATE(D3098,""fr"",""es"")"),"costo")</f>
        <v>costo</v>
      </c>
    </row>
    <row r="3099">
      <c r="A3099" s="3">
        <v>551.0</v>
      </c>
      <c r="B3099" s="3" t="s">
        <v>6738</v>
      </c>
      <c r="C3099" s="3" t="s">
        <v>190</v>
      </c>
      <c r="D3099" s="3" t="s">
        <v>2217</v>
      </c>
      <c r="E3099" s="3" t="s">
        <v>7097</v>
      </c>
      <c r="F3099" s="3" t="s">
        <v>2219</v>
      </c>
      <c r="G3099" s="3" t="str">
        <f>IFERROR(__xludf.DUMMYFUNCTION("GOOGLETRANSLATE(D3099,""fr"",""es"")"),"costo")</f>
        <v>costo</v>
      </c>
    </row>
    <row r="3100">
      <c r="A3100" s="3">
        <v>552.0</v>
      </c>
      <c r="B3100" s="3" t="s">
        <v>6738</v>
      </c>
      <c r="C3100" s="3" t="s">
        <v>190</v>
      </c>
      <c r="D3100" s="3" t="s">
        <v>7098</v>
      </c>
      <c r="E3100" s="3" t="s">
        <v>7096</v>
      </c>
      <c r="F3100" s="3" t="s">
        <v>2213</v>
      </c>
      <c r="G3100" s="3" t="str">
        <f>IFERROR(__xludf.DUMMYFUNCTION("GOOGLETRANSLATE(D3100,""fr"",""es"")"),"costo")</f>
        <v>costo</v>
      </c>
    </row>
    <row r="3101">
      <c r="A3101" s="3">
        <v>553.0</v>
      </c>
      <c r="B3101" s="3" t="s">
        <v>6738</v>
      </c>
      <c r="C3101" s="3" t="s">
        <v>190</v>
      </c>
      <c r="D3101" s="3" t="s">
        <v>2220</v>
      </c>
      <c r="E3101" s="3" t="s">
        <v>7099</v>
      </c>
      <c r="F3101" s="3" t="s">
        <v>2222</v>
      </c>
      <c r="G3101" s="3" t="str">
        <f>IFERROR(__xludf.DUMMYFUNCTION("GOOGLETRANSLATE(D3101,""fr"",""es"")"),"costo")</f>
        <v>costo</v>
      </c>
    </row>
    <row r="3102">
      <c r="A3102" s="3">
        <v>554.0</v>
      </c>
      <c r="B3102" s="3" t="s">
        <v>6738</v>
      </c>
      <c r="C3102" s="3" t="s">
        <v>190</v>
      </c>
      <c r="D3102" s="3" t="s">
        <v>2223</v>
      </c>
      <c r="E3102" s="3" t="s">
        <v>7099</v>
      </c>
      <c r="F3102" s="3" t="s">
        <v>2222</v>
      </c>
      <c r="G3102" s="3" t="str">
        <f>IFERROR(__xludf.DUMMYFUNCTION("GOOGLETRANSLATE(D3102,""fr"",""es"")"),"costo")</f>
        <v>costo</v>
      </c>
    </row>
    <row r="3103">
      <c r="A3103" s="3">
        <v>555.0</v>
      </c>
      <c r="B3103" s="3" t="s">
        <v>6738</v>
      </c>
      <c r="C3103" s="3" t="s">
        <v>190</v>
      </c>
      <c r="D3103" s="3" t="s">
        <v>2224</v>
      </c>
      <c r="E3103" s="3" t="s">
        <v>7099</v>
      </c>
      <c r="F3103" s="3" t="s">
        <v>2222</v>
      </c>
      <c r="G3103" s="3" t="str">
        <f>IFERROR(__xludf.DUMMYFUNCTION("GOOGLETRANSLATE(D3103,""fr"",""es"")"),"costacas")</f>
        <v>costacas</v>
      </c>
    </row>
    <row r="3104">
      <c r="A3104" s="3">
        <v>556.0</v>
      </c>
      <c r="B3104" s="3" t="s">
        <v>6738</v>
      </c>
      <c r="C3104" s="3" t="s">
        <v>190</v>
      </c>
      <c r="D3104" s="3" t="s">
        <v>7100</v>
      </c>
      <c r="E3104" s="3" t="s">
        <v>7096</v>
      </c>
      <c r="F3104" s="3" t="s">
        <v>2213</v>
      </c>
      <c r="G3104" s="3" t="str">
        <f>IFERROR(__xludf.DUMMYFUNCTION("GOOGLETRANSLATE(D3104,""fr"",""es"")"),"costo")</f>
        <v>costo</v>
      </c>
    </row>
    <row r="3105">
      <c r="A3105" s="3">
        <v>557.0</v>
      </c>
      <c r="B3105" s="3" t="s">
        <v>6738</v>
      </c>
      <c r="C3105" s="3" t="s">
        <v>190</v>
      </c>
      <c r="D3105" s="3" t="s">
        <v>7101</v>
      </c>
      <c r="E3105" s="3" t="s">
        <v>7102</v>
      </c>
      <c r="F3105" s="3" t="s">
        <v>7103</v>
      </c>
      <c r="G3105" s="3" t="str">
        <f>IFERROR(__xludf.DUMMYFUNCTION("GOOGLETRANSLATE(D3105,""fr"",""es"")"),"cabaña")</f>
        <v>cabaña</v>
      </c>
    </row>
    <row r="3106">
      <c r="A3106" s="3">
        <v>558.0</v>
      </c>
      <c r="B3106" s="3" t="s">
        <v>6738</v>
      </c>
      <c r="C3106" s="3" t="s">
        <v>190</v>
      </c>
      <c r="D3106" s="3" t="s">
        <v>7104</v>
      </c>
      <c r="E3106" s="3" t="s">
        <v>7102</v>
      </c>
      <c r="F3106" s="3" t="s">
        <v>7103</v>
      </c>
      <c r="G3106" s="3" t="str">
        <f>IFERROR(__xludf.DUMMYFUNCTION("GOOGLETRANSLATE(D3106,""fr"",""es"")"),"parejas")</f>
        <v>parejas</v>
      </c>
    </row>
    <row r="3107">
      <c r="A3107" s="3">
        <v>559.0</v>
      </c>
      <c r="B3107" s="3" t="s">
        <v>6738</v>
      </c>
      <c r="C3107" s="3" t="s">
        <v>190</v>
      </c>
      <c r="D3107" s="3" t="s">
        <v>2225</v>
      </c>
      <c r="E3107" s="3" t="s">
        <v>2000</v>
      </c>
      <c r="F3107" s="3" t="s">
        <v>2001</v>
      </c>
      <c r="G3107" s="3" t="str">
        <f>IFERROR(__xludf.DUMMYFUNCTION("GOOGLETRANSLATE(D3107,""fr"",""es"")"),"costo")</f>
        <v>costo</v>
      </c>
    </row>
    <row r="3108">
      <c r="A3108" s="3">
        <v>560.0</v>
      </c>
      <c r="B3108" s="3" t="s">
        <v>6738</v>
      </c>
      <c r="C3108" s="3" t="s">
        <v>190</v>
      </c>
      <c r="D3108" s="3" t="s">
        <v>2242</v>
      </c>
      <c r="E3108" s="3" t="s">
        <v>2243</v>
      </c>
      <c r="F3108" s="3" t="s">
        <v>2244</v>
      </c>
      <c r="G3108" s="3" t="str">
        <f>IFERROR(__xludf.DUMMYFUNCTION("GOOGLETRANSLATE(D3108,""fr"",""es"")"),"cisne")</f>
        <v>cisne</v>
      </c>
      <c r="H3108" s="3" t="s">
        <v>2245</v>
      </c>
      <c r="I3108" s="3" t="s">
        <v>2246</v>
      </c>
      <c r="J3108" s="3" t="s">
        <v>2247</v>
      </c>
      <c r="K3108" s="3" t="s">
        <v>2248</v>
      </c>
      <c r="L3108" s="3" t="s">
        <v>2245</v>
      </c>
      <c r="M3108" s="3" t="s">
        <v>2247</v>
      </c>
    </row>
    <row r="3109">
      <c r="A3109" s="3">
        <v>561.0</v>
      </c>
      <c r="B3109" s="3" t="s">
        <v>6738</v>
      </c>
      <c r="C3109" s="3" t="s">
        <v>190</v>
      </c>
      <c r="D3109" s="3" t="s">
        <v>2249</v>
      </c>
      <c r="E3109" s="3" t="s">
        <v>2243</v>
      </c>
      <c r="F3109" s="3" t="s">
        <v>2244</v>
      </c>
      <c r="G3109" s="3" t="str">
        <f>IFERROR(__xludf.DUMMYFUNCTION("GOOGLETRANSLATE(D3109,""fr"",""es"")"),"cisnes")</f>
        <v>cisnes</v>
      </c>
    </row>
    <row r="3110">
      <c r="A3110" s="3">
        <v>562.0</v>
      </c>
      <c r="B3110" s="3" t="s">
        <v>6738</v>
      </c>
      <c r="C3110" s="3" t="s">
        <v>190</v>
      </c>
      <c r="D3110" s="3" t="s">
        <v>2250</v>
      </c>
      <c r="E3110" s="3" t="s">
        <v>7105</v>
      </c>
      <c r="F3110" s="3" t="s">
        <v>2252</v>
      </c>
      <c r="G3110" s="3" t="str">
        <f>IFERROR(__xludf.DUMMYFUNCTION("GOOGLETRANSLATE(D3110,""fr"",""es"")"),"cínico")</f>
        <v>cínico</v>
      </c>
      <c r="H3110" s="3" t="s">
        <v>2253</v>
      </c>
      <c r="I3110" s="3" t="s">
        <v>2254</v>
      </c>
      <c r="J3110" s="3" t="s">
        <v>2255</v>
      </c>
      <c r="K3110" s="3" t="s">
        <v>2256</v>
      </c>
      <c r="L3110" s="3" t="s">
        <v>2257</v>
      </c>
    </row>
    <row r="3111">
      <c r="A3111" s="3">
        <v>563.0</v>
      </c>
      <c r="B3111" s="3" t="s">
        <v>6738</v>
      </c>
      <c r="C3111" s="3" t="s">
        <v>190</v>
      </c>
      <c r="D3111" s="3" t="s">
        <v>2258</v>
      </c>
      <c r="E3111" s="3" t="s">
        <v>7105</v>
      </c>
      <c r="F3111" s="3" t="s">
        <v>2252</v>
      </c>
      <c r="G3111" s="3" t="str">
        <f>IFERROR(__xludf.DUMMYFUNCTION("GOOGLETRANSLATE(D3111,""fr"",""es"")"),"cínico")</f>
        <v>cínico</v>
      </c>
    </row>
    <row r="3112">
      <c r="A3112" s="3">
        <v>564.0</v>
      </c>
      <c r="B3112" s="3" t="s">
        <v>6738</v>
      </c>
      <c r="C3112" s="3" t="s">
        <v>190</v>
      </c>
      <c r="D3112" s="3" t="s">
        <v>2276</v>
      </c>
      <c r="E3112" s="3" t="s">
        <v>348</v>
      </c>
      <c r="F3112" s="3" t="s">
        <v>349</v>
      </c>
      <c r="G3112" s="3" t="str">
        <f>IFERROR(__xludf.DUMMYFUNCTION("GOOGLETRANSLATE(D3112,""fr"",""es"")"),"H")</f>
        <v>H</v>
      </c>
      <c r="H3112" s="3" t="s">
        <v>2277</v>
      </c>
      <c r="I3112" s="3" t="s">
        <v>2278</v>
      </c>
      <c r="J3112" s="3" t="s">
        <v>2279</v>
      </c>
      <c r="K3112" s="3" t="s">
        <v>2280</v>
      </c>
      <c r="L3112" s="3" t="s">
        <v>2281</v>
      </c>
      <c r="M3112" s="3" t="s">
        <v>2276</v>
      </c>
      <c r="N3112" s="3" t="s">
        <v>2282</v>
      </c>
      <c r="O3112" s="3" t="s">
        <v>2281</v>
      </c>
      <c r="P3112" s="3" t="s">
        <v>2276</v>
      </c>
      <c r="Q3112" s="3" t="s">
        <v>2282</v>
      </c>
    </row>
    <row r="3113">
      <c r="A3113" s="3">
        <v>565.0</v>
      </c>
      <c r="B3113" s="3" t="s">
        <v>6738</v>
      </c>
      <c r="C3113" s="3" t="s">
        <v>190</v>
      </c>
      <c r="D3113" s="3" t="s">
        <v>2295</v>
      </c>
      <c r="E3113" s="3" t="s">
        <v>2296</v>
      </c>
      <c r="F3113" s="3" t="s">
        <v>2297</v>
      </c>
      <c r="G3113" s="3" t="str">
        <f>IFERROR(__xludf.DUMMYFUNCTION("GOOGLETRANSLATE(D3113,""fr"",""es"")"),"hallali")</f>
        <v>hallali</v>
      </c>
    </row>
    <row r="3114">
      <c r="A3114" s="3">
        <v>566.0</v>
      </c>
      <c r="B3114" s="3" t="s">
        <v>6738</v>
      </c>
      <c r="C3114" s="3" t="s">
        <v>190</v>
      </c>
      <c r="D3114" s="3" t="s">
        <v>2298</v>
      </c>
      <c r="E3114" s="3" t="s">
        <v>2296</v>
      </c>
      <c r="F3114" s="3" t="s">
        <v>2297</v>
      </c>
      <c r="G3114" s="3" t="str">
        <f>IFERROR(__xludf.DUMMYFUNCTION("GOOGLETRANSLATE(D3114,""fr"",""es"")"),"hallalis")</f>
        <v>hallalis</v>
      </c>
    </row>
    <row r="3115">
      <c r="A3115" s="3">
        <v>567.0</v>
      </c>
      <c r="B3115" s="3" t="s">
        <v>6738</v>
      </c>
      <c r="C3115" s="3" t="s">
        <v>190</v>
      </c>
      <c r="D3115" s="3" t="s">
        <v>2299</v>
      </c>
      <c r="E3115" s="3" t="s">
        <v>2300</v>
      </c>
      <c r="F3115" s="3" t="s">
        <v>2301</v>
      </c>
      <c r="G3115" s="3" t="str">
        <f>IFERROR(__xludf.DUMMYFUNCTION("GOOGLETRANSLATE(D3115,""fr"",""es"")"),"Hiatal")</f>
        <v>Hiatal</v>
      </c>
    </row>
    <row r="3116">
      <c r="A3116" s="3">
        <v>568.0</v>
      </c>
      <c r="B3116" s="3" t="s">
        <v>6738</v>
      </c>
      <c r="C3116" s="3" t="s">
        <v>190</v>
      </c>
      <c r="D3116" s="3" t="s">
        <v>2302</v>
      </c>
      <c r="E3116" s="3" t="s">
        <v>2300</v>
      </c>
      <c r="F3116" s="3" t="s">
        <v>2301</v>
      </c>
      <c r="G3116" s="3" t="str">
        <f>IFERROR(__xludf.DUMMYFUNCTION("GOOGLETRANSLATE(D3116,""fr"",""es"")"),"Hiatal")</f>
        <v>Hiatal</v>
      </c>
    </row>
    <row r="3117">
      <c r="A3117" s="3">
        <v>569.0</v>
      </c>
      <c r="B3117" s="3" t="s">
        <v>6738</v>
      </c>
      <c r="C3117" s="3" t="s">
        <v>190</v>
      </c>
      <c r="D3117" s="3" t="s">
        <v>2303</v>
      </c>
      <c r="E3117" s="3" t="s">
        <v>2300</v>
      </c>
      <c r="F3117" s="3" t="s">
        <v>2301</v>
      </c>
      <c r="G3117" s="3" t="str">
        <f>IFERROR(__xludf.DUMMYFUNCTION("GOOGLETRANSLATE(D3117,""fr"",""es"")"),"Hiatal")</f>
        <v>Hiatal</v>
      </c>
    </row>
    <row r="3118">
      <c r="A3118" s="3">
        <v>570.0</v>
      </c>
      <c r="B3118" s="3" t="s">
        <v>6738</v>
      </c>
      <c r="C3118" s="3" t="s">
        <v>190</v>
      </c>
      <c r="D3118" s="3" t="s">
        <v>7106</v>
      </c>
      <c r="E3118" s="3" t="s">
        <v>7107</v>
      </c>
      <c r="F3118" s="3" t="s">
        <v>7108</v>
      </c>
      <c r="G3118" s="3" t="str">
        <f>IFERROR(__xludf.DUMMYFUNCTION("GOOGLETRANSLATE(D3118,""fr"",""es"")"),"Himalaya")</f>
        <v>Himalaya</v>
      </c>
      <c r="H3118" s="3" t="s">
        <v>7109</v>
      </c>
      <c r="I3118" s="3" t="s">
        <v>7110</v>
      </c>
      <c r="J3118" s="3" t="s">
        <v>7106</v>
      </c>
    </row>
    <row r="3119">
      <c r="A3119" s="3">
        <v>571.0</v>
      </c>
      <c r="B3119" s="3" t="s">
        <v>6738</v>
      </c>
      <c r="C3119" s="3" t="s">
        <v>190</v>
      </c>
      <c r="D3119" s="3" t="s">
        <v>2308</v>
      </c>
      <c r="E3119" s="3" t="s">
        <v>7111</v>
      </c>
      <c r="F3119" s="3" t="s">
        <v>2310</v>
      </c>
      <c r="G3119" s="3" t="str">
        <f>IFERROR(__xludf.DUMMYFUNCTION("GOOGLETRANSLATE(D3119,""fr"",""es"")"),"las carreras de caballos")</f>
        <v>las carreras de caballos</v>
      </c>
      <c r="H3119" s="3" t="s">
        <v>2311</v>
      </c>
      <c r="I3119" s="3" t="s">
        <v>2311</v>
      </c>
      <c r="J3119" s="3" t="s">
        <v>2312</v>
      </c>
      <c r="K3119" s="3" t="s">
        <v>2311</v>
      </c>
      <c r="L3119" s="3" t="s">
        <v>2313</v>
      </c>
    </row>
    <row r="3120">
      <c r="A3120" s="3">
        <v>572.0</v>
      </c>
      <c r="B3120" s="3" t="s">
        <v>6738</v>
      </c>
      <c r="C3120" s="3" t="s">
        <v>190</v>
      </c>
      <c r="D3120" s="3" t="s">
        <v>2314</v>
      </c>
      <c r="E3120" s="3" t="s">
        <v>7111</v>
      </c>
      <c r="F3120" s="3" t="s">
        <v>2310</v>
      </c>
      <c r="G3120" s="3" t="str">
        <f>IFERROR(__xludf.DUMMYFUNCTION("GOOGLETRANSLATE(D3120,""fr"",""es"")"),"las carreras de caballos")</f>
        <v>las carreras de caballos</v>
      </c>
    </row>
    <row r="3121">
      <c r="A3121" s="3">
        <v>573.0</v>
      </c>
      <c r="B3121" s="3" t="s">
        <v>6738</v>
      </c>
      <c r="C3121" s="3" t="s">
        <v>190</v>
      </c>
      <c r="D3121" s="3" t="s">
        <v>2320</v>
      </c>
      <c r="E3121" s="3" t="s">
        <v>7112</v>
      </c>
      <c r="F3121" s="3" t="s">
        <v>2322</v>
      </c>
      <c r="G3121" s="3" t="str">
        <f>IFERROR(__xludf.DUMMYFUNCTION("GOOGLETRANSLATE(D3121,""fr"",""es"")"),"Humus")</f>
        <v>Humus</v>
      </c>
      <c r="H3121" s="3" t="s">
        <v>2323</v>
      </c>
      <c r="I3121" s="3" t="s">
        <v>2324</v>
      </c>
      <c r="J3121" s="3" t="s">
        <v>2325</v>
      </c>
      <c r="K3121" s="3" t="s">
        <v>2326</v>
      </c>
      <c r="L3121" s="3" t="s">
        <v>2327</v>
      </c>
    </row>
    <row r="3122">
      <c r="A3122" s="3">
        <v>574.0</v>
      </c>
      <c r="B3122" s="3" t="s">
        <v>6738</v>
      </c>
      <c r="C3122" s="3" t="s">
        <v>190</v>
      </c>
      <c r="D3122" s="3" t="s">
        <v>2268</v>
      </c>
      <c r="E3122" s="3" t="s">
        <v>2267</v>
      </c>
      <c r="F3122" s="3" t="s">
        <v>2268</v>
      </c>
      <c r="G3122" s="3" t="str">
        <f>IFERROR(__xludf.DUMMYFUNCTION("GOOGLETRANSLATE(D3122,""fr"",""es"")"),"yo")</f>
        <v>yo</v>
      </c>
      <c r="H3122" s="3" t="s">
        <v>2347</v>
      </c>
      <c r="I3122" s="3" t="s">
        <v>2348</v>
      </c>
      <c r="J3122" s="3" t="s">
        <v>2349</v>
      </c>
    </row>
    <row r="3123">
      <c r="A3123" s="3">
        <v>575.0</v>
      </c>
      <c r="B3123" s="3" t="s">
        <v>6738</v>
      </c>
      <c r="C3123" s="3" t="s">
        <v>190</v>
      </c>
      <c r="D3123" s="3" t="s">
        <v>2350</v>
      </c>
      <c r="E3123" s="3" t="s">
        <v>2267</v>
      </c>
      <c r="F3123" s="3" t="s">
        <v>2268</v>
      </c>
      <c r="G3123" s="3" t="str">
        <f>IFERROR(__xludf.DUMMYFUNCTION("GOOGLETRANSLATE(D3123,""fr"",""es"")"),"yo")</f>
        <v>yo</v>
      </c>
      <c r="H3123" s="3" t="s">
        <v>2347</v>
      </c>
      <c r="I3123" s="3" t="s">
        <v>2348</v>
      </c>
      <c r="J3123" s="3" t="s">
        <v>2349</v>
      </c>
    </row>
    <row r="3124">
      <c r="A3124" s="3">
        <v>576.0</v>
      </c>
      <c r="B3124" s="3" t="s">
        <v>6738</v>
      </c>
      <c r="C3124" s="3" t="s">
        <v>190</v>
      </c>
      <c r="D3124" s="3" t="s">
        <v>2355</v>
      </c>
      <c r="E3124" s="3" t="s">
        <v>2356</v>
      </c>
      <c r="F3124" s="3" t="s">
        <v>2357</v>
      </c>
      <c r="G3124" s="3" t="str">
        <f>IFERROR(__xludf.DUMMYFUNCTION("GOOGLETRANSLATE(D3124,""fr"",""es"")"),"aquí")</f>
        <v>aquí</v>
      </c>
      <c r="H3124" s="3" t="s">
        <v>2358</v>
      </c>
      <c r="I3124" s="3" t="s">
        <v>2359</v>
      </c>
      <c r="J3124" s="3" t="s">
        <v>2359</v>
      </c>
      <c r="K3124" s="3" t="s">
        <v>2360</v>
      </c>
      <c r="L3124" s="3" t="s">
        <v>2359</v>
      </c>
      <c r="M3124" s="3" t="s">
        <v>2359</v>
      </c>
      <c r="N3124" s="3" t="s">
        <v>2361</v>
      </c>
      <c r="O3124" s="3" t="s">
        <v>2362</v>
      </c>
      <c r="P3124" s="3" t="s">
        <v>2359</v>
      </c>
      <c r="Q3124" s="3" t="s">
        <v>2359</v>
      </c>
      <c r="R3124" s="3" t="s">
        <v>2363</v>
      </c>
      <c r="S3124" s="3" t="s">
        <v>2364</v>
      </c>
    </row>
    <row r="3125">
      <c r="A3125" s="3">
        <v>577.0</v>
      </c>
      <c r="B3125" s="3" t="s">
        <v>6738</v>
      </c>
      <c r="C3125" s="3" t="s">
        <v>190</v>
      </c>
      <c r="D3125" s="3" t="s">
        <v>2365</v>
      </c>
      <c r="E3125" s="3" t="s">
        <v>2366</v>
      </c>
      <c r="F3125" s="3" t="s">
        <v>2367</v>
      </c>
      <c r="G3125" s="3" t="str">
        <f>IFERROR(__xludf.DUMMYFUNCTION("GOOGLETRANSLATE(D3125,""fr"",""es"")"),"Ignicio")</f>
        <v>Ignicio</v>
      </c>
      <c r="H3125" s="3" t="s">
        <v>2368</v>
      </c>
      <c r="I3125" s="3" t="s">
        <v>2369</v>
      </c>
      <c r="J3125" s="3" t="s">
        <v>2370</v>
      </c>
    </row>
    <row r="3126">
      <c r="A3126" s="3">
        <v>578.0</v>
      </c>
      <c r="B3126" s="3" t="s">
        <v>6738</v>
      </c>
      <c r="C3126" s="3" t="s">
        <v>190</v>
      </c>
      <c r="D3126" s="3" t="s">
        <v>2371</v>
      </c>
      <c r="E3126" s="3" t="s">
        <v>2372</v>
      </c>
      <c r="F3126" s="3" t="s">
        <v>2373</v>
      </c>
      <c r="G3126" s="3" t="str">
        <f>IFERROR(__xludf.DUMMYFUNCTION("GOOGLETRANSLATE(D3126,""fr"",""es"")"),"batata")</f>
        <v>batata</v>
      </c>
      <c r="H3126" s="3" t="s">
        <v>2374</v>
      </c>
      <c r="I3126" s="3" t="s">
        <v>2374</v>
      </c>
      <c r="J3126" s="3" t="s">
        <v>2374</v>
      </c>
      <c r="K3126" s="3" t="s">
        <v>2375</v>
      </c>
      <c r="L3126" s="3" t="s">
        <v>2374</v>
      </c>
    </row>
    <row r="3127">
      <c r="A3127" s="3">
        <v>579.0</v>
      </c>
      <c r="B3127" s="3" t="s">
        <v>6738</v>
      </c>
      <c r="C3127" s="3" t="s">
        <v>190</v>
      </c>
      <c r="D3127" s="3" t="s">
        <v>2376</v>
      </c>
      <c r="E3127" s="3" t="s">
        <v>2372</v>
      </c>
      <c r="F3127" s="3" t="s">
        <v>2373</v>
      </c>
      <c r="G3127" s="3" t="str">
        <f>IFERROR(__xludf.DUMMYFUNCTION("GOOGLETRANSLATE(D3127,""fr"",""es"")"),"batatas")</f>
        <v>batatas</v>
      </c>
    </row>
    <row r="3128">
      <c r="A3128" s="3">
        <v>580.0</v>
      </c>
      <c r="B3128" s="3" t="s">
        <v>6738</v>
      </c>
      <c r="C3128" s="3" t="s">
        <v>190</v>
      </c>
      <c r="D3128" s="3" t="s">
        <v>2377</v>
      </c>
      <c r="E3128" s="3" t="s">
        <v>2384</v>
      </c>
      <c r="F3128" s="3" t="s">
        <v>2377</v>
      </c>
      <c r="G3128" s="3" t="str">
        <f>IFERROR(__xludf.DUMMYFUNCTION("GOOGLETRANSLATE(D3128,""fr"",""es"")"),"Él")</f>
        <v>Él</v>
      </c>
      <c r="H3128" s="3" t="s">
        <v>2378</v>
      </c>
      <c r="I3128" s="3" t="s">
        <v>2379</v>
      </c>
      <c r="J3128" s="3" t="s">
        <v>2380</v>
      </c>
      <c r="K3128" s="3" t="s">
        <v>2381</v>
      </c>
      <c r="L3128" s="3" t="s">
        <v>2382</v>
      </c>
    </row>
    <row r="3129">
      <c r="A3129" s="3">
        <v>581.0</v>
      </c>
      <c r="B3129" s="3" t="s">
        <v>6738</v>
      </c>
      <c r="C3129" s="3" t="s">
        <v>190</v>
      </c>
      <c r="D3129" s="3" t="s">
        <v>2383</v>
      </c>
      <c r="E3129" s="3" t="s">
        <v>2384</v>
      </c>
      <c r="F3129" s="3" t="s">
        <v>2377</v>
      </c>
      <c r="G3129" s="3" t="str">
        <f>IFERROR(__xludf.DUMMYFUNCTION("GOOGLETRANSLATE(D3129,""fr"",""es"")"),"isla")</f>
        <v>isla</v>
      </c>
      <c r="H3129" s="3" t="s">
        <v>2385</v>
      </c>
      <c r="I3129" s="3" t="s">
        <v>2386</v>
      </c>
      <c r="J3129" s="3" t="s">
        <v>2387</v>
      </c>
      <c r="K3129" s="3" t="s">
        <v>2388</v>
      </c>
      <c r="L3129" s="3" t="s">
        <v>2389</v>
      </c>
      <c r="M3129" s="3" t="s">
        <v>2390</v>
      </c>
      <c r="N3129" s="3" t="s">
        <v>2391</v>
      </c>
      <c r="O3129" s="3" t="s">
        <v>2392</v>
      </c>
      <c r="P3129" s="3" t="s">
        <v>2393</v>
      </c>
      <c r="Q3129" s="3" t="s">
        <v>2385</v>
      </c>
      <c r="R3129" s="3" t="s">
        <v>2394</v>
      </c>
      <c r="S3129" s="3" t="s">
        <v>2395</v>
      </c>
    </row>
    <row r="3130">
      <c r="A3130" s="3">
        <v>582.0</v>
      </c>
      <c r="B3130" s="3" t="s">
        <v>6738</v>
      </c>
      <c r="C3130" s="3" t="s">
        <v>190</v>
      </c>
      <c r="D3130" s="3" t="s">
        <v>2396</v>
      </c>
      <c r="E3130" s="3" t="s">
        <v>2384</v>
      </c>
      <c r="F3130" s="3" t="s">
        <v>2377</v>
      </c>
      <c r="G3130" s="3" t="str">
        <f>IFERROR(__xludf.DUMMYFUNCTION("GOOGLETRANSLATE(D3130,""fr"",""es"")"),"Islas")</f>
        <v>Islas</v>
      </c>
      <c r="H3130" s="3" t="s">
        <v>2397</v>
      </c>
      <c r="I3130" s="3" t="s">
        <v>2398</v>
      </c>
      <c r="J3130" s="3" t="s">
        <v>2385</v>
      </c>
    </row>
    <row r="3131">
      <c r="A3131" s="3">
        <v>583.0</v>
      </c>
      <c r="B3131" s="3" t="s">
        <v>6738</v>
      </c>
      <c r="C3131" s="3" t="s">
        <v>190</v>
      </c>
      <c r="D3131" s="3" t="s">
        <v>2399</v>
      </c>
      <c r="E3131" s="3" t="s">
        <v>2384</v>
      </c>
      <c r="F3131" s="3" t="s">
        <v>2377</v>
      </c>
      <c r="G3131" s="3" t="str">
        <f>IFERROR(__xludf.DUMMYFUNCTION("GOOGLETRANSLATE(D3131,""fr"",""es"")"),"ellos")</f>
        <v>ellos</v>
      </c>
    </row>
    <row r="3132">
      <c r="A3132" s="3">
        <v>584.0</v>
      </c>
      <c r="B3132" s="3" t="s">
        <v>6738</v>
      </c>
      <c r="C3132" s="3" t="s">
        <v>190</v>
      </c>
      <c r="D3132" s="3" t="s">
        <v>7113</v>
      </c>
      <c r="E3132" s="3" t="s">
        <v>7114</v>
      </c>
      <c r="F3132" s="3" t="s">
        <v>7115</v>
      </c>
      <c r="G3132" s="3" t="str">
        <f>IFERROR(__xludf.DUMMYFUNCTION("GOOGLETRANSLATE(D3132,""fr"",""es"")"),"Ima")</f>
        <v>Ima</v>
      </c>
    </row>
    <row r="3133">
      <c r="A3133" s="3">
        <v>585.0</v>
      </c>
      <c r="B3133" s="3" t="s">
        <v>6738</v>
      </c>
      <c r="C3133" s="3" t="s">
        <v>190</v>
      </c>
      <c r="D3133" s="3" t="s">
        <v>2400</v>
      </c>
      <c r="E3133" s="3" t="s">
        <v>2401</v>
      </c>
      <c r="F3133" s="3" t="s">
        <v>2400</v>
      </c>
      <c r="G3133" s="3" t="str">
        <f>IFERROR(__xludf.DUMMYFUNCTION("GOOGLETRANSLATE(D3133,""fr"",""es"")"),"imán")</f>
        <v>imán</v>
      </c>
      <c r="H3133" s="3" t="s">
        <v>2400</v>
      </c>
      <c r="I3133" s="3" t="s">
        <v>2402</v>
      </c>
    </row>
    <row r="3134">
      <c r="A3134" s="3">
        <v>586.0</v>
      </c>
      <c r="B3134" s="3" t="s">
        <v>6738</v>
      </c>
      <c r="C3134" s="3" t="s">
        <v>190</v>
      </c>
      <c r="D3134" s="3" t="s">
        <v>2403</v>
      </c>
      <c r="E3134" s="3" t="s">
        <v>2401</v>
      </c>
      <c r="F3134" s="3" t="s">
        <v>2400</v>
      </c>
      <c r="G3134" s="3" t="str">
        <f>IFERROR(__xludf.DUMMYFUNCTION("GOOGLETRANSLATE(D3134,""fr"",""es"")"),"imanes")</f>
        <v>imanes</v>
      </c>
    </row>
    <row r="3135">
      <c r="A3135" s="3">
        <v>587.0</v>
      </c>
      <c r="B3135" s="3" t="s">
        <v>6738</v>
      </c>
      <c r="C3135" s="3" t="s">
        <v>190</v>
      </c>
      <c r="D3135" s="3" t="s">
        <v>2406</v>
      </c>
      <c r="E3135" s="3" t="s">
        <v>7116</v>
      </c>
      <c r="F3135" s="3" t="s">
        <v>2406</v>
      </c>
      <c r="G3135" s="3" t="str">
        <f>IFERROR(__xludf.DUMMYFUNCTION("GOOGLETRANSLATE(D3135,""fr"",""es"")"),"imita")</f>
        <v>imita</v>
      </c>
    </row>
    <row r="3136">
      <c r="A3136" s="3">
        <v>588.0</v>
      </c>
      <c r="B3136" s="3" t="s">
        <v>6738</v>
      </c>
      <c r="C3136" s="3" t="s">
        <v>190</v>
      </c>
      <c r="D3136" s="3" t="s">
        <v>2410</v>
      </c>
      <c r="E3136" s="3" t="s">
        <v>7117</v>
      </c>
      <c r="F3136" s="3" t="s">
        <v>2412</v>
      </c>
      <c r="G3136" s="3" t="str">
        <f>IFERROR(__xludf.DUMMYFUNCTION("GOOGLETRANSLATE(D3136,""fr"",""es"")"),"imitar")</f>
        <v>imitar</v>
      </c>
    </row>
    <row r="3137">
      <c r="A3137" s="3">
        <v>589.0</v>
      </c>
      <c r="B3137" s="3" t="s">
        <v>6738</v>
      </c>
      <c r="C3137" s="3" t="s">
        <v>190</v>
      </c>
      <c r="D3137" s="3" t="s">
        <v>2415</v>
      </c>
      <c r="E3137" s="3" t="s">
        <v>7116</v>
      </c>
      <c r="F3137" s="3" t="s">
        <v>2406</v>
      </c>
      <c r="G3137" s="3" t="str">
        <f>IFERROR(__xludf.DUMMYFUNCTION("GOOGLETRANSLATE(D3137,""fr"",""es"")"),"imitas")</f>
        <v>imitas</v>
      </c>
    </row>
    <row r="3138">
      <c r="A3138" s="3">
        <v>590.0</v>
      </c>
      <c r="B3138" s="3" t="s">
        <v>6738</v>
      </c>
      <c r="C3138" s="3" t="s">
        <v>190</v>
      </c>
      <c r="D3138" s="3" t="s">
        <v>2413</v>
      </c>
      <c r="E3138" s="3" t="s">
        <v>7118</v>
      </c>
      <c r="F3138" s="3" t="s">
        <v>2415</v>
      </c>
      <c r="G3138" s="3" t="str">
        <f>IFERROR(__xludf.DUMMYFUNCTION("GOOGLETRANSLATE(D3138,""fr"",""es"")"),"imitasse")</f>
        <v>imitasse</v>
      </c>
    </row>
    <row r="3139">
      <c r="A3139" s="3">
        <v>591.0</v>
      </c>
      <c r="B3139" s="3" t="s">
        <v>6738</v>
      </c>
      <c r="C3139" s="3" t="s">
        <v>190</v>
      </c>
      <c r="D3139" s="3" t="s">
        <v>2416</v>
      </c>
      <c r="E3139" s="3" t="s">
        <v>7118</v>
      </c>
      <c r="F3139" s="3" t="s">
        <v>2415</v>
      </c>
      <c r="G3139" s="3" t="str">
        <f>IFERROR(__xludf.DUMMYFUNCTION("GOOGLETRANSLATE(D3139,""fr"",""es"")"),"imitarizar")</f>
        <v>imitarizar</v>
      </c>
    </row>
    <row r="3140">
      <c r="A3140" s="3">
        <v>592.0</v>
      </c>
      <c r="B3140" s="3" t="s">
        <v>6738</v>
      </c>
      <c r="C3140" s="3" t="s">
        <v>190</v>
      </c>
      <c r="D3140" s="3" t="s">
        <v>2417</v>
      </c>
      <c r="E3140" s="3" t="s">
        <v>7118</v>
      </c>
      <c r="F3140" s="3" t="s">
        <v>2415</v>
      </c>
      <c r="G3140" s="3" t="str">
        <f>IFERROR(__xludf.DUMMYFUNCTION("GOOGLETRANSLATE(D3140,""fr"",""es"")"),"imitas")</f>
        <v>imitas</v>
      </c>
    </row>
    <row r="3141">
      <c r="A3141" s="3">
        <v>593.0</v>
      </c>
      <c r="B3141" s="3" t="s">
        <v>6738</v>
      </c>
      <c r="C3141" s="3" t="s">
        <v>190</v>
      </c>
      <c r="D3141" s="3" t="s">
        <v>7119</v>
      </c>
      <c r="E3141" s="3" t="s">
        <v>7116</v>
      </c>
      <c r="F3141" s="3" t="s">
        <v>2406</v>
      </c>
      <c r="G3141" s="3" t="str">
        <f>IFERROR(__xludf.DUMMYFUNCTION("GOOGLETRANSLATE(D3141,""fr"",""es"")"),"imitar")</f>
        <v>imitar</v>
      </c>
    </row>
    <row r="3142">
      <c r="A3142" s="3">
        <v>594.0</v>
      </c>
      <c r="B3142" s="3" t="s">
        <v>6738</v>
      </c>
      <c r="C3142" s="3" t="s">
        <v>190</v>
      </c>
      <c r="D3142" s="3" t="s">
        <v>7120</v>
      </c>
      <c r="E3142" s="3" t="s">
        <v>7121</v>
      </c>
      <c r="F3142" s="3" t="s">
        <v>2420</v>
      </c>
      <c r="G3142" s="3" t="str">
        <f>IFERROR(__xludf.DUMMYFUNCTION("GOOGLETRANSLATE(D3142,""fr"",""es"")"),"inmerso")</f>
        <v>inmerso</v>
      </c>
    </row>
    <row r="3143">
      <c r="A3143" s="3">
        <v>595.0</v>
      </c>
      <c r="B3143" s="3" t="s">
        <v>6738</v>
      </c>
      <c r="C3143" s="3" t="s">
        <v>190</v>
      </c>
      <c r="D3143" s="3" t="s">
        <v>2424</v>
      </c>
      <c r="E3143" s="3" t="s">
        <v>7122</v>
      </c>
      <c r="F3143" s="3" t="s">
        <v>2426</v>
      </c>
      <c r="G3143" s="3" t="str">
        <f>IFERROR(__xludf.DUMMYFUNCTION("GOOGLETRANSLATE(D3143,""fr"",""es"")"),"inmerso")</f>
        <v>inmerso</v>
      </c>
    </row>
    <row r="3144">
      <c r="A3144" s="3">
        <v>596.0</v>
      </c>
      <c r="B3144" s="3" t="s">
        <v>6738</v>
      </c>
      <c r="C3144" s="3" t="s">
        <v>190</v>
      </c>
      <c r="D3144" s="3" t="s">
        <v>7123</v>
      </c>
      <c r="E3144" s="3" t="s">
        <v>7121</v>
      </c>
      <c r="F3144" s="3" t="s">
        <v>2420</v>
      </c>
      <c r="G3144" s="3" t="str">
        <f>IFERROR(__xludf.DUMMYFUNCTION("GOOGLETRANSLATE(D3144,""fr"",""es"")"),"imbids")</f>
        <v>imbids</v>
      </c>
    </row>
    <row r="3145">
      <c r="A3145" s="3">
        <v>597.0</v>
      </c>
      <c r="B3145" s="3" t="s">
        <v>6738</v>
      </c>
      <c r="C3145" s="3" t="s">
        <v>190</v>
      </c>
      <c r="D3145" s="3" t="s">
        <v>2427</v>
      </c>
      <c r="E3145" s="3" t="s">
        <v>7124</v>
      </c>
      <c r="F3145" s="3" t="s">
        <v>2429</v>
      </c>
      <c r="G3145" s="3" t="str">
        <f>IFERROR(__xludf.DUMMYFUNCTION("GOOGLETRANSLATE(D3145,""fr"",""es"")"),"imbids")</f>
        <v>imbids</v>
      </c>
    </row>
    <row r="3146">
      <c r="A3146" s="3">
        <v>598.0</v>
      </c>
      <c r="B3146" s="3" t="s">
        <v>6738</v>
      </c>
      <c r="C3146" s="3" t="s">
        <v>190</v>
      </c>
      <c r="D3146" s="3" t="s">
        <v>2430</v>
      </c>
      <c r="E3146" s="3" t="s">
        <v>7124</v>
      </c>
      <c r="F3146" s="3" t="s">
        <v>2429</v>
      </c>
      <c r="G3146" s="3" t="str">
        <f>IFERROR(__xludf.DUMMYFUNCTION("GOOGLETRANSLATE(D3146,""fr"",""es"")"),"Inmiscasa")</f>
        <v>Inmiscasa</v>
      </c>
    </row>
    <row r="3147">
      <c r="A3147" s="3">
        <v>599.0</v>
      </c>
      <c r="B3147" s="3" t="s">
        <v>6738</v>
      </c>
      <c r="C3147" s="3" t="s">
        <v>190</v>
      </c>
      <c r="D3147" s="3" t="s">
        <v>2431</v>
      </c>
      <c r="E3147" s="3" t="s">
        <v>7124</v>
      </c>
      <c r="F3147" s="3" t="s">
        <v>2429</v>
      </c>
      <c r="G3147" s="3" t="str">
        <f>IFERROR(__xludf.DUMMYFUNCTION("GOOGLETRANSLATE(D3147,""fr"",""es"")"),"inmisigencia")</f>
        <v>inmisigencia</v>
      </c>
    </row>
    <row r="3148">
      <c r="A3148" s="3">
        <v>600.0</v>
      </c>
      <c r="B3148" s="3" t="s">
        <v>6738</v>
      </c>
      <c r="C3148" s="3" t="s">
        <v>190</v>
      </c>
      <c r="D3148" s="3" t="s">
        <v>2432</v>
      </c>
      <c r="E3148" s="3" t="s">
        <v>7125</v>
      </c>
      <c r="F3148" s="3" t="s">
        <v>2420</v>
      </c>
      <c r="G3148" s="3" t="str">
        <f>IFERROR(__xludf.DUMMYFUNCTION("GOOGLETRANSLATE(D3148,""fr"",""es"")"),"inmerso")</f>
        <v>inmerso</v>
      </c>
    </row>
    <row r="3149">
      <c r="A3149" s="3">
        <v>601.0</v>
      </c>
      <c r="B3149" s="3" t="s">
        <v>6738</v>
      </c>
      <c r="C3149" s="3" t="s">
        <v>190</v>
      </c>
      <c r="D3149" s="3" t="s">
        <v>2434</v>
      </c>
      <c r="E3149" s="3" t="s">
        <v>7126</v>
      </c>
      <c r="F3149" s="3" t="s">
        <v>2436</v>
      </c>
      <c r="G3149" s="3" t="str">
        <f>IFERROR(__xludf.DUMMYFUNCTION("GOOGLETRANSLATE(D3149,""fr"",""es"")"),"inmiscencia")</f>
        <v>inmiscencia</v>
      </c>
    </row>
    <row r="3150">
      <c r="A3150" s="3">
        <v>602.0</v>
      </c>
      <c r="B3150" s="3" t="s">
        <v>6738</v>
      </c>
      <c r="C3150" s="3" t="s">
        <v>190</v>
      </c>
      <c r="D3150" s="3" t="s">
        <v>2437</v>
      </c>
      <c r="E3150" s="3" t="s">
        <v>7126</v>
      </c>
      <c r="F3150" s="3" t="s">
        <v>2436</v>
      </c>
      <c r="G3150" s="3" t="str">
        <f>IFERROR(__xludf.DUMMYFUNCTION("GOOGLETRANSLATE(D3150,""fr"",""es"")"),"interferir")</f>
        <v>interferir</v>
      </c>
    </row>
    <row r="3151">
      <c r="A3151" s="3">
        <v>603.0</v>
      </c>
      <c r="B3151" s="3" t="s">
        <v>6738</v>
      </c>
      <c r="C3151" s="3" t="s">
        <v>190</v>
      </c>
      <c r="D3151" s="3" t="s">
        <v>2438</v>
      </c>
      <c r="E3151" s="3" t="s">
        <v>7126</v>
      </c>
      <c r="F3151" s="3" t="s">
        <v>2436</v>
      </c>
      <c r="G3151" s="3" t="str">
        <f>IFERROR(__xludf.DUMMYFUNCTION("GOOGLETRANSLATE(D3151,""fr"",""es"")"),"inmersión")</f>
        <v>inmersión</v>
      </c>
    </row>
    <row r="3152">
      <c r="A3152" s="3">
        <v>604.0</v>
      </c>
      <c r="B3152" s="3" t="s">
        <v>6738</v>
      </c>
      <c r="C3152" s="3" t="s">
        <v>190</v>
      </c>
      <c r="D3152" s="3" t="s">
        <v>116</v>
      </c>
      <c r="E3152" s="3" t="s">
        <v>117</v>
      </c>
      <c r="F3152" s="3" t="s">
        <v>116</v>
      </c>
      <c r="G3152" s="3" t="str">
        <f>IFERROR(__xludf.DUMMYFUNCTION("GOOGLETRANSLATE(D3152,""fr"",""es"")"),"en")</f>
        <v>en</v>
      </c>
      <c r="H3152" s="3" t="s">
        <v>121</v>
      </c>
      <c r="I3152" s="3" t="s">
        <v>122</v>
      </c>
      <c r="J3152" s="3" t="s">
        <v>123</v>
      </c>
    </row>
    <row r="3153">
      <c r="A3153" s="3">
        <v>605.0</v>
      </c>
      <c r="B3153" s="3" t="s">
        <v>6738</v>
      </c>
      <c r="C3153" s="3" t="s">
        <v>190</v>
      </c>
      <c r="D3153" s="3" t="s">
        <v>7127</v>
      </c>
      <c r="E3153" s="3" t="s">
        <v>7128</v>
      </c>
      <c r="F3153" s="3" t="s">
        <v>7129</v>
      </c>
      <c r="G3153" s="3" t="str">
        <f>IFERROR(__xludf.DUMMYFUNCTION("GOOGLETRANSLATE(D3153,""fr"",""es"")"),"In. Ins")</f>
        <v>In. Ins</v>
      </c>
    </row>
    <row r="3154">
      <c r="A3154" s="3">
        <v>606.0</v>
      </c>
      <c r="B3154" s="3" t="s">
        <v>6738</v>
      </c>
      <c r="C3154" s="3" t="s">
        <v>190</v>
      </c>
      <c r="D3154" s="3" t="s">
        <v>2439</v>
      </c>
      <c r="E3154" s="3" t="s">
        <v>7130</v>
      </c>
      <c r="F3154" s="3" t="s">
        <v>2441</v>
      </c>
      <c r="G3154" s="3" t="str">
        <f>IFERROR(__xludf.DUMMYFUNCTION("GOOGLETRANSLATE(D3154,""fr"",""es"")"),"antipático")</f>
        <v>antipático</v>
      </c>
      <c r="H3154" s="3" t="s">
        <v>2442</v>
      </c>
      <c r="I3154" s="3" t="s">
        <v>1744</v>
      </c>
      <c r="J3154" s="3" t="s">
        <v>2442</v>
      </c>
      <c r="K3154" s="3" t="s">
        <v>2443</v>
      </c>
      <c r="L3154" s="3" t="s">
        <v>2444</v>
      </c>
      <c r="M3154" s="3" t="s">
        <v>2442</v>
      </c>
      <c r="N3154" s="3" t="s">
        <v>2442</v>
      </c>
      <c r="O3154" s="3" t="s">
        <v>2445</v>
      </c>
    </row>
    <row r="3155">
      <c r="A3155" s="3">
        <v>607.0</v>
      </c>
      <c r="B3155" s="3" t="s">
        <v>6738</v>
      </c>
      <c r="C3155" s="3" t="s">
        <v>190</v>
      </c>
      <c r="D3155" s="3" t="s">
        <v>2446</v>
      </c>
      <c r="E3155" s="3" t="s">
        <v>7130</v>
      </c>
      <c r="F3155" s="3" t="s">
        <v>2441</v>
      </c>
      <c r="G3155" s="3" t="str">
        <f>IFERROR(__xludf.DUMMYFUNCTION("GOOGLETRANSLATE(D3155,""fr"",""es"")"),"inamicial")</f>
        <v>inamicial</v>
      </c>
    </row>
    <row r="3156">
      <c r="A3156" s="3">
        <v>608.0</v>
      </c>
      <c r="B3156" s="3" t="s">
        <v>6738</v>
      </c>
      <c r="C3156" s="3" t="s">
        <v>190</v>
      </c>
      <c r="D3156" s="3" t="s">
        <v>2447</v>
      </c>
      <c r="E3156" s="3" t="s">
        <v>7130</v>
      </c>
      <c r="F3156" s="3" t="s">
        <v>2441</v>
      </c>
      <c r="G3156" s="3" t="str">
        <f>IFERROR(__xludf.DUMMYFUNCTION("GOOGLETRANSLATE(D3156,""fr"",""es"")"),"inamicial")</f>
        <v>inamicial</v>
      </c>
    </row>
    <row r="3157">
      <c r="A3157" s="3">
        <v>609.0</v>
      </c>
      <c r="B3157" s="3" t="s">
        <v>6738</v>
      </c>
      <c r="C3157" s="3" t="s">
        <v>190</v>
      </c>
      <c r="D3157" s="3" t="s">
        <v>7131</v>
      </c>
      <c r="E3157" s="3" t="s">
        <v>2455</v>
      </c>
      <c r="F3157" s="3" t="s">
        <v>2456</v>
      </c>
      <c r="G3157" s="3" t="str">
        <f>IFERROR(__xludf.DUMMYFUNCTION("GOOGLETRANSLATE(D3157,""fr"",""es"")"),"unhala")</f>
        <v>unhala</v>
      </c>
    </row>
    <row r="3158">
      <c r="A3158" s="3">
        <v>610.0</v>
      </c>
      <c r="B3158" s="3" t="s">
        <v>6738</v>
      </c>
      <c r="C3158" s="3" t="s">
        <v>190</v>
      </c>
      <c r="D3158" s="3" t="s">
        <v>2460</v>
      </c>
      <c r="E3158" s="3" t="s">
        <v>2461</v>
      </c>
      <c r="F3158" s="3" t="s">
        <v>2462</v>
      </c>
      <c r="G3158" s="3" t="str">
        <f>IFERROR(__xludf.DUMMYFUNCTION("GOOGLETRANSLATE(D3158,""fr"",""es"")"),"infelicidad")</f>
        <v>infelicidad</v>
      </c>
    </row>
    <row r="3159">
      <c r="A3159" s="3">
        <v>611.0</v>
      </c>
      <c r="B3159" s="3" t="s">
        <v>6738</v>
      </c>
      <c r="C3159" s="3" t="s">
        <v>190</v>
      </c>
      <c r="D3159" s="3" t="s">
        <v>7132</v>
      </c>
      <c r="E3159" s="3" t="s">
        <v>2455</v>
      </c>
      <c r="F3159" s="3" t="s">
        <v>2456</v>
      </c>
      <c r="G3159" s="3" t="str">
        <f>IFERROR(__xludf.DUMMYFUNCTION("GOOGLETRANSLATE(D3159,""fr"",""es"")"),"inhalas")</f>
        <v>inhalas</v>
      </c>
    </row>
    <row r="3160">
      <c r="A3160" s="3">
        <v>612.0</v>
      </c>
      <c r="B3160" s="3" t="s">
        <v>6738</v>
      </c>
      <c r="C3160" s="3" t="s">
        <v>190</v>
      </c>
      <c r="D3160" s="3" t="s">
        <v>2463</v>
      </c>
      <c r="E3160" s="3" t="s">
        <v>2464</v>
      </c>
      <c r="F3160" s="3" t="s">
        <v>2465</v>
      </c>
      <c r="G3160" s="3" t="str">
        <f>IFERROR(__xludf.DUMMYFUNCTION("GOOGLETRANSLATE(D3160,""fr"",""es"")"),"inhalar")</f>
        <v>inhalar</v>
      </c>
    </row>
    <row r="3161">
      <c r="A3161" s="3">
        <v>613.0</v>
      </c>
      <c r="B3161" s="3" t="s">
        <v>6738</v>
      </c>
      <c r="C3161" s="3" t="s">
        <v>190</v>
      </c>
      <c r="D3161" s="3" t="s">
        <v>2466</v>
      </c>
      <c r="E3161" s="3" t="s">
        <v>2464</v>
      </c>
      <c r="F3161" s="3" t="s">
        <v>2465</v>
      </c>
      <c r="G3161" s="3" t="str">
        <f>IFERROR(__xludf.DUMMYFUNCTION("GOOGLETRANSLATE(D3161,""fr"",""es"")"),"inhalar")</f>
        <v>inhalar</v>
      </c>
    </row>
    <row r="3162">
      <c r="A3162" s="3">
        <v>614.0</v>
      </c>
      <c r="B3162" s="3" t="s">
        <v>6738</v>
      </c>
      <c r="C3162" s="3" t="s">
        <v>190</v>
      </c>
      <c r="D3162" s="3" t="s">
        <v>2467</v>
      </c>
      <c r="E3162" s="3" t="s">
        <v>2464</v>
      </c>
      <c r="F3162" s="3" t="s">
        <v>2465</v>
      </c>
      <c r="G3162" s="3" t="str">
        <f>IFERROR(__xludf.DUMMYFUNCTION("GOOGLETRANSLATE(D3162,""fr"",""es"")"),"inhalar")</f>
        <v>inhalar</v>
      </c>
    </row>
    <row r="3163">
      <c r="A3163" s="3">
        <v>615.0</v>
      </c>
      <c r="B3163" s="3" t="s">
        <v>6738</v>
      </c>
      <c r="C3163" s="3" t="s">
        <v>190</v>
      </c>
      <c r="D3163" s="3" t="s">
        <v>7133</v>
      </c>
      <c r="E3163" s="3" t="s">
        <v>2455</v>
      </c>
      <c r="F3163" s="3" t="s">
        <v>2456</v>
      </c>
      <c r="G3163" s="3" t="str">
        <f>IFERROR(__xludf.DUMMYFUNCTION("GOOGLETRANSLATE(D3163,""fr"",""es"")"),"inhal")</f>
        <v>inhal</v>
      </c>
    </row>
    <row r="3164">
      <c r="A3164" s="3">
        <v>616.0</v>
      </c>
      <c r="B3164" s="3" t="s">
        <v>6738</v>
      </c>
      <c r="C3164" s="3" t="s">
        <v>190</v>
      </c>
      <c r="D3164" s="3" t="s">
        <v>2468</v>
      </c>
      <c r="E3164" s="3" t="s">
        <v>2469</v>
      </c>
      <c r="F3164" s="3" t="s">
        <v>2470</v>
      </c>
      <c r="G3164" s="3" t="str">
        <f>IFERROR(__xludf.DUMMYFUNCTION("GOOGLETRANSLATE(D3164,""fr"",""es"")"),"inhalar")</f>
        <v>inhalar</v>
      </c>
    </row>
    <row r="3165">
      <c r="A3165" s="3">
        <v>617.0</v>
      </c>
      <c r="B3165" s="3" t="s">
        <v>6738</v>
      </c>
      <c r="C3165" s="3" t="s">
        <v>190</v>
      </c>
      <c r="D3165" s="3" t="s">
        <v>2471</v>
      </c>
      <c r="E3165" s="3" t="s">
        <v>2469</v>
      </c>
      <c r="F3165" s="3" t="s">
        <v>2470</v>
      </c>
      <c r="G3165" s="3" t="str">
        <f>IFERROR(__xludf.DUMMYFUNCTION("GOOGLETRANSLATE(D3165,""fr"",""es"")"),"inhalar")</f>
        <v>inhalar</v>
      </c>
    </row>
    <row r="3166">
      <c r="A3166" s="3">
        <v>618.0</v>
      </c>
      <c r="B3166" s="3" t="s">
        <v>6738</v>
      </c>
      <c r="C3166" s="3" t="s">
        <v>190</v>
      </c>
      <c r="D3166" s="3" t="s">
        <v>2472</v>
      </c>
      <c r="E3166" s="3" t="s">
        <v>2469</v>
      </c>
      <c r="F3166" s="3" t="s">
        <v>2470</v>
      </c>
      <c r="G3166" s="3" t="str">
        <f>IFERROR(__xludf.DUMMYFUNCTION("GOOGLETRANSLATE(D3166,""fr"",""es"")"),"inhalación")</f>
        <v>inhalación</v>
      </c>
    </row>
    <row r="3167">
      <c r="A3167" s="3">
        <v>619.0</v>
      </c>
      <c r="B3167" s="3" t="s">
        <v>6738</v>
      </c>
      <c r="C3167" s="3" t="s">
        <v>190</v>
      </c>
      <c r="D3167" s="3" t="s">
        <v>2473</v>
      </c>
      <c r="E3167" s="3" t="s">
        <v>7134</v>
      </c>
      <c r="F3167" s="3" t="s">
        <v>2475</v>
      </c>
      <c r="G3167" s="3" t="str">
        <f>IFERROR(__xludf.DUMMYFUNCTION("GOOGLETRANSLATE(D3167,""fr"",""es"")"),"inicuo")</f>
        <v>inicuo</v>
      </c>
      <c r="H3167" s="3" t="s">
        <v>2476</v>
      </c>
      <c r="I3167" s="3" t="s">
        <v>2477</v>
      </c>
      <c r="J3167" s="3" t="s">
        <v>2478</v>
      </c>
    </row>
    <row r="3168">
      <c r="A3168" s="3">
        <v>620.0</v>
      </c>
      <c r="B3168" s="3" t="s">
        <v>6738</v>
      </c>
      <c r="C3168" s="3" t="s">
        <v>190</v>
      </c>
      <c r="D3168" s="3" t="s">
        <v>2479</v>
      </c>
      <c r="E3168" s="3" t="s">
        <v>7134</v>
      </c>
      <c r="F3168" s="3" t="s">
        <v>2475</v>
      </c>
      <c r="G3168" s="3" t="str">
        <f>IFERROR(__xludf.DUMMYFUNCTION("GOOGLETRANSLATE(D3168,""fr"",""es"")"),"barato")</f>
        <v>barato</v>
      </c>
    </row>
    <row r="3169">
      <c r="A3169" s="3">
        <v>621.0</v>
      </c>
      <c r="B3169" s="3" t="s">
        <v>6738</v>
      </c>
      <c r="C3169" s="3" t="s">
        <v>190</v>
      </c>
      <c r="D3169" s="3" t="s">
        <v>2480</v>
      </c>
      <c r="E3169" s="3" t="s">
        <v>7135</v>
      </c>
      <c r="F3169" s="3" t="s">
        <v>2482</v>
      </c>
      <c r="G3169" s="3" t="str">
        <f>IFERROR(__xludf.DUMMYFUNCTION("GOOGLETRANSLATE(D3169,""fr"",""es"")"),"iniciado")</f>
        <v>iniciado</v>
      </c>
    </row>
    <row r="3170">
      <c r="A3170" s="3">
        <v>622.0</v>
      </c>
      <c r="B3170" s="3" t="s">
        <v>6738</v>
      </c>
      <c r="C3170" s="3" t="s">
        <v>190</v>
      </c>
      <c r="D3170" s="3" t="s">
        <v>2483</v>
      </c>
      <c r="E3170" s="3" t="s">
        <v>7135</v>
      </c>
      <c r="F3170" s="3" t="s">
        <v>2482</v>
      </c>
      <c r="G3170" s="3" t="str">
        <f>IFERROR(__xludf.DUMMYFUNCTION("GOOGLETRANSLATE(D3170,""fr"",""es"")"),"iniciado")</f>
        <v>iniciado</v>
      </c>
    </row>
    <row r="3171">
      <c r="A3171" s="3">
        <v>623.0</v>
      </c>
      <c r="B3171" s="3" t="s">
        <v>6738</v>
      </c>
      <c r="C3171" s="3" t="s">
        <v>190</v>
      </c>
      <c r="D3171" s="3" t="s">
        <v>2484</v>
      </c>
      <c r="E3171" s="3" t="s">
        <v>7135</v>
      </c>
      <c r="F3171" s="3" t="s">
        <v>2482</v>
      </c>
      <c r="G3171" s="3" t="str">
        <f>IFERROR(__xludf.DUMMYFUNCTION("GOOGLETRANSLATE(D3171,""fr"",""es"")"),"inicia")</f>
        <v>inicia</v>
      </c>
    </row>
    <row r="3172">
      <c r="A3172" s="3">
        <v>624.0</v>
      </c>
      <c r="B3172" s="3" t="s">
        <v>6738</v>
      </c>
      <c r="C3172" s="3" t="s">
        <v>190</v>
      </c>
      <c r="D3172" s="3" t="s">
        <v>2490</v>
      </c>
      <c r="E3172" s="3" t="s">
        <v>2491</v>
      </c>
      <c r="F3172" s="3" t="s">
        <v>2492</v>
      </c>
      <c r="G3172" s="3" t="str">
        <f>IFERROR(__xludf.DUMMYFUNCTION("GOOGLETRANSLATE(D3172,""fr"",""es"")"),"Italia")</f>
        <v>Italia</v>
      </c>
      <c r="H3172" s="3" t="s">
        <v>2493</v>
      </c>
      <c r="I3172" s="3" t="s">
        <v>2494</v>
      </c>
      <c r="J3172" s="3" t="s">
        <v>2495</v>
      </c>
    </row>
    <row r="3173">
      <c r="A3173" s="3">
        <v>625.0</v>
      </c>
      <c r="B3173" s="3" t="s">
        <v>6738</v>
      </c>
      <c r="C3173" s="3" t="s">
        <v>190</v>
      </c>
      <c r="D3173" s="3" t="s">
        <v>2496</v>
      </c>
      <c r="E3173" s="3" t="s">
        <v>7136</v>
      </c>
      <c r="F3173" s="3" t="s">
        <v>2498</v>
      </c>
      <c r="G3173" s="3" t="str">
        <f>IFERROR(__xludf.DUMMYFUNCTION("GOOGLETRANSLATE(D3173,""fr"",""es"")"),"cursiva")</f>
        <v>cursiva</v>
      </c>
      <c r="H3173" s="3" t="s">
        <v>2499</v>
      </c>
      <c r="I3173" s="3" t="s">
        <v>2499</v>
      </c>
      <c r="J3173" s="3" t="s">
        <v>2499</v>
      </c>
    </row>
    <row r="3174">
      <c r="A3174" s="3">
        <v>626.0</v>
      </c>
      <c r="B3174" s="3" t="s">
        <v>6738</v>
      </c>
      <c r="C3174" s="3" t="s">
        <v>190</v>
      </c>
      <c r="D3174" s="3" t="s">
        <v>2500</v>
      </c>
      <c r="E3174" s="3" t="s">
        <v>7136</v>
      </c>
      <c r="F3174" s="3" t="s">
        <v>2498</v>
      </c>
      <c r="G3174" s="3" t="str">
        <f>IFERROR(__xludf.DUMMYFUNCTION("GOOGLETRANSLATE(D3174,""fr"",""es"")"),"cursiva")</f>
        <v>cursiva</v>
      </c>
    </row>
    <row r="3175">
      <c r="A3175" s="3">
        <v>627.0</v>
      </c>
      <c r="B3175" s="3" t="s">
        <v>6738</v>
      </c>
      <c r="C3175" s="3" t="s">
        <v>190</v>
      </c>
      <c r="D3175" s="3" t="s">
        <v>2505</v>
      </c>
      <c r="E3175" s="3" t="s">
        <v>2506</v>
      </c>
      <c r="F3175" s="3" t="s">
        <v>2507</v>
      </c>
      <c r="G3175" s="3" t="str">
        <f>IFERROR(__xludf.DUMMYFUNCTION("GOOGLETRANSLATE(D3175,""fr"",""es"")"),"itou")</f>
        <v>itou</v>
      </c>
      <c r="H3175" s="3" t="s">
        <v>2508</v>
      </c>
      <c r="I3175" s="3" t="s">
        <v>2509</v>
      </c>
      <c r="J3175" s="3" t="s">
        <v>2510</v>
      </c>
      <c r="K3175" s="3" t="s">
        <v>2511</v>
      </c>
      <c r="L3175" s="3" t="s">
        <v>2512</v>
      </c>
    </row>
    <row r="3176">
      <c r="A3176" s="3">
        <v>628.0</v>
      </c>
      <c r="B3176" s="3" t="s">
        <v>6738</v>
      </c>
      <c r="C3176" s="3" t="s">
        <v>190</v>
      </c>
      <c r="D3176" s="3" t="s">
        <v>3750</v>
      </c>
      <c r="E3176" s="3" t="s">
        <v>5376</v>
      </c>
      <c r="F3176" s="3" t="s">
        <v>5377</v>
      </c>
      <c r="G3176" s="3" t="str">
        <f>IFERROR(__xludf.DUMMYFUNCTION("GOOGLETRANSLATE(D3176,""fr"",""es"")"),"K")</f>
        <v>K</v>
      </c>
      <c r="H3176" s="3" t="s">
        <v>7137</v>
      </c>
      <c r="I3176" s="3" t="s">
        <v>7138</v>
      </c>
      <c r="J3176" s="3" t="s">
        <v>7139</v>
      </c>
      <c r="K3176" s="3" t="s">
        <v>7140</v>
      </c>
      <c r="L3176" s="3" t="s">
        <v>3750</v>
      </c>
      <c r="M3176" s="3" t="s">
        <v>7141</v>
      </c>
      <c r="N3176" s="3" t="s">
        <v>7140</v>
      </c>
      <c r="O3176" s="3" t="s">
        <v>3750</v>
      </c>
      <c r="P3176" s="3" t="s">
        <v>7141</v>
      </c>
    </row>
    <row r="3177">
      <c r="A3177" s="3">
        <v>629.0</v>
      </c>
      <c r="B3177" s="3" t="s">
        <v>6738</v>
      </c>
      <c r="C3177" s="3" t="s">
        <v>190</v>
      </c>
      <c r="D3177" s="3" t="s">
        <v>2513</v>
      </c>
      <c r="E3177" s="3" t="s">
        <v>2514</v>
      </c>
      <c r="F3177" s="3" t="s">
        <v>2513</v>
      </c>
      <c r="G3177" s="3" t="str">
        <f>IFERROR(__xludf.DUMMYFUNCTION("GOOGLETRANSLATE(D3177,""fr"",""es"")"),"caqui")</f>
        <v>caqui</v>
      </c>
      <c r="H3177" s="3" t="s">
        <v>2515</v>
      </c>
      <c r="I3177" s="3" t="s">
        <v>2515</v>
      </c>
      <c r="J3177" s="3" t="s">
        <v>2516</v>
      </c>
      <c r="K3177" s="3" t="s">
        <v>2516</v>
      </c>
      <c r="L3177" s="3" t="s">
        <v>2517</v>
      </c>
    </row>
    <row r="3178">
      <c r="A3178" s="3">
        <v>630.0</v>
      </c>
      <c r="B3178" s="3" t="s">
        <v>6738</v>
      </c>
      <c r="C3178" s="3" t="s">
        <v>190</v>
      </c>
      <c r="D3178" s="3" t="s">
        <v>2518</v>
      </c>
      <c r="E3178" s="3" t="s">
        <v>2514</v>
      </c>
      <c r="F3178" s="3" t="s">
        <v>2513</v>
      </c>
      <c r="G3178" s="3" t="str">
        <f>IFERROR(__xludf.DUMMYFUNCTION("GOOGLETRANSLATE(D3178,""fr"",""es"")"),"kakis")</f>
        <v>kakis</v>
      </c>
    </row>
    <row r="3179">
      <c r="A3179" s="3">
        <v>631.0</v>
      </c>
      <c r="B3179" s="3" t="s">
        <v>6738</v>
      </c>
      <c r="C3179" s="3" t="s">
        <v>190</v>
      </c>
      <c r="D3179" s="3" t="s">
        <v>1193</v>
      </c>
      <c r="E3179" s="3" t="s">
        <v>1192</v>
      </c>
      <c r="F3179" s="3" t="s">
        <v>1193</v>
      </c>
      <c r="G3179" s="3" t="str">
        <f>IFERROR(__xludf.DUMMYFUNCTION("GOOGLETRANSLATE(D3179,""fr"",""es"")"),"kanak")</f>
        <v>kanak</v>
      </c>
    </row>
    <row r="3180">
      <c r="A3180" s="3">
        <v>632.0</v>
      </c>
      <c r="B3180" s="3" t="s">
        <v>6738</v>
      </c>
      <c r="C3180" s="3" t="s">
        <v>190</v>
      </c>
      <c r="D3180" s="3" t="s">
        <v>2519</v>
      </c>
      <c r="E3180" s="3" t="s">
        <v>2520</v>
      </c>
      <c r="F3180" s="3" t="s">
        <v>2519</v>
      </c>
      <c r="G3180" s="3" t="str">
        <f>IFERROR(__xludf.DUMMYFUNCTION("GOOGLETRANSLATE(D3180,""fr"",""es"")"),"kayac")</f>
        <v>kayac</v>
      </c>
      <c r="H3180" s="3" t="s">
        <v>2519</v>
      </c>
      <c r="I3180" s="3" t="s">
        <v>2521</v>
      </c>
      <c r="J3180" s="3" t="s">
        <v>2519</v>
      </c>
    </row>
    <row r="3181">
      <c r="A3181" s="3">
        <v>633.0</v>
      </c>
      <c r="B3181" s="3" t="s">
        <v>6738</v>
      </c>
      <c r="C3181" s="3" t="s">
        <v>190</v>
      </c>
      <c r="D3181" s="3" t="s">
        <v>2522</v>
      </c>
      <c r="E3181" s="3" t="s">
        <v>2520</v>
      </c>
      <c r="F3181" s="3" t="s">
        <v>2519</v>
      </c>
      <c r="G3181" s="3" t="str">
        <f>IFERROR(__xludf.DUMMYFUNCTION("GOOGLETRANSLATE(D3181,""fr"",""es"")"),"kayaks")</f>
        <v>kayaks</v>
      </c>
    </row>
    <row r="3182">
      <c r="A3182" s="3">
        <v>634.0</v>
      </c>
      <c r="B3182" s="3" t="s">
        <v>6738</v>
      </c>
      <c r="C3182" s="3" t="s">
        <v>190</v>
      </c>
      <c r="D3182" s="3" t="s">
        <v>2523</v>
      </c>
      <c r="E3182" s="3" t="s">
        <v>1018</v>
      </c>
      <c r="F3182" s="3" t="s">
        <v>1019</v>
      </c>
      <c r="G3182" s="3" t="str">
        <f>IFERROR(__xludf.DUMMYFUNCTION("GOOGLETRANSLATE(D3182,""fr"",""es"")"),"khâgne")</f>
        <v>khâgne</v>
      </c>
    </row>
    <row r="3183">
      <c r="A3183" s="3">
        <v>635.0</v>
      </c>
      <c r="B3183" s="3" t="s">
        <v>6738</v>
      </c>
      <c r="C3183" s="3" t="s">
        <v>190</v>
      </c>
      <c r="D3183" s="3" t="s">
        <v>2524</v>
      </c>
      <c r="E3183" s="3" t="s">
        <v>1018</v>
      </c>
      <c r="F3183" s="3" t="s">
        <v>1019</v>
      </c>
      <c r="G3183" s="3" t="str">
        <f>IFERROR(__xludf.DUMMYFUNCTION("GOOGLETRANSLATE(D3183,""fr"",""es"")"),"Khâgnes")</f>
        <v>Khâgnes</v>
      </c>
    </row>
    <row r="3184">
      <c r="A3184" s="3">
        <v>636.0</v>
      </c>
      <c r="B3184" s="3" t="s">
        <v>6738</v>
      </c>
      <c r="C3184" s="3" t="s">
        <v>190</v>
      </c>
      <c r="D3184" s="3" t="s">
        <v>2525</v>
      </c>
      <c r="E3184" s="3" t="s">
        <v>7142</v>
      </c>
      <c r="F3184" s="3" t="s">
        <v>2525</v>
      </c>
      <c r="G3184" s="3" t="str">
        <f>IFERROR(__xludf.DUMMYFUNCTION("GOOGLETRANSLATE(D3184,""fr"",""es"")"),"kiki")</f>
        <v>kiki</v>
      </c>
    </row>
    <row r="3185">
      <c r="A3185" s="3">
        <v>637.0</v>
      </c>
      <c r="B3185" s="3" t="s">
        <v>6738</v>
      </c>
      <c r="C3185" s="3" t="s">
        <v>190</v>
      </c>
      <c r="D3185" s="3" t="s">
        <v>2527</v>
      </c>
      <c r="E3185" s="3" t="s">
        <v>7142</v>
      </c>
      <c r="F3185" s="3" t="s">
        <v>2525</v>
      </c>
      <c r="G3185" s="3" t="str">
        <f>IFERROR(__xludf.DUMMYFUNCTION("GOOGLETRANSLATE(D3185,""fr"",""es"")"),"kikis")</f>
        <v>kikis</v>
      </c>
    </row>
    <row r="3186">
      <c r="A3186" s="3">
        <v>638.0</v>
      </c>
      <c r="B3186" s="3" t="s">
        <v>6738</v>
      </c>
      <c r="C3186" s="3" t="s">
        <v>190</v>
      </c>
      <c r="D3186" s="3" t="s">
        <v>2528</v>
      </c>
      <c r="E3186" s="3" t="s">
        <v>7143</v>
      </c>
      <c r="F3186" s="3" t="s">
        <v>2528</v>
      </c>
      <c r="G3186" s="3" t="str">
        <f>IFERROR(__xludf.DUMMYFUNCTION("GOOGLETRANSLATE(D3186,""fr"",""es"")"),"kil")</f>
        <v>kil</v>
      </c>
    </row>
    <row r="3187">
      <c r="A3187" s="3">
        <v>639.0</v>
      </c>
      <c r="B3187" s="3" t="s">
        <v>6738</v>
      </c>
      <c r="C3187" s="3" t="s">
        <v>190</v>
      </c>
      <c r="D3187" s="3" t="s">
        <v>2530</v>
      </c>
      <c r="E3187" s="3" t="s">
        <v>7143</v>
      </c>
      <c r="F3187" s="3" t="s">
        <v>2528</v>
      </c>
      <c r="G3187" s="3" t="str">
        <f>IFERROR(__xludf.DUMMYFUNCTION("GOOGLETRANSLATE(D3187,""fr"",""es"")"),"kils")</f>
        <v>kils</v>
      </c>
    </row>
    <row r="3188">
      <c r="A3188" s="3">
        <v>640.0</v>
      </c>
      <c r="B3188" s="3" t="s">
        <v>6738</v>
      </c>
      <c r="C3188" s="3" t="s">
        <v>190</v>
      </c>
      <c r="D3188" s="3" t="s">
        <v>7144</v>
      </c>
      <c r="E3188" s="3" t="s">
        <v>7145</v>
      </c>
      <c r="F3188" s="3" t="s">
        <v>7146</v>
      </c>
      <c r="G3188" s="3" t="str">
        <f>IFERROR(__xludf.DUMMYFUNCTION("GOOGLETRANSLATE(D3188,""fr"",""es"")"),"kippa")</f>
        <v>kippa</v>
      </c>
      <c r="H3188" s="3" t="s">
        <v>7147</v>
      </c>
      <c r="I3188" s="3" t="s">
        <v>7148</v>
      </c>
      <c r="J3188" s="3" t="s">
        <v>7149</v>
      </c>
      <c r="K3188" s="3" t="s">
        <v>7150</v>
      </c>
    </row>
    <row r="3189">
      <c r="A3189" s="3">
        <v>641.0</v>
      </c>
      <c r="B3189" s="3" t="s">
        <v>6738</v>
      </c>
      <c r="C3189" s="3" t="s">
        <v>190</v>
      </c>
      <c r="D3189" s="3" t="s">
        <v>2537</v>
      </c>
      <c r="E3189" s="3" t="s">
        <v>2538</v>
      </c>
      <c r="F3189" s="3" t="s">
        <v>2539</v>
      </c>
      <c r="G3189" s="3" t="str">
        <f>IFERROR(__xludf.DUMMYFUNCTION("GOOGLETRANSLATE(D3189,""fr"",""es"")"),"YO'")</f>
        <v>YO'</v>
      </c>
    </row>
    <row r="3190">
      <c r="A3190" s="3">
        <v>642.0</v>
      </c>
      <c r="B3190" s="3" t="s">
        <v>6738</v>
      </c>
      <c r="C3190" s="3" t="s">
        <v>190</v>
      </c>
      <c r="D3190" s="3" t="s">
        <v>2540</v>
      </c>
      <c r="E3190" s="3" t="s">
        <v>2541</v>
      </c>
      <c r="F3190" s="3" t="s">
        <v>2540</v>
      </c>
      <c r="G3190" s="3" t="str">
        <f>IFERROR(__xludf.DUMMYFUNCTION("GOOGLETRANSLATE(D3190,""fr"",""es"")"),"la")</f>
        <v>la</v>
      </c>
      <c r="H3190" s="3" t="s">
        <v>2542</v>
      </c>
      <c r="I3190" s="3" t="s">
        <v>2542</v>
      </c>
      <c r="J3190" s="3" t="s">
        <v>2543</v>
      </c>
      <c r="K3190" s="3" t="s">
        <v>2540</v>
      </c>
      <c r="L3190" s="3" t="s">
        <v>2544</v>
      </c>
      <c r="M3190" s="3" t="s">
        <v>2540</v>
      </c>
      <c r="N3190" s="3" t="s">
        <v>2544</v>
      </c>
      <c r="O3190" s="3" t="s">
        <v>2545</v>
      </c>
      <c r="P3190" s="3" t="s">
        <v>2546</v>
      </c>
      <c r="Q3190" s="3" t="s">
        <v>2547</v>
      </c>
      <c r="R3190" s="3" t="s">
        <v>2548</v>
      </c>
      <c r="S3190" s="3" t="s">
        <v>2549</v>
      </c>
      <c r="T3190" s="3" t="s">
        <v>2550</v>
      </c>
      <c r="U3190" s="3" t="s">
        <v>2548</v>
      </c>
      <c r="V3190" s="3" t="s">
        <v>2549</v>
      </c>
      <c r="W3190" s="3" t="s">
        <v>2550</v>
      </c>
      <c r="X3190" s="3" t="s">
        <v>2548</v>
      </c>
      <c r="Y3190" s="3" t="s">
        <v>2549</v>
      </c>
      <c r="Z3190" s="3" t="s">
        <v>2550</v>
      </c>
    </row>
    <row r="3191">
      <c r="A3191" s="3">
        <v>643.0</v>
      </c>
      <c r="B3191" s="3" t="s">
        <v>6738</v>
      </c>
      <c r="C3191" s="3" t="s">
        <v>190</v>
      </c>
      <c r="D3191" s="3" t="s">
        <v>7151</v>
      </c>
      <c r="E3191" s="3" t="s">
        <v>2541</v>
      </c>
      <c r="F3191" s="3" t="s">
        <v>2540</v>
      </c>
      <c r="G3191" s="3" t="str">
        <f>IFERROR(__xludf.DUMMYFUNCTION("GOOGLETRANSLATE(D3191,""fr"",""es"")"),"la")</f>
        <v>la</v>
      </c>
      <c r="H3191" s="3" t="s">
        <v>7152</v>
      </c>
      <c r="I3191" s="3" t="s">
        <v>7153</v>
      </c>
      <c r="J3191" s="3" t="s">
        <v>7154</v>
      </c>
      <c r="K3191" s="3" t="s">
        <v>7155</v>
      </c>
      <c r="L3191" s="3" t="s">
        <v>7156</v>
      </c>
      <c r="M3191" s="3" t="s">
        <v>7157</v>
      </c>
      <c r="N3191" s="3" t="s">
        <v>7155</v>
      </c>
      <c r="O3191" s="3" t="s">
        <v>7158</v>
      </c>
      <c r="P3191" s="3" t="s">
        <v>7155</v>
      </c>
      <c r="Q3191" s="3" t="s">
        <v>7159</v>
      </c>
      <c r="R3191" s="3" t="s">
        <v>7160</v>
      </c>
      <c r="S3191" s="3" t="s">
        <v>7155</v>
      </c>
    </row>
    <row r="3192">
      <c r="A3192" s="3">
        <v>644.0</v>
      </c>
      <c r="B3192" s="3" t="s">
        <v>6738</v>
      </c>
      <c r="C3192" s="3" t="s">
        <v>190</v>
      </c>
      <c r="D3192" s="3" t="s">
        <v>2551</v>
      </c>
      <c r="E3192" s="3" t="s">
        <v>7161</v>
      </c>
      <c r="F3192" s="3" t="s">
        <v>2553</v>
      </c>
      <c r="G3192" s="3" t="str">
        <f>IFERROR(__xludf.DUMMYFUNCTION("GOOGLETRANSLATE(D3192,""fr"",""es"")"),"El palice")</f>
        <v>El palice</v>
      </c>
    </row>
    <row r="3193">
      <c r="A3193" s="3">
        <v>645.0</v>
      </c>
      <c r="B3193" s="3" t="s">
        <v>6738</v>
      </c>
      <c r="C3193" s="3" t="s">
        <v>190</v>
      </c>
      <c r="D3193" s="3" t="s">
        <v>2554</v>
      </c>
      <c r="E3193" s="3" t="s">
        <v>2555</v>
      </c>
      <c r="F3193" s="3" t="s">
        <v>2556</v>
      </c>
      <c r="G3193" s="3" t="str">
        <f>IFERROR(__xludf.DUMMYFUNCTION("GOOGLETRANSLATE(D3193,""fr"",""es"")"),"lago")</f>
        <v>lago</v>
      </c>
      <c r="H3193" s="3" t="s">
        <v>2557</v>
      </c>
      <c r="I3193" s="3" t="s">
        <v>2558</v>
      </c>
      <c r="J3193" s="3" t="s">
        <v>2559</v>
      </c>
      <c r="K3193" s="3" t="s">
        <v>2554</v>
      </c>
      <c r="L3193" s="3" t="s">
        <v>2557</v>
      </c>
      <c r="M3193" s="3" t="s">
        <v>2557</v>
      </c>
    </row>
    <row r="3194">
      <c r="A3194" s="3">
        <v>646.0</v>
      </c>
      <c r="B3194" s="3" t="s">
        <v>6738</v>
      </c>
      <c r="C3194" s="3" t="s">
        <v>190</v>
      </c>
      <c r="D3194" s="3" t="s">
        <v>7162</v>
      </c>
      <c r="E3194" s="3" t="s">
        <v>2561</v>
      </c>
      <c r="F3194" s="3" t="s">
        <v>2562</v>
      </c>
      <c r="G3194" s="3" t="str">
        <f>IFERROR(__xludf.DUMMYFUNCTION("GOOGLETRANSLATE(D3194,""fr"",""es"")"),"C.A.")</f>
        <v>C.A.</v>
      </c>
    </row>
    <row r="3195">
      <c r="A3195" s="3">
        <v>647.0</v>
      </c>
      <c r="B3195" s="3" t="s">
        <v>6738</v>
      </c>
      <c r="C3195" s="3" t="s">
        <v>190</v>
      </c>
      <c r="D3195" s="3" t="s">
        <v>2566</v>
      </c>
      <c r="E3195" s="3" t="s">
        <v>2567</v>
      </c>
      <c r="F3195" s="3" t="s">
        <v>2568</v>
      </c>
      <c r="G3195" s="3" t="str">
        <f>IFERROR(__xludf.DUMMYFUNCTION("GOOGLETRANSLATE(D3195,""fr"",""es"")"),"Laçon")</f>
        <v>Laçon</v>
      </c>
    </row>
    <row r="3196">
      <c r="A3196" s="3">
        <v>648.0</v>
      </c>
      <c r="B3196" s="3" t="s">
        <v>6738</v>
      </c>
      <c r="C3196" s="3" t="s">
        <v>190</v>
      </c>
      <c r="D3196" s="3" t="s">
        <v>7163</v>
      </c>
      <c r="E3196" s="3" t="s">
        <v>2561</v>
      </c>
      <c r="F3196" s="3" t="s">
        <v>2562</v>
      </c>
      <c r="G3196" s="3" t="str">
        <f>IFERROR(__xludf.DUMMYFUNCTION("GOOGLETRANSLATE(D3196,""fr"",""es"")"),"el caso")</f>
        <v>el caso</v>
      </c>
    </row>
    <row r="3197">
      <c r="A3197" s="3">
        <v>649.0</v>
      </c>
      <c r="B3197" s="3" t="s">
        <v>6738</v>
      </c>
      <c r="C3197" s="3" t="s">
        <v>190</v>
      </c>
      <c r="D3197" s="3" t="s">
        <v>2569</v>
      </c>
      <c r="E3197" s="3" t="s">
        <v>2570</v>
      </c>
      <c r="F3197" s="3" t="s">
        <v>2571</v>
      </c>
      <c r="G3197" s="3" t="str">
        <f>IFERROR(__xludf.DUMMYFUNCTION("GOOGLETRANSLATE(D3197,""fr"",""es"")"),"la caja")</f>
        <v>la caja</v>
      </c>
    </row>
    <row r="3198">
      <c r="A3198" s="3">
        <v>650.0</v>
      </c>
      <c r="B3198" s="3" t="s">
        <v>6738</v>
      </c>
      <c r="C3198" s="3" t="s">
        <v>190</v>
      </c>
      <c r="D3198" s="3" t="s">
        <v>2572</v>
      </c>
      <c r="E3198" s="3" t="s">
        <v>2570</v>
      </c>
      <c r="F3198" s="3" t="s">
        <v>2571</v>
      </c>
      <c r="G3198" s="3" t="str">
        <f>IFERROR(__xludf.DUMMYFUNCTION("GOOGLETRANSLATE(D3198,""fr"",""es"")"),"establecido")</f>
        <v>establecido</v>
      </c>
    </row>
    <row r="3199">
      <c r="A3199" s="3">
        <v>651.0</v>
      </c>
      <c r="B3199" s="3" t="s">
        <v>6738</v>
      </c>
      <c r="C3199" s="3" t="s">
        <v>190</v>
      </c>
      <c r="D3199" s="3" t="s">
        <v>2573</v>
      </c>
      <c r="E3199" s="3" t="s">
        <v>2570</v>
      </c>
      <c r="F3199" s="3" t="s">
        <v>2571</v>
      </c>
      <c r="G3199" s="3" t="str">
        <f>IFERROR(__xludf.DUMMYFUNCTION("GOOGLETRANSLATE(D3199,""fr"",""es"")"),"Laçonasses")</f>
        <v>Laçonasses</v>
      </c>
    </row>
    <row r="3200">
      <c r="A3200" s="3">
        <v>652.0</v>
      </c>
      <c r="B3200" s="3" t="s">
        <v>6738</v>
      </c>
      <c r="C3200" s="3" t="s">
        <v>190</v>
      </c>
      <c r="D3200" s="3" t="s">
        <v>2574</v>
      </c>
      <c r="E3200" s="3" t="s">
        <v>2575</v>
      </c>
      <c r="F3200" s="3" t="s">
        <v>2562</v>
      </c>
      <c r="G3200" s="3" t="str">
        <f>IFERROR(__xludf.DUMMYFUNCTION("GOOGLETRANSLATE(D3200,""fr"",""es"")"),"Laçon")</f>
        <v>Laçon</v>
      </c>
    </row>
    <row r="3201">
      <c r="A3201" s="3">
        <v>653.0</v>
      </c>
      <c r="B3201" s="3" t="s">
        <v>6738</v>
      </c>
      <c r="C3201" s="3" t="s">
        <v>190</v>
      </c>
      <c r="D3201" s="3" t="s">
        <v>2576</v>
      </c>
      <c r="E3201" s="3" t="s">
        <v>2577</v>
      </c>
      <c r="F3201" s="3" t="s">
        <v>2578</v>
      </c>
      <c r="G3201" s="3" t="str">
        <f>IFERROR(__xludf.DUMMYFUNCTION("GOOGLETRANSLATE(D3201,""fr"",""es"")"),"cordón")</f>
        <v>cordón</v>
      </c>
    </row>
    <row r="3202">
      <c r="A3202" s="3">
        <v>654.0</v>
      </c>
      <c r="B3202" s="3" t="s">
        <v>6738</v>
      </c>
      <c r="C3202" s="3" t="s">
        <v>190</v>
      </c>
      <c r="D3202" s="3" t="s">
        <v>2579</v>
      </c>
      <c r="E3202" s="3" t="s">
        <v>2577</v>
      </c>
      <c r="F3202" s="3" t="s">
        <v>2578</v>
      </c>
      <c r="G3202" s="3" t="str">
        <f>IFERROR(__xludf.DUMMYFUNCTION("GOOGLETRANSLATE(D3202,""fr"",""es"")"),"lacente")</f>
        <v>lacente</v>
      </c>
    </row>
    <row r="3203">
      <c r="A3203" s="3">
        <v>655.0</v>
      </c>
      <c r="B3203" s="3" t="s">
        <v>6738</v>
      </c>
      <c r="C3203" s="3" t="s">
        <v>190</v>
      </c>
      <c r="D3203" s="3" t="s">
        <v>2580</v>
      </c>
      <c r="E3203" s="3" t="s">
        <v>2577</v>
      </c>
      <c r="F3203" s="3" t="s">
        <v>2578</v>
      </c>
      <c r="G3203" s="3" t="str">
        <f>IFERROR(__xludf.DUMMYFUNCTION("GOOGLETRANSLATE(D3203,""fr"",""es"")"),"cordones")</f>
        <v>cordones</v>
      </c>
    </row>
    <row r="3204">
      <c r="A3204" s="3">
        <v>656.0</v>
      </c>
      <c r="B3204" s="3" t="s">
        <v>6738</v>
      </c>
      <c r="C3204" s="3" t="s">
        <v>190</v>
      </c>
      <c r="D3204" s="3" t="s">
        <v>7164</v>
      </c>
      <c r="E3204" s="3" t="s">
        <v>2585</v>
      </c>
      <c r="F3204" s="3" t="s">
        <v>2586</v>
      </c>
      <c r="G3204" s="3" t="str">
        <f>IFERROR(__xludf.DUMMYFUNCTION("GOOGLETRANSLATE(D3204,""fr"",""es"")"),"Déjalo ir")</f>
        <v>Déjalo ir</v>
      </c>
    </row>
    <row r="3205">
      <c r="A3205" s="3">
        <v>657.0</v>
      </c>
      <c r="B3205" s="3" t="s">
        <v>6738</v>
      </c>
      <c r="C3205" s="3" t="s">
        <v>190</v>
      </c>
      <c r="D3205" s="3" t="s">
        <v>2590</v>
      </c>
      <c r="E3205" s="3" t="s">
        <v>2591</v>
      </c>
      <c r="F3205" s="3" t="s">
        <v>2592</v>
      </c>
      <c r="G3205" s="3" t="str">
        <f>IFERROR(__xludf.DUMMYFUNCTION("GOOGLETRANSLATE(D3205,""fr"",""es"")"),"Lâchâme")</f>
        <v>Lâchâme</v>
      </c>
    </row>
    <row r="3206">
      <c r="A3206" s="3">
        <v>658.0</v>
      </c>
      <c r="B3206" s="3" t="s">
        <v>6738</v>
      </c>
      <c r="C3206" s="3" t="s">
        <v>190</v>
      </c>
      <c r="D3206" s="3" t="s">
        <v>7165</v>
      </c>
      <c r="E3206" s="3" t="s">
        <v>2585</v>
      </c>
      <c r="F3206" s="3" t="s">
        <v>2586</v>
      </c>
      <c r="G3206" s="3" t="str">
        <f>IFERROR(__xludf.DUMMYFUNCTION("GOOGLETRANSLATE(D3206,""fr"",""es"")"),"Déjalo ir")</f>
        <v>Déjalo ir</v>
      </c>
    </row>
    <row r="3207">
      <c r="A3207" s="3">
        <v>659.0</v>
      </c>
      <c r="B3207" s="3" t="s">
        <v>6738</v>
      </c>
      <c r="C3207" s="3" t="s">
        <v>190</v>
      </c>
      <c r="D3207" s="3" t="s">
        <v>2593</v>
      </c>
      <c r="E3207" s="3" t="s">
        <v>2594</v>
      </c>
      <c r="F3207" s="3" t="s">
        <v>2595</v>
      </c>
      <c r="G3207" s="3" t="str">
        <f>IFERROR(__xludf.DUMMYFUNCTION("GOOGLETRANSLATE(D3207,""fr"",""es"")"),"la caza")</f>
        <v>la caza</v>
      </c>
    </row>
    <row r="3208">
      <c r="A3208" s="3">
        <v>660.0</v>
      </c>
      <c r="B3208" s="3" t="s">
        <v>6738</v>
      </c>
      <c r="C3208" s="3" t="s">
        <v>190</v>
      </c>
      <c r="D3208" s="3" t="s">
        <v>2596</v>
      </c>
      <c r="E3208" s="3" t="s">
        <v>2594</v>
      </c>
      <c r="F3208" s="3" t="s">
        <v>2595</v>
      </c>
      <c r="G3208" s="3" t="str">
        <f>IFERROR(__xludf.DUMMYFUNCTION("GOOGLETRANSLATE(D3208,""fr"",""es"")"),"Déjalo ir")</f>
        <v>Déjalo ir</v>
      </c>
    </row>
    <row r="3209">
      <c r="A3209" s="3">
        <v>661.0</v>
      </c>
      <c r="B3209" s="3" t="s">
        <v>6738</v>
      </c>
      <c r="C3209" s="3" t="s">
        <v>190</v>
      </c>
      <c r="D3209" s="3" t="s">
        <v>2597</v>
      </c>
      <c r="E3209" s="3" t="s">
        <v>2594</v>
      </c>
      <c r="F3209" s="3" t="s">
        <v>2595</v>
      </c>
      <c r="G3209" s="3" t="str">
        <f>IFERROR(__xludf.DUMMYFUNCTION("GOOGLETRANSLATE(D3209,""fr"",""es"")"),"liberado")</f>
        <v>liberado</v>
      </c>
    </row>
    <row r="3210">
      <c r="A3210" s="3">
        <v>662.0</v>
      </c>
      <c r="B3210" s="3" t="s">
        <v>6738</v>
      </c>
      <c r="C3210" s="3" t="s">
        <v>190</v>
      </c>
      <c r="D3210" s="3" t="s">
        <v>7166</v>
      </c>
      <c r="E3210" s="3" t="s">
        <v>2585</v>
      </c>
      <c r="F3210" s="3" t="s">
        <v>2586</v>
      </c>
      <c r="G3210" s="3" t="str">
        <f>IFERROR(__xludf.DUMMYFUNCTION("GOOGLETRANSLATE(D3210,""fr"",""es"")"),"obtención")</f>
        <v>obtención</v>
      </c>
    </row>
    <row r="3211">
      <c r="A3211" s="3">
        <v>663.0</v>
      </c>
      <c r="B3211" s="3" t="s">
        <v>6738</v>
      </c>
      <c r="C3211" s="3" t="s">
        <v>190</v>
      </c>
      <c r="D3211" s="3" t="s">
        <v>2598</v>
      </c>
      <c r="E3211" s="3" t="s">
        <v>2599</v>
      </c>
      <c r="F3211" s="3" t="s">
        <v>1920</v>
      </c>
      <c r="G3211" s="3" t="str">
        <f>IFERROR(__xludf.DUMMYFUNCTION("GOOGLETRANSLATE(D3211,""fr"",""es"")"),"cobardemente")</f>
        <v>cobardemente</v>
      </c>
      <c r="H3211" s="3" t="s">
        <v>2600</v>
      </c>
      <c r="I3211" s="3" t="s">
        <v>2601</v>
      </c>
      <c r="J3211" s="3" t="s">
        <v>2602</v>
      </c>
      <c r="K3211" s="3" t="s">
        <v>2603</v>
      </c>
      <c r="L3211" s="3" t="s">
        <v>2604</v>
      </c>
      <c r="M3211" s="3" t="s">
        <v>2605</v>
      </c>
      <c r="N3211" s="3" t="s">
        <v>2606</v>
      </c>
      <c r="O3211" s="3" t="s">
        <v>2607</v>
      </c>
      <c r="P3211" s="3" t="s">
        <v>2608</v>
      </c>
      <c r="Q3211" s="3" t="s">
        <v>2609</v>
      </c>
      <c r="R3211" s="3" t="s">
        <v>2610</v>
      </c>
      <c r="S3211" s="3" t="s">
        <v>2611</v>
      </c>
      <c r="T3211" s="3" t="s">
        <v>2612</v>
      </c>
      <c r="U3211" s="3" t="s">
        <v>2613</v>
      </c>
      <c r="V3211" s="3" t="s">
        <v>2614</v>
      </c>
      <c r="W3211" s="3" t="s">
        <v>2615</v>
      </c>
      <c r="X3211" s="3" t="s">
        <v>2616</v>
      </c>
      <c r="Y3211" s="3" t="s">
        <v>2617</v>
      </c>
    </row>
    <row r="3212">
      <c r="A3212" s="3">
        <v>664.0</v>
      </c>
      <c r="B3212" s="3" t="s">
        <v>6738</v>
      </c>
      <c r="C3212" s="3" t="s">
        <v>190</v>
      </c>
      <c r="D3212" s="3" t="s">
        <v>2618</v>
      </c>
      <c r="E3212" s="3" t="s">
        <v>2599</v>
      </c>
      <c r="F3212" s="3" t="s">
        <v>1920</v>
      </c>
      <c r="G3212" s="3" t="str">
        <f>IFERROR(__xludf.DUMMYFUNCTION("GOOGLETRANSLATE(D3212,""fr"",""es"")"),"Déjalo ir")</f>
        <v>Déjalo ir</v>
      </c>
    </row>
    <row r="3213">
      <c r="A3213" s="3">
        <v>665.0</v>
      </c>
      <c r="B3213" s="3" t="s">
        <v>6738</v>
      </c>
      <c r="C3213" s="3" t="s">
        <v>190</v>
      </c>
      <c r="D3213" s="3" t="s">
        <v>2619</v>
      </c>
      <c r="E3213" s="3" t="s">
        <v>2599</v>
      </c>
      <c r="F3213" s="3" t="s">
        <v>1920</v>
      </c>
      <c r="G3213" s="3" t="str">
        <f>IFERROR(__xludf.DUMMYFUNCTION("GOOGLETRANSLATE(D3213,""fr"",""es"")"),"cobardemente")</f>
        <v>cobardemente</v>
      </c>
    </row>
    <row r="3214">
      <c r="A3214" s="3">
        <v>666.0</v>
      </c>
      <c r="B3214" s="3" t="s">
        <v>6738</v>
      </c>
      <c r="C3214" s="3" t="s">
        <v>190</v>
      </c>
      <c r="D3214" s="3" t="s">
        <v>2620</v>
      </c>
      <c r="E3214" s="3" t="s">
        <v>2621</v>
      </c>
      <c r="F3214" s="3" t="s">
        <v>2622</v>
      </c>
      <c r="G3214" s="3" t="str">
        <f>IFERROR(__xludf.DUMMYFUNCTION("GOOGLETRANSLATE(D3214,""fr"",""es"")"),"lacis")</f>
        <v>lacis</v>
      </c>
    </row>
    <row r="3215">
      <c r="A3215" s="3">
        <v>667.0</v>
      </c>
      <c r="B3215" s="3" t="s">
        <v>6738</v>
      </c>
      <c r="C3215" s="3" t="s">
        <v>190</v>
      </c>
      <c r="D3215" s="3" t="s">
        <v>7167</v>
      </c>
      <c r="E3215" s="3" t="s">
        <v>7168</v>
      </c>
      <c r="F3215" s="3" t="s">
        <v>7167</v>
      </c>
      <c r="G3215" s="3" t="str">
        <f>IFERROR(__xludf.DUMMYFUNCTION("GOOGLETRANSLATE(D3215,""fr"",""es"")"),"lama")</f>
        <v>lama</v>
      </c>
      <c r="H3215" s="3" t="s">
        <v>7169</v>
      </c>
      <c r="I3215" s="3" t="s">
        <v>7170</v>
      </c>
      <c r="J3215" s="3" t="s">
        <v>7171</v>
      </c>
      <c r="K3215" s="3" t="s">
        <v>7170</v>
      </c>
      <c r="L3215" s="3" t="s">
        <v>7171</v>
      </c>
      <c r="M3215" s="3" t="s">
        <v>7167</v>
      </c>
    </row>
    <row r="3216">
      <c r="A3216" s="3">
        <v>668.0</v>
      </c>
      <c r="B3216" s="3" t="s">
        <v>6738</v>
      </c>
      <c r="C3216" s="3" t="s">
        <v>190</v>
      </c>
      <c r="D3216" s="3" t="s">
        <v>7172</v>
      </c>
      <c r="E3216" s="3" t="s">
        <v>7168</v>
      </c>
      <c r="F3216" s="3" t="s">
        <v>7167</v>
      </c>
      <c r="G3216" s="3" t="str">
        <f>IFERROR(__xludf.DUMMYFUNCTION("GOOGLETRANSLATE(D3216,""fr"",""es"")"),"lamas")</f>
        <v>lamas</v>
      </c>
    </row>
    <row r="3217">
      <c r="A3217" s="3">
        <v>669.0</v>
      </c>
      <c r="B3217" s="3" t="s">
        <v>6738</v>
      </c>
      <c r="C3217" s="3" t="s">
        <v>190</v>
      </c>
      <c r="D3217" s="3" t="s">
        <v>2689</v>
      </c>
      <c r="E3217" s="3" t="s">
        <v>2690</v>
      </c>
      <c r="F3217" s="3" t="s">
        <v>2691</v>
      </c>
      <c r="G3217" s="3" t="str">
        <f>IFERROR(__xludf.DUMMYFUNCTION("GOOGLETRANSLATE(D3217,""fr"",""es"")"),"espada")</f>
        <v>espada</v>
      </c>
      <c r="H3217" s="3" t="s">
        <v>2692</v>
      </c>
      <c r="I3217" s="3" t="s">
        <v>2693</v>
      </c>
      <c r="J3217" s="3" t="s">
        <v>2694</v>
      </c>
      <c r="K3217" s="3" t="s">
        <v>2692</v>
      </c>
      <c r="L3217" s="3" t="s">
        <v>2695</v>
      </c>
    </row>
    <row r="3218">
      <c r="A3218" s="3">
        <v>670.0</v>
      </c>
      <c r="B3218" s="3" t="s">
        <v>6738</v>
      </c>
      <c r="C3218" s="3" t="s">
        <v>190</v>
      </c>
      <c r="D3218" s="3" t="s">
        <v>2702</v>
      </c>
      <c r="E3218" s="3" t="s">
        <v>2690</v>
      </c>
      <c r="F3218" s="3" t="s">
        <v>2691</v>
      </c>
      <c r="G3218" s="3" t="str">
        <f>IFERROR(__xludf.DUMMYFUNCTION("GOOGLETRANSLATE(D3218,""fr"",""es"")"),"cuchillas")</f>
        <v>cuchillas</v>
      </c>
    </row>
    <row r="3219">
      <c r="A3219" s="3">
        <v>671.0</v>
      </c>
      <c r="B3219" s="3" t="s">
        <v>6738</v>
      </c>
      <c r="C3219" s="3" t="s">
        <v>190</v>
      </c>
      <c r="D3219" s="3" t="s">
        <v>2695</v>
      </c>
      <c r="E3219" s="3" t="s">
        <v>7173</v>
      </c>
      <c r="F3219" s="3" t="s">
        <v>2695</v>
      </c>
      <c r="G3219" s="3" t="str">
        <f>IFERROR(__xludf.DUMMYFUNCTION("GOOGLETRANSLATE(D3219,""fr"",""es"")"),"lámina")</f>
        <v>lámina</v>
      </c>
    </row>
    <row r="3220">
      <c r="A3220" s="3">
        <v>672.0</v>
      </c>
      <c r="B3220" s="3" t="s">
        <v>6738</v>
      </c>
      <c r="C3220" s="3" t="s">
        <v>190</v>
      </c>
      <c r="D3220" s="3" t="s">
        <v>2708</v>
      </c>
      <c r="E3220" s="3" t="s">
        <v>7174</v>
      </c>
      <c r="F3220" s="3" t="s">
        <v>2710</v>
      </c>
      <c r="G3220" s="3" t="str">
        <f>IFERROR(__xludf.DUMMYFUNCTION("GOOGLETRANSLATE(D3220,""fr"",""es"")"),"laminado")</f>
        <v>laminado</v>
      </c>
    </row>
    <row r="3221">
      <c r="A3221" s="3">
        <v>673.0</v>
      </c>
      <c r="B3221" s="3" t="s">
        <v>6738</v>
      </c>
      <c r="C3221" s="3" t="s">
        <v>190</v>
      </c>
      <c r="D3221" s="3" t="s">
        <v>2713</v>
      </c>
      <c r="E3221" s="3" t="s">
        <v>7173</v>
      </c>
      <c r="F3221" s="3" t="s">
        <v>2695</v>
      </c>
      <c r="G3221" s="3" t="str">
        <f>IFERROR(__xludf.DUMMYFUNCTION("GOOGLETRANSLATE(D3221,""fr"",""es"")"),"laminas")</f>
        <v>laminas</v>
      </c>
    </row>
    <row r="3222">
      <c r="A3222" s="3">
        <v>674.0</v>
      </c>
      <c r="B3222" s="3" t="s">
        <v>6738</v>
      </c>
      <c r="C3222" s="3" t="s">
        <v>190</v>
      </c>
      <c r="D3222" s="3" t="s">
        <v>2711</v>
      </c>
      <c r="E3222" s="3" t="s">
        <v>7175</v>
      </c>
      <c r="F3222" s="3" t="s">
        <v>2713</v>
      </c>
      <c r="G3222" s="3" t="str">
        <f>IFERROR(__xludf.DUMMYFUNCTION("GOOGLETRANSLATE(D3222,""fr"",""es"")"),"laminaciónesidad")</f>
        <v>laminaciónesidad</v>
      </c>
    </row>
    <row r="3223">
      <c r="A3223" s="3">
        <v>675.0</v>
      </c>
      <c r="B3223" s="3" t="s">
        <v>6738</v>
      </c>
      <c r="C3223" s="3" t="s">
        <v>190</v>
      </c>
      <c r="D3223" s="3" t="s">
        <v>2714</v>
      </c>
      <c r="E3223" s="3" t="s">
        <v>7175</v>
      </c>
      <c r="F3223" s="3" t="s">
        <v>2713</v>
      </c>
      <c r="G3223" s="3" t="str">
        <f>IFERROR(__xludf.DUMMYFUNCTION("GOOGLETRANSLATE(D3223,""fr"",""es"")"),"laminasse")</f>
        <v>laminasse</v>
      </c>
    </row>
    <row r="3224">
      <c r="A3224" s="3">
        <v>676.0</v>
      </c>
      <c r="B3224" s="3" t="s">
        <v>6738</v>
      </c>
      <c r="C3224" s="3" t="s">
        <v>190</v>
      </c>
      <c r="D3224" s="3" t="s">
        <v>2715</v>
      </c>
      <c r="E3224" s="3" t="s">
        <v>7175</v>
      </c>
      <c r="F3224" s="3" t="s">
        <v>2713</v>
      </c>
      <c r="G3224" s="3" t="str">
        <f>IFERROR(__xludf.DUMMYFUNCTION("GOOGLETRANSLATE(D3224,""fr"",""es"")"),"laminaciones")</f>
        <v>laminaciones</v>
      </c>
    </row>
    <row r="3225">
      <c r="A3225" s="3">
        <v>677.0</v>
      </c>
      <c r="B3225" s="3" t="s">
        <v>6738</v>
      </c>
      <c r="C3225" s="3" t="s">
        <v>190</v>
      </c>
      <c r="D3225" s="3" t="s">
        <v>7176</v>
      </c>
      <c r="E3225" s="3" t="s">
        <v>7173</v>
      </c>
      <c r="F3225" s="3" t="s">
        <v>2695</v>
      </c>
      <c r="G3225" s="3" t="str">
        <f>IFERROR(__xludf.DUMMYFUNCTION("GOOGLETRANSLATE(D3225,""fr"",""es"")"),"ficticio")</f>
        <v>ficticio</v>
      </c>
    </row>
    <row r="3226">
      <c r="A3226" s="3">
        <v>678.0</v>
      </c>
      <c r="B3226" s="3" t="s">
        <v>6738</v>
      </c>
      <c r="C3226" s="3" t="s">
        <v>190</v>
      </c>
      <c r="D3226" s="3" t="s">
        <v>2716</v>
      </c>
      <c r="E3226" s="3" t="s">
        <v>7177</v>
      </c>
      <c r="F3226" s="3" t="s">
        <v>2718</v>
      </c>
      <c r="G3226" s="3" t="str">
        <f>IFERROR(__xludf.DUMMYFUNCTION("GOOGLETRANSLATE(D3226,""fr"",""es"")"),"la mina")</f>
        <v>la mina</v>
      </c>
    </row>
    <row r="3227">
      <c r="A3227" s="3">
        <v>679.0</v>
      </c>
      <c r="B3227" s="3" t="s">
        <v>6738</v>
      </c>
      <c r="C3227" s="3" t="s">
        <v>190</v>
      </c>
      <c r="D3227" s="3" t="s">
        <v>2719</v>
      </c>
      <c r="E3227" s="3" t="s">
        <v>7177</v>
      </c>
      <c r="F3227" s="3" t="s">
        <v>2718</v>
      </c>
      <c r="G3227" s="3" t="str">
        <f>IFERROR(__xludf.DUMMYFUNCTION("GOOGLETRANSLATE(D3227,""fr"",""es"")"),"laminente")</f>
        <v>laminente</v>
      </c>
    </row>
    <row r="3228">
      <c r="A3228" s="3">
        <v>680.0</v>
      </c>
      <c r="B3228" s="3" t="s">
        <v>6738</v>
      </c>
      <c r="C3228" s="3" t="s">
        <v>190</v>
      </c>
      <c r="D3228" s="3" t="s">
        <v>2720</v>
      </c>
      <c r="E3228" s="3" t="s">
        <v>7177</v>
      </c>
      <c r="F3228" s="3" t="s">
        <v>2718</v>
      </c>
      <c r="G3228" s="3" t="str">
        <f>IFERROR(__xludf.DUMMYFUNCTION("GOOGLETRANSLATE(D3228,""fr"",""es"")"),"lámina")</f>
        <v>lámina</v>
      </c>
    </row>
    <row r="3229">
      <c r="A3229" s="3">
        <v>681.0</v>
      </c>
      <c r="B3229" s="3" t="s">
        <v>6738</v>
      </c>
      <c r="C3229" s="3" t="s">
        <v>190</v>
      </c>
      <c r="D3229" s="3" t="s">
        <v>2723</v>
      </c>
      <c r="E3229" s="3" t="s">
        <v>2722</v>
      </c>
      <c r="F3229" s="3" t="s">
        <v>2723</v>
      </c>
      <c r="G3229" s="3" t="str">
        <f>IFERROR(__xludf.DUMMYFUNCTION("GOOGLETRANSLATE(D3229,""fr"",""es"")"),"lapa")</f>
        <v>lapa</v>
      </c>
    </row>
    <row r="3230">
      <c r="A3230" s="3">
        <v>682.0</v>
      </c>
      <c r="B3230" s="3" t="s">
        <v>6738</v>
      </c>
      <c r="C3230" s="3" t="s">
        <v>190</v>
      </c>
      <c r="D3230" s="3" t="s">
        <v>2727</v>
      </c>
      <c r="E3230" s="3" t="s">
        <v>2728</v>
      </c>
      <c r="F3230" s="3" t="s">
        <v>2729</v>
      </c>
      <c r="G3230" s="3" t="str">
        <f>IFERROR(__xludf.DUMMYFUNCTION("GOOGLETRANSLATE(D3230,""fr"",""es"")"),"lóbulo")</f>
        <v>lóbulo</v>
      </c>
    </row>
    <row r="3231">
      <c r="A3231" s="3">
        <v>683.0</v>
      </c>
      <c r="B3231" s="3" t="s">
        <v>6738</v>
      </c>
      <c r="C3231" s="3" t="s">
        <v>190</v>
      </c>
      <c r="D3231" s="3" t="s">
        <v>2732</v>
      </c>
      <c r="E3231" s="3" t="s">
        <v>2722</v>
      </c>
      <c r="F3231" s="3" t="s">
        <v>2723</v>
      </c>
      <c r="G3231" s="3" t="str">
        <f>IFERROR(__xludf.DUMMYFUNCTION("GOOGLETRANSLATE(D3231,""fr"",""es"")"),"el paso")</f>
        <v>el paso</v>
      </c>
    </row>
    <row r="3232">
      <c r="A3232" s="3">
        <v>684.0</v>
      </c>
      <c r="B3232" s="3" t="s">
        <v>6738</v>
      </c>
      <c r="C3232" s="3" t="s">
        <v>190</v>
      </c>
      <c r="D3232" s="3" t="s">
        <v>2730</v>
      </c>
      <c r="E3232" s="3" t="s">
        <v>2731</v>
      </c>
      <c r="F3232" s="3" t="s">
        <v>2732</v>
      </c>
      <c r="G3232" s="3" t="str">
        <f>IFERROR(__xludf.DUMMYFUNCTION("GOOGLETRANSLATE(D3232,""fr"",""es"")"),"El permiso")</f>
        <v>El permiso</v>
      </c>
    </row>
    <row r="3233">
      <c r="A3233" s="3">
        <v>685.0</v>
      </c>
      <c r="B3233" s="3" t="s">
        <v>6738</v>
      </c>
      <c r="C3233" s="3" t="s">
        <v>190</v>
      </c>
      <c r="D3233" s="3" t="s">
        <v>2733</v>
      </c>
      <c r="E3233" s="3" t="s">
        <v>2731</v>
      </c>
      <c r="F3233" s="3" t="s">
        <v>2732</v>
      </c>
      <c r="G3233" s="3" t="str">
        <f>IFERROR(__xludf.DUMMYFUNCTION("GOOGLETRANSLATE(D3233,""fr"",""es"")"),"lapasé")</f>
        <v>lapasé</v>
      </c>
    </row>
    <row r="3234">
      <c r="A3234" s="3">
        <v>686.0</v>
      </c>
      <c r="B3234" s="3" t="s">
        <v>6738</v>
      </c>
      <c r="C3234" s="3" t="s">
        <v>190</v>
      </c>
      <c r="D3234" s="3" t="s">
        <v>2734</v>
      </c>
      <c r="E3234" s="3" t="s">
        <v>2731</v>
      </c>
      <c r="F3234" s="3" t="s">
        <v>2732</v>
      </c>
      <c r="G3234" s="3" t="str">
        <f>IFERROR(__xludf.DUMMYFUNCTION("GOOGLETRANSLATE(D3234,""fr"",""es"")"),"lapasses")</f>
        <v>lapasses</v>
      </c>
    </row>
    <row r="3235">
      <c r="A3235" s="3">
        <v>687.0</v>
      </c>
      <c r="B3235" s="3" t="s">
        <v>6738</v>
      </c>
      <c r="C3235" s="3" t="s">
        <v>190</v>
      </c>
      <c r="D3235" s="3" t="s">
        <v>7178</v>
      </c>
      <c r="E3235" s="3" t="s">
        <v>2722</v>
      </c>
      <c r="F3235" s="3" t="s">
        <v>2723</v>
      </c>
      <c r="G3235" s="3" t="str">
        <f>IFERROR(__xludf.DUMMYFUNCTION("GOOGLETRANSLATE(D3235,""fr"",""es"")"),"estatón")</f>
        <v>estatón</v>
      </c>
    </row>
    <row r="3236">
      <c r="A3236" s="3">
        <v>688.0</v>
      </c>
      <c r="B3236" s="3" t="s">
        <v>6738</v>
      </c>
      <c r="C3236" s="3" t="s">
        <v>190</v>
      </c>
      <c r="D3236" s="3" t="s">
        <v>2735</v>
      </c>
      <c r="E3236" s="3" t="s">
        <v>2736</v>
      </c>
      <c r="F3236" s="3" t="s">
        <v>2737</v>
      </c>
      <c r="G3236" s="3" t="str">
        <f>IFERROR(__xludf.DUMMYFUNCTION("GOOGLETRANSLATE(D3236,""fr"",""es"")"),"atar")</f>
        <v>atar</v>
      </c>
    </row>
    <row r="3237">
      <c r="A3237" s="3">
        <v>689.0</v>
      </c>
      <c r="B3237" s="3" t="s">
        <v>6738</v>
      </c>
      <c r="C3237" s="3" t="s">
        <v>190</v>
      </c>
      <c r="D3237" s="3" t="s">
        <v>2738</v>
      </c>
      <c r="E3237" s="3" t="s">
        <v>2736</v>
      </c>
      <c r="F3237" s="3" t="s">
        <v>2737</v>
      </c>
      <c r="G3237" s="3" t="str">
        <f>IFERROR(__xludf.DUMMYFUNCTION("GOOGLETRANSLATE(D3237,""fr"",""es"")"),"lapent")</f>
        <v>lapent</v>
      </c>
    </row>
    <row r="3238">
      <c r="A3238" s="3">
        <v>690.0</v>
      </c>
      <c r="B3238" s="3" t="s">
        <v>6738</v>
      </c>
      <c r="C3238" s="3" t="s">
        <v>190</v>
      </c>
      <c r="D3238" s="3" t="s">
        <v>2739</v>
      </c>
      <c r="E3238" s="3" t="s">
        <v>2736</v>
      </c>
      <c r="F3238" s="3" t="s">
        <v>2737</v>
      </c>
      <c r="G3238" s="3" t="str">
        <f>IFERROR(__xludf.DUMMYFUNCTION("GOOGLETRANSLATE(D3238,""fr"",""es"")"),"lapas")</f>
        <v>lapas</v>
      </c>
    </row>
    <row r="3239">
      <c r="A3239" s="3">
        <v>691.0</v>
      </c>
      <c r="B3239" s="3" t="s">
        <v>6738</v>
      </c>
      <c r="C3239" s="3" t="s">
        <v>190</v>
      </c>
      <c r="D3239" s="3" t="s">
        <v>2742</v>
      </c>
      <c r="E3239" s="3" t="s">
        <v>7179</v>
      </c>
      <c r="F3239" s="3" t="s">
        <v>2742</v>
      </c>
      <c r="G3239" s="3" t="str">
        <f>IFERROR(__xludf.DUMMYFUNCTION("GOOGLETRANSLATE(D3239,""fr"",""es"")"),"lapina")</f>
        <v>lapina</v>
      </c>
    </row>
    <row r="3240">
      <c r="A3240" s="3">
        <v>692.0</v>
      </c>
      <c r="B3240" s="3" t="s">
        <v>6738</v>
      </c>
      <c r="C3240" s="3" t="s">
        <v>190</v>
      </c>
      <c r="D3240" s="3" t="s">
        <v>2746</v>
      </c>
      <c r="E3240" s="3" t="s">
        <v>7180</v>
      </c>
      <c r="F3240" s="3" t="s">
        <v>2748</v>
      </c>
      <c r="G3240" s="3" t="str">
        <f>IFERROR(__xludf.DUMMYFUNCTION("GOOGLETRANSLATE(D3240,""fr"",""es"")"),"Conejo")</f>
        <v>Conejo</v>
      </c>
    </row>
    <row r="3241">
      <c r="A3241" s="3">
        <v>693.0</v>
      </c>
      <c r="B3241" s="3" t="s">
        <v>6738</v>
      </c>
      <c r="C3241" s="3" t="s">
        <v>190</v>
      </c>
      <c r="D3241" s="3" t="s">
        <v>2751</v>
      </c>
      <c r="E3241" s="3" t="s">
        <v>7179</v>
      </c>
      <c r="F3241" s="3" t="s">
        <v>2742</v>
      </c>
      <c r="G3241" s="3" t="str">
        <f>IFERROR(__xludf.DUMMYFUNCTION("GOOGLETRANSLATE(D3241,""fr"",""es"")"),"lapinas")</f>
        <v>lapinas</v>
      </c>
    </row>
    <row r="3242">
      <c r="A3242" s="3">
        <v>694.0</v>
      </c>
      <c r="B3242" s="3" t="s">
        <v>6738</v>
      </c>
      <c r="C3242" s="3" t="s">
        <v>190</v>
      </c>
      <c r="D3242" s="3" t="s">
        <v>2749</v>
      </c>
      <c r="E3242" s="3" t="s">
        <v>7181</v>
      </c>
      <c r="F3242" s="3" t="s">
        <v>2751</v>
      </c>
      <c r="G3242" s="3" t="str">
        <f>IFERROR(__xludf.DUMMYFUNCTION("GOOGLETRANSLATE(D3242,""fr"",""es"")"),"lapinasa")</f>
        <v>lapinasa</v>
      </c>
    </row>
    <row r="3243">
      <c r="A3243" s="3">
        <v>695.0</v>
      </c>
      <c r="B3243" s="3" t="s">
        <v>6738</v>
      </c>
      <c r="C3243" s="3" t="s">
        <v>190</v>
      </c>
      <c r="D3243" s="3" t="s">
        <v>2752</v>
      </c>
      <c r="E3243" s="3" t="s">
        <v>7181</v>
      </c>
      <c r="F3243" s="3" t="s">
        <v>2751</v>
      </c>
      <c r="G3243" s="3" t="str">
        <f>IFERROR(__xludf.DUMMYFUNCTION("GOOGLETRANSLATE(D3243,""fr"",""es"")"),"lapinasa")</f>
        <v>lapinasa</v>
      </c>
    </row>
    <row r="3244">
      <c r="A3244" s="3">
        <v>696.0</v>
      </c>
      <c r="B3244" s="3" t="s">
        <v>6738</v>
      </c>
      <c r="C3244" s="3" t="s">
        <v>190</v>
      </c>
      <c r="D3244" s="3" t="s">
        <v>2753</v>
      </c>
      <c r="E3244" s="3" t="s">
        <v>7181</v>
      </c>
      <c r="F3244" s="3" t="s">
        <v>2751</v>
      </c>
      <c r="G3244" s="3" t="str">
        <f>IFERROR(__xludf.DUMMYFUNCTION("GOOGLETRANSLATE(D3244,""fr"",""es"")"),"lapinasa")</f>
        <v>lapinasa</v>
      </c>
    </row>
    <row r="3245">
      <c r="A3245" s="3">
        <v>697.0</v>
      </c>
      <c r="B3245" s="3" t="s">
        <v>6738</v>
      </c>
      <c r="C3245" s="3" t="s">
        <v>190</v>
      </c>
      <c r="D3245" s="3" t="s">
        <v>7182</v>
      </c>
      <c r="E3245" s="3" t="s">
        <v>7179</v>
      </c>
      <c r="F3245" s="3" t="s">
        <v>2742</v>
      </c>
      <c r="G3245" s="3" t="str">
        <f>IFERROR(__xludf.DUMMYFUNCTION("GOOGLETRANSLATE(D3245,""fr"",""es"")"),"Conejo")</f>
        <v>Conejo</v>
      </c>
    </row>
    <row r="3246">
      <c r="A3246" s="3">
        <v>698.0</v>
      </c>
      <c r="B3246" s="3" t="s">
        <v>6738</v>
      </c>
      <c r="C3246" s="3" t="s">
        <v>190</v>
      </c>
      <c r="D3246" s="3" t="s">
        <v>2754</v>
      </c>
      <c r="E3246" s="3" t="s">
        <v>7183</v>
      </c>
      <c r="F3246" s="3" t="s">
        <v>2756</v>
      </c>
      <c r="G3246" s="3" t="str">
        <f>IFERROR(__xludf.DUMMYFUNCTION("GOOGLETRANSLATE(D3246,""fr"",""es"")"),"Conejo")</f>
        <v>Conejo</v>
      </c>
      <c r="H3246" s="3" t="s">
        <v>2757</v>
      </c>
    </row>
    <row r="3247">
      <c r="A3247" s="3">
        <v>699.0</v>
      </c>
      <c r="B3247" s="3" t="s">
        <v>6738</v>
      </c>
      <c r="C3247" s="3" t="s">
        <v>190</v>
      </c>
      <c r="D3247" s="3" t="s">
        <v>2758</v>
      </c>
      <c r="E3247" s="3" t="s">
        <v>7183</v>
      </c>
      <c r="F3247" s="3" t="s">
        <v>2756</v>
      </c>
      <c r="G3247" s="3" t="str">
        <f>IFERROR(__xludf.DUMMYFUNCTION("GOOGLETRANSLATE(D3247,""fr"",""es"")"),"lúpito")</f>
        <v>lúpito</v>
      </c>
    </row>
    <row r="3248">
      <c r="A3248" s="3">
        <v>700.0</v>
      </c>
      <c r="B3248" s="3" t="s">
        <v>6738</v>
      </c>
      <c r="C3248" s="3" t="s">
        <v>190</v>
      </c>
      <c r="D3248" s="3" t="s">
        <v>2759</v>
      </c>
      <c r="E3248" s="3" t="s">
        <v>7183</v>
      </c>
      <c r="F3248" s="3" t="s">
        <v>2756</v>
      </c>
      <c r="G3248" s="3" t="str">
        <f>IFERROR(__xludf.DUMMYFUNCTION("GOOGLETRANSLATE(D3248,""fr"",""es"")"),"conejos")</f>
        <v>conejos</v>
      </c>
    </row>
    <row r="3249">
      <c r="A3249" s="3">
        <v>701.0</v>
      </c>
      <c r="B3249" s="3" t="s">
        <v>6738</v>
      </c>
      <c r="C3249" s="3" t="s">
        <v>190</v>
      </c>
      <c r="D3249" s="3" t="s">
        <v>2760</v>
      </c>
      <c r="E3249" s="3" t="s">
        <v>7184</v>
      </c>
      <c r="F3249" s="3" t="s">
        <v>2760</v>
      </c>
      <c r="G3249" s="3" t="str">
        <f>IFERROR(__xludf.DUMMYFUNCTION("GOOGLETRANSLATE(D3249,""fr"",""es"")"),"lapis")</f>
        <v>lapis</v>
      </c>
    </row>
    <row r="3250">
      <c r="A3250" s="3">
        <v>702.0</v>
      </c>
      <c r="B3250" s="3" t="s">
        <v>6738</v>
      </c>
      <c r="C3250" s="3" t="s">
        <v>190</v>
      </c>
      <c r="D3250" s="3" t="s">
        <v>7185</v>
      </c>
      <c r="E3250" s="3" t="s">
        <v>2763</v>
      </c>
      <c r="F3250" s="3" t="s">
        <v>2764</v>
      </c>
      <c r="G3250" s="3" t="str">
        <f>IFERROR(__xludf.DUMMYFUNCTION("GOOGLETRANSLATE(D3250,""fr"",""es"")"),"Laqua")</f>
        <v>Laqua</v>
      </c>
    </row>
    <row r="3251">
      <c r="A3251" s="3">
        <v>703.0</v>
      </c>
      <c r="B3251" s="3" t="s">
        <v>6738</v>
      </c>
      <c r="C3251" s="3" t="s">
        <v>190</v>
      </c>
      <c r="D3251" s="3" t="s">
        <v>2768</v>
      </c>
      <c r="E3251" s="3" t="s">
        <v>2769</v>
      </c>
      <c r="F3251" s="3" t="s">
        <v>2770</v>
      </c>
      <c r="G3251" s="3" t="str">
        <f>IFERROR(__xludf.DUMMYFUNCTION("GOOGLETRANSLATE(D3251,""fr"",""es"")"),"laca")</f>
        <v>laca</v>
      </c>
    </row>
    <row r="3252">
      <c r="A3252" s="3">
        <v>704.0</v>
      </c>
      <c r="B3252" s="3" t="s">
        <v>6738</v>
      </c>
      <c r="C3252" s="3" t="s">
        <v>190</v>
      </c>
      <c r="D3252" s="3" t="s">
        <v>7186</v>
      </c>
      <c r="E3252" s="3" t="s">
        <v>2763</v>
      </c>
      <c r="F3252" s="3" t="s">
        <v>2764</v>
      </c>
      <c r="G3252" s="3" t="str">
        <f>IFERROR(__xludf.DUMMYFUNCTION("GOOGLETRANSLATE(D3252,""fr"",""es"")"),"lacas")</f>
        <v>lacas</v>
      </c>
    </row>
    <row r="3253">
      <c r="A3253" s="3">
        <v>705.0</v>
      </c>
      <c r="B3253" s="3" t="s">
        <v>6738</v>
      </c>
      <c r="C3253" s="3" t="s">
        <v>190</v>
      </c>
      <c r="D3253" s="3" t="s">
        <v>2771</v>
      </c>
      <c r="E3253" s="3" t="s">
        <v>2772</v>
      </c>
      <c r="F3253" s="3" t="s">
        <v>2773</v>
      </c>
      <c r="G3253" s="3" t="str">
        <f>IFERROR(__xludf.DUMMYFUNCTION("GOOGLETRANSLATE(D3253,""fr"",""es"")"),"Laquasse")</f>
        <v>Laquasse</v>
      </c>
    </row>
    <row r="3254">
      <c r="A3254" s="3">
        <v>706.0</v>
      </c>
      <c r="B3254" s="3" t="s">
        <v>6738</v>
      </c>
      <c r="C3254" s="3" t="s">
        <v>190</v>
      </c>
      <c r="D3254" s="3" t="s">
        <v>2774</v>
      </c>
      <c r="E3254" s="3" t="s">
        <v>2772</v>
      </c>
      <c r="F3254" s="3" t="s">
        <v>2773</v>
      </c>
      <c r="G3254" s="3" t="str">
        <f>IFERROR(__xludf.DUMMYFUNCTION("GOOGLETRANSLATE(D3254,""fr"",""es"")"),"laca")</f>
        <v>laca</v>
      </c>
    </row>
    <row r="3255">
      <c r="A3255" s="3">
        <v>707.0</v>
      </c>
      <c r="B3255" s="3" t="s">
        <v>6738</v>
      </c>
      <c r="C3255" s="3" t="s">
        <v>190</v>
      </c>
      <c r="D3255" s="3" t="s">
        <v>2775</v>
      </c>
      <c r="E3255" s="3" t="s">
        <v>2772</v>
      </c>
      <c r="F3255" s="3" t="s">
        <v>2773</v>
      </c>
      <c r="G3255" s="3" t="str">
        <f>IFERROR(__xludf.DUMMYFUNCTION("GOOGLETRANSLATE(D3255,""fr"",""es"")"),"laquásica")</f>
        <v>laquásica</v>
      </c>
    </row>
    <row r="3256">
      <c r="A3256" s="3">
        <v>708.0</v>
      </c>
      <c r="B3256" s="3" t="s">
        <v>6738</v>
      </c>
      <c r="C3256" s="3" t="s">
        <v>190</v>
      </c>
      <c r="D3256" s="3" t="s">
        <v>7187</v>
      </c>
      <c r="E3256" s="3" t="s">
        <v>2763</v>
      </c>
      <c r="F3256" s="3" t="s">
        <v>2764</v>
      </c>
      <c r="G3256" s="3" t="str">
        <f>IFERROR(__xludf.DUMMYFUNCTION("GOOGLETRANSLATE(D3256,""fr"",""es"")"),"laca")</f>
        <v>laca</v>
      </c>
    </row>
    <row r="3257">
      <c r="A3257" s="3">
        <v>709.0</v>
      </c>
      <c r="B3257" s="3" t="s">
        <v>6738</v>
      </c>
      <c r="C3257" s="3" t="s">
        <v>190</v>
      </c>
      <c r="D3257" s="3" t="s">
        <v>2776</v>
      </c>
      <c r="E3257" s="3" t="s">
        <v>2555</v>
      </c>
      <c r="F3257" s="3" t="s">
        <v>2556</v>
      </c>
      <c r="G3257" s="3" t="str">
        <f>IFERROR(__xludf.DUMMYFUNCTION("GOOGLETRANSLATE(D3257,""fr"",""es"")"),"barniz")</f>
        <v>barniz</v>
      </c>
      <c r="H3257" s="3" t="s">
        <v>2777</v>
      </c>
      <c r="I3257" s="3" t="s">
        <v>2778</v>
      </c>
      <c r="J3257" s="3" t="s">
        <v>2779</v>
      </c>
      <c r="K3257" s="3" t="s">
        <v>2557</v>
      </c>
      <c r="L3257" s="3" t="s">
        <v>2554</v>
      </c>
      <c r="M3257" s="3" t="s">
        <v>2780</v>
      </c>
    </row>
    <row r="3258">
      <c r="A3258" s="3">
        <v>710.0</v>
      </c>
      <c r="B3258" s="3" t="s">
        <v>6738</v>
      </c>
      <c r="C3258" s="3" t="s">
        <v>190</v>
      </c>
      <c r="D3258" s="3" t="s">
        <v>2784</v>
      </c>
      <c r="E3258" s="3" t="s">
        <v>2555</v>
      </c>
      <c r="F3258" s="3" t="s">
        <v>2556</v>
      </c>
      <c r="G3258" s="3" t="str">
        <f>IFERROR(__xludf.DUMMYFUNCTION("GOOGLETRANSLATE(D3258,""fr"",""es"")"),"barniz")</f>
        <v>barniz</v>
      </c>
    </row>
    <row r="3259">
      <c r="A3259" s="3">
        <v>711.0</v>
      </c>
      <c r="B3259" s="3" t="s">
        <v>6738</v>
      </c>
      <c r="C3259" s="3" t="s">
        <v>190</v>
      </c>
      <c r="D3259" s="3" t="s">
        <v>2785</v>
      </c>
      <c r="E3259" s="3" t="s">
        <v>2555</v>
      </c>
      <c r="F3259" s="3" t="s">
        <v>2556</v>
      </c>
      <c r="G3259" s="3" t="str">
        <f>IFERROR(__xludf.DUMMYFUNCTION("GOOGLETRANSLATE(D3259,""fr"",""es"")"),"lacas")</f>
        <v>lacas</v>
      </c>
    </row>
    <row r="3260">
      <c r="A3260" s="3">
        <v>712.0</v>
      </c>
      <c r="B3260" s="3" t="s">
        <v>6738</v>
      </c>
      <c r="C3260" s="3" t="s">
        <v>190</v>
      </c>
      <c r="D3260" s="3" t="s">
        <v>7188</v>
      </c>
      <c r="E3260" s="3" t="s">
        <v>2561</v>
      </c>
      <c r="F3260" s="3" t="s">
        <v>2562</v>
      </c>
      <c r="G3260" s="3" t="str">
        <f>IFERROR(__xludf.DUMMYFUNCTION("GOOGLETRANSLATE(D3260,""fr"",""es"")"),"lassa")</f>
        <v>lassa</v>
      </c>
    </row>
    <row r="3261">
      <c r="A3261" s="3">
        <v>713.0</v>
      </c>
      <c r="B3261" s="3" t="s">
        <v>6738</v>
      </c>
      <c r="C3261" s="3" t="s">
        <v>190</v>
      </c>
      <c r="D3261" s="3" t="s">
        <v>7189</v>
      </c>
      <c r="E3261" s="3" t="s">
        <v>2561</v>
      </c>
      <c r="F3261" s="3" t="s">
        <v>2562</v>
      </c>
      <c r="G3261" s="3" t="str">
        <f>IFERROR(__xludf.DUMMYFUNCTION("GOOGLETRANSLATE(D3261,""fr"",""es"")"),"Lassa")</f>
        <v>Lassa</v>
      </c>
    </row>
    <row r="3262">
      <c r="A3262" s="3">
        <v>714.0</v>
      </c>
      <c r="B3262" s="3" t="s">
        <v>6738</v>
      </c>
      <c r="C3262" s="3" t="s">
        <v>190</v>
      </c>
      <c r="D3262" s="3" t="s">
        <v>2790</v>
      </c>
      <c r="E3262" s="3" t="s">
        <v>2672</v>
      </c>
      <c r="F3262" s="3" t="s">
        <v>2568</v>
      </c>
      <c r="G3262" s="3" t="str">
        <f>IFERROR(__xludf.DUMMYFUNCTION("GOOGLETRANSLATE(D3262,""fr"",""es"")"),"lassâme")</f>
        <v>lassâme</v>
      </c>
    </row>
    <row r="3263">
      <c r="A3263" s="3">
        <v>715.0</v>
      </c>
      <c r="B3263" s="3" t="s">
        <v>6738</v>
      </c>
      <c r="C3263" s="3" t="s">
        <v>190</v>
      </c>
      <c r="D3263" s="3" t="s">
        <v>7190</v>
      </c>
      <c r="E3263" s="3" t="s">
        <v>2561</v>
      </c>
      <c r="F3263" s="3" t="s">
        <v>2562</v>
      </c>
      <c r="G3263" s="3" t="str">
        <f>IFERROR(__xludf.DUMMYFUNCTION("GOOGLETRANSLATE(D3263,""fr"",""es"")"),"lassas")</f>
        <v>lassas</v>
      </c>
    </row>
    <row r="3264">
      <c r="A3264" s="3">
        <v>716.0</v>
      </c>
      <c r="B3264" s="3" t="s">
        <v>6738</v>
      </c>
      <c r="C3264" s="3" t="s">
        <v>190</v>
      </c>
      <c r="D3264" s="3" t="s">
        <v>2791</v>
      </c>
      <c r="E3264" s="3" t="s">
        <v>2570</v>
      </c>
      <c r="F3264" s="3" t="s">
        <v>2571</v>
      </c>
      <c r="G3264" s="3" t="str">
        <f>IFERROR(__xludf.DUMMYFUNCTION("GOOGLETRANSLATE(D3264,""fr"",""es"")"),"chava")</f>
        <v>chava</v>
      </c>
    </row>
    <row r="3265">
      <c r="A3265" s="3">
        <v>717.0</v>
      </c>
      <c r="B3265" s="3" t="s">
        <v>6738</v>
      </c>
      <c r="C3265" s="3" t="s">
        <v>190</v>
      </c>
      <c r="D3265" s="3" t="s">
        <v>2792</v>
      </c>
      <c r="E3265" s="3" t="s">
        <v>2570</v>
      </c>
      <c r="F3265" s="3" t="s">
        <v>2571</v>
      </c>
      <c r="G3265" s="3" t="str">
        <f>IFERROR(__xludf.DUMMYFUNCTION("GOOGLETRANSLATE(D3265,""fr"",""es"")"),"lásse")</f>
        <v>lásse</v>
      </c>
    </row>
    <row r="3266">
      <c r="A3266" s="3">
        <v>718.0</v>
      </c>
      <c r="B3266" s="3" t="s">
        <v>6738</v>
      </c>
      <c r="C3266" s="3" t="s">
        <v>190</v>
      </c>
      <c r="D3266" s="3" t="s">
        <v>2793</v>
      </c>
      <c r="E3266" s="3" t="s">
        <v>2570</v>
      </c>
      <c r="F3266" s="3" t="s">
        <v>2571</v>
      </c>
      <c r="G3266" s="3" t="str">
        <f>IFERROR(__xludf.DUMMYFUNCTION("GOOGLETRANSLATE(D3266,""fr"",""es"")"),"Lassassus")</f>
        <v>Lassassus</v>
      </c>
    </row>
    <row r="3267">
      <c r="A3267" s="3">
        <v>719.0</v>
      </c>
      <c r="B3267" s="3" t="s">
        <v>6738</v>
      </c>
      <c r="C3267" s="3" t="s">
        <v>190</v>
      </c>
      <c r="D3267" s="3" t="s">
        <v>7191</v>
      </c>
      <c r="E3267" s="3" t="s">
        <v>2561</v>
      </c>
      <c r="F3267" s="3" t="s">
        <v>2562</v>
      </c>
      <c r="G3267" s="3" t="str">
        <f>IFERROR(__xludf.DUMMYFUNCTION("GOOGLETRANSLATE(D3267,""fr"",""es"")"),"chava")</f>
        <v>chava</v>
      </c>
    </row>
    <row r="3268">
      <c r="A3268" s="3">
        <v>720.0</v>
      </c>
      <c r="B3268" s="3" t="s">
        <v>6738</v>
      </c>
      <c r="C3268" s="3" t="s">
        <v>190</v>
      </c>
      <c r="D3268" s="3" t="s">
        <v>2794</v>
      </c>
      <c r="E3268" s="3" t="s">
        <v>2577</v>
      </c>
      <c r="F3268" s="3" t="s">
        <v>2578</v>
      </c>
      <c r="G3268" s="3" t="str">
        <f>IFERROR(__xludf.DUMMYFUNCTION("GOOGLETRANSLATE(D3268,""fr"",""es"")"),"cansado")</f>
        <v>cansado</v>
      </c>
    </row>
    <row r="3269">
      <c r="A3269" s="3">
        <v>721.0</v>
      </c>
      <c r="B3269" s="3" t="s">
        <v>6738</v>
      </c>
      <c r="C3269" s="3" t="s">
        <v>190</v>
      </c>
      <c r="D3269" s="3" t="s">
        <v>2795</v>
      </c>
      <c r="E3269" s="3" t="s">
        <v>2577</v>
      </c>
      <c r="F3269" s="3" t="s">
        <v>2578</v>
      </c>
      <c r="G3269" s="3" t="str">
        <f>IFERROR(__xludf.DUMMYFUNCTION("GOOGLETRANSLATE(D3269,""fr"",""es"")"),"cansado")</f>
        <v>cansado</v>
      </c>
    </row>
    <row r="3270">
      <c r="A3270" s="3">
        <v>722.0</v>
      </c>
      <c r="B3270" s="3" t="s">
        <v>6738</v>
      </c>
      <c r="C3270" s="3" t="s">
        <v>190</v>
      </c>
      <c r="D3270" s="3" t="s">
        <v>2796</v>
      </c>
      <c r="E3270" s="3" t="s">
        <v>2577</v>
      </c>
      <c r="F3270" s="3" t="s">
        <v>2578</v>
      </c>
      <c r="G3270" s="3" t="str">
        <f>IFERROR(__xludf.DUMMYFUNCTION("GOOGLETRANSLATE(D3270,""fr"",""es"")"),"cansado")</f>
        <v>cansado</v>
      </c>
    </row>
    <row r="3271">
      <c r="A3271" s="3">
        <v>723.0</v>
      </c>
      <c r="B3271" s="3" t="s">
        <v>6738</v>
      </c>
      <c r="C3271" s="3" t="s">
        <v>190</v>
      </c>
      <c r="D3271" s="3" t="s">
        <v>7192</v>
      </c>
      <c r="E3271" s="3" t="s">
        <v>7193</v>
      </c>
      <c r="F3271" s="3" t="s">
        <v>7194</v>
      </c>
      <c r="G3271" s="3" t="str">
        <f>IFERROR(__xludf.DUMMYFUNCTION("GOOGLETRANSLATE(D3271,""fr"",""es"")"),"latín")</f>
        <v>latín</v>
      </c>
    </row>
    <row r="3272">
      <c r="A3272" s="3">
        <v>724.0</v>
      </c>
      <c r="B3272" s="3" t="s">
        <v>6738</v>
      </c>
      <c r="C3272" s="3" t="s">
        <v>190</v>
      </c>
      <c r="D3272" s="3" t="s">
        <v>7195</v>
      </c>
      <c r="E3272" s="3" t="s">
        <v>7193</v>
      </c>
      <c r="F3272" s="3" t="s">
        <v>7194</v>
      </c>
      <c r="G3272" s="3" t="str">
        <f>IFERROR(__xludf.DUMMYFUNCTION("GOOGLETRANSLATE(D3272,""fr"",""es"")"),"latín")</f>
        <v>latín</v>
      </c>
    </row>
    <row r="3273">
      <c r="A3273" s="3">
        <v>725.0</v>
      </c>
      <c r="B3273" s="3" t="s">
        <v>6738</v>
      </c>
      <c r="C3273" s="3" t="s">
        <v>190</v>
      </c>
      <c r="D3273" s="3" t="s">
        <v>7196</v>
      </c>
      <c r="E3273" s="3" t="s">
        <v>2798</v>
      </c>
      <c r="F3273" s="3" t="s">
        <v>2799</v>
      </c>
      <c r="G3273" s="3" t="str">
        <f>IFERROR(__xludf.DUMMYFUNCTION("GOOGLETRANSLATE(D3273,""fr"",""es"")"),"latta")</f>
        <v>latta</v>
      </c>
    </row>
    <row r="3274">
      <c r="A3274" s="3">
        <v>726.0</v>
      </c>
      <c r="B3274" s="3" t="s">
        <v>6738</v>
      </c>
      <c r="C3274" s="3" t="s">
        <v>190</v>
      </c>
      <c r="D3274" s="3" t="s">
        <v>2803</v>
      </c>
      <c r="E3274" s="3" t="s">
        <v>2804</v>
      </c>
      <c r="F3274" s="3" t="s">
        <v>2805</v>
      </c>
      <c r="G3274" s="3" t="str">
        <f>IFERROR(__xludf.DUMMYFUNCTION("GOOGLETRANSLATE(D3274,""fr"",""es"")"),"lattâme")</f>
        <v>lattâme</v>
      </c>
    </row>
    <row r="3275">
      <c r="A3275" s="3">
        <v>727.0</v>
      </c>
      <c r="B3275" s="3" t="s">
        <v>6738</v>
      </c>
      <c r="C3275" s="3" t="s">
        <v>190</v>
      </c>
      <c r="D3275" s="3" t="s">
        <v>7197</v>
      </c>
      <c r="E3275" s="3" t="s">
        <v>2798</v>
      </c>
      <c r="F3275" s="3" t="s">
        <v>2799</v>
      </c>
      <c r="G3275" s="3" t="str">
        <f>IFERROR(__xludf.DUMMYFUNCTION("GOOGLETRANSLATE(D3275,""fr"",""es"")"),"lattas")</f>
        <v>lattas</v>
      </c>
    </row>
    <row r="3276">
      <c r="A3276" s="3">
        <v>728.0</v>
      </c>
      <c r="B3276" s="3" t="s">
        <v>6738</v>
      </c>
      <c r="C3276" s="3" t="s">
        <v>190</v>
      </c>
      <c r="D3276" s="3" t="s">
        <v>2806</v>
      </c>
      <c r="E3276" s="3" t="s">
        <v>2807</v>
      </c>
      <c r="F3276" s="3" t="s">
        <v>2808</v>
      </c>
      <c r="G3276" s="3" t="str">
        <f>IFERROR(__xludf.DUMMYFUNCTION("GOOGLETRANSLATE(D3276,""fr"",""es"")"),"latte")</f>
        <v>latte</v>
      </c>
    </row>
    <row r="3277">
      <c r="A3277" s="3">
        <v>729.0</v>
      </c>
      <c r="B3277" s="3" t="s">
        <v>6738</v>
      </c>
      <c r="C3277" s="3" t="s">
        <v>190</v>
      </c>
      <c r="D3277" s="3" t="s">
        <v>2809</v>
      </c>
      <c r="E3277" s="3" t="s">
        <v>2807</v>
      </c>
      <c r="F3277" s="3" t="s">
        <v>2808</v>
      </c>
      <c r="G3277" s="3" t="str">
        <f>IFERROR(__xludf.DUMMYFUNCTION("GOOGLETRANSLATE(D3277,""fr"",""es"")"),"de color")</f>
        <v>de color</v>
      </c>
    </row>
    <row r="3278">
      <c r="A3278" s="3">
        <v>730.0</v>
      </c>
      <c r="B3278" s="3" t="s">
        <v>6738</v>
      </c>
      <c r="C3278" s="3" t="s">
        <v>190</v>
      </c>
      <c r="D3278" s="3" t="s">
        <v>2810</v>
      </c>
      <c r="E3278" s="3" t="s">
        <v>2807</v>
      </c>
      <c r="F3278" s="3" t="s">
        <v>2808</v>
      </c>
      <c r="G3278" s="3" t="str">
        <f>IFERROR(__xludf.DUMMYFUNCTION("GOOGLETRANSLATE(D3278,""fr"",""es"")"),"lattacas")</f>
        <v>lattacas</v>
      </c>
    </row>
    <row r="3279">
      <c r="A3279" s="3">
        <v>731.0</v>
      </c>
      <c r="B3279" s="3" t="s">
        <v>6738</v>
      </c>
      <c r="C3279" s="3" t="s">
        <v>190</v>
      </c>
      <c r="D3279" s="3" t="s">
        <v>7198</v>
      </c>
      <c r="E3279" s="3" t="s">
        <v>2798</v>
      </c>
      <c r="F3279" s="3" t="s">
        <v>2799</v>
      </c>
      <c r="G3279" s="3" t="str">
        <f>IFERROR(__xludf.DUMMYFUNCTION("GOOGLETRANSLATE(D3279,""fr"",""es"")"),"lattât")</f>
        <v>lattât</v>
      </c>
    </row>
    <row r="3280">
      <c r="A3280" s="3">
        <v>732.0</v>
      </c>
      <c r="B3280" s="3" t="s">
        <v>6738</v>
      </c>
      <c r="C3280" s="3" t="s">
        <v>190</v>
      </c>
      <c r="D3280" s="3" t="s">
        <v>7199</v>
      </c>
      <c r="E3280" s="3" t="s">
        <v>7200</v>
      </c>
      <c r="F3280" s="3" t="s">
        <v>7201</v>
      </c>
      <c r="G3280" s="3" t="str">
        <f>IFERROR(__xludf.DUMMYFUNCTION("GOOGLETRANSLATE(D3280,""fr"",""es"")"),"lattis")</f>
        <v>lattis</v>
      </c>
    </row>
    <row r="3281">
      <c r="A3281" s="3">
        <v>733.0</v>
      </c>
      <c r="B3281" s="3" t="s">
        <v>6738</v>
      </c>
      <c r="C3281" s="3" t="s">
        <v>190</v>
      </c>
      <c r="D3281" s="3" t="s">
        <v>2824</v>
      </c>
      <c r="E3281" s="3" t="s">
        <v>7202</v>
      </c>
      <c r="F3281" s="3" t="s">
        <v>2826</v>
      </c>
      <c r="G3281" s="3" t="str">
        <f>IFERROR(__xludf.DUMMYFUNCTION("GOOGLETRANSLATE(D3281,""fr"",""es"")"),"pérdida")</f>
        <v>pérdida</v>
      </c>
    </row>
    <row r="3282">
      <c r="A3282" s="3">
        <v>734.0</v>
      </c>
      <c r="B3282" s="3" t="s">
        <v>6738</v>
      </c>
      <c r="C3282" s="3" t="s">
        <v>190</v>
      </c>
      <c r="D3282" s="3" t="s">
        <v>2827</v>
      </c>
      <c r="E3282" s="3" t="s">
        <v>7202</v>
      </c>
      <c r="F3282" s="3" t="s">
        <v>2826</v>
      </c>
      <c r="G3282" s="3" t="str">
        <f>IFERROR(__xludf.DUMMYFUNCTION("GOOGLETRANSLATE(D3282,""fr"",""es"")"),"pañales")</f>
        <v>pañales</v>
      </c>
    </row>
    <row r="3283">
      <c r="A3283" s="3">
        <v>735.0</v>
      </c>
      <c r="B3283" s="3" t="s">
        <v>6738</v>
      </c>
      <c r="C3283" s="3" t="s">
        <v>190</v>
      </c>
      <c r="D3283" s="3" t="s">
        <v>7203</v>
      </c>
      <c r="E3283" s="3" t="s">
        <v>7204</v>
      </c>
      <c r="F3283" s="3" t="s">
        <v>2834</v>
      </c>
      <c r="G3283" s="3" t="str">
        <f>IFERROR(__xludf.DUMMYFUNCTION("GOOGLETRANSLATE(D3283,""fr"",""es"")"),"Lícita")</f>
        <v>Lícita</v>
      </c>
    </row>
    <row r="3284">
      <c r="A3284" s="3">
        <v>736.0</v>
      </c>
      <c r="B3284" s="3" t="s">
        <v>6738</v>
      </c>
      <c r="C3284" s="3" t="s">
        <v>190</v>
      </c>
      <c r="D3284" s="3" t="s">
        <v>2838</v>
      </c>
      <c r="E3284" s="3" t="s">
        <v>7205</v>
      </c>
      <c r="F3284" s="3" t="s">
        <v>2840</v>
      </c>
      <c r="G3284" s="3" t="str">
        <f>IFERROR(__xludf.DUMMYFUNCTION("GOOGLETRANSLATE(D3284,""fr"",""es"")"),"unicitâme")</f>
        <v>unicitâme</v>
      </c>
    </row>
    <row r="3285">
      <c r="A3285" s="3">
        <v>737.0</v>
      </c>
      <c r="B3285" s="3" t="s">
        <v>6738</v>
      </c>
      <c r="C3285" s="3" t="s">
        <v>190</v>
      </c>
      <c r="D3285" s="3" t="s">
        <v>7206</v>
      </c>
      <c r="E3285" s="3" t="s">
        <v>7204</v>
      </c>
      <c r="F3285" s="3" t="s">
        <v>2834</v>
      </c>
      <c r="G3285" s="3" t="str">
        <f>IFERROR(__xludf.DUMMYFUNCTION("GOOGLETRANSLATE(D3285,""fr"",""es"")"),"lícitas")</f>
        <v>lícitas</v>
      </c>
    </row>
    <row r="3286">
      <c r="A3286" s="3">
        <v>738.0</v>
      </c>
      <c r="B3286" s="3" t="s">
        <v>6738</v>
      </c>
      <c r="C3286" s="3" t="s">
        <v>190</v>
      </c>
      <c r="D3286" s="3" t="s">
        <v>2841</v>
      </c>
      <c r="E3286" s="3" t="s">
        <v>7207</v>
      </c>
      <c r="F3286" s="3" t="s">
        <v>2843</v>
      </c>
      <c r="G3286" s="3" t="str">
        <f>IFERROR(__xludf.DUMMYFUNCTION("GOOGLETRANSLATE(D3286,""fr"",""es"")"),"licitasse")</f>
        <v>licitasse</v>
      </c>
    </row>
    <row r="3287">
      <c r="A3287" s="3">
        <v>739.0</v>
      </c>
      <c r="B3287" s="3" t="s">
        <v>6738</v>
      </c>
      <c r="C3287" s="3" t="s">
        <v>190</v>
      </c>
      <c r="D3287" s="3" t="s">
        <v>2844</v>
      </c>
      <c r="E3287" s="3" t="s">
        <v>7207</v>
      </c>
      <c r="F3287" s="3" t="s">
        <v>2843</v>
      </c>
      <c r="G3287" s="3" t="str">
        <f>IFERROR(__xludf.DUMMYFUNCTION("GOOGLETRANSLATE(D3287,""fr"",""es"")"),"licitasse")</f>
        <v>licitasse</v>
      </c>
    </row>
    <row r="3288">
      <c r="A3288" s="3">
        <v>740.0</v>
      </c>
      <c r="B3288" s="3" t="s">
        <v>6738</v>
      </c>
      <c r="C3288" s="3" t="s">
        <v>190</v>
      </c>
      <c r="D3288" s="3" t="s">
        <v>2845</v>
      </c>
      <c r="E3288" s="3" t="s">
        <v>7207</v>
      </c>
      <c r="F3288" s="3" t="s">
        <v>2843</v>
      </c>
      <c r="G3288" s="3" t="str">
        <f>IFERROR(__xludf.DUMMYFUNCTION("GOOGLETRANSLATE(D3288,""fr"",""es"")"),"licitasses")</f>
        <v>licitasses</v>
      </c>
    </row>
    <row r="3289">
      <c r="A3289" s="3">
        <v>741.0</v>
      </c>
      <c r="B3289" s="3" t="s">
        <v>6738</v>
      </c>
      <c r="C3289" s="3" t="s">
        <v>190</v>
      </c>
      <c r="D3289" s="3" t="s">
        <v>7208</v>
      </c>
      <c r="E3289" s="3" t="s">
        <v>7204</v>
      </c>
      <c r="F3289" s="3" t="s">
        <v>2834</v>
      </c>
      <c r="G3289" s="3" t="str">
        <f>IFERROR(__xludf.DUMMYFUNCTION("GOOGLETRANSLATE(D3289,""fr"",""es"")"),"lícito")</f>
        <v>lícito</v>
      </c>
    </row>
    <row r="3290">
      <c r="A3290" s="3">
        <v>742.0</v>
      </c>
      <c r="B3290" s="3" t="s">
        <v>6738</v>
      </c>
      <c r="C3290" s="3" t="s">
        <v>190</v>
      </c>
      <c r="D3290" s="3" t="s">
        <v>2846</v>
      </c>
      <c r="E3290" s="3" t="s">
        <v>7209</v>
      </c>
      <c r="F3290" s="3" t="s">
        <v>2848</v>
      </c>
      <c r="G3290" s="3" t="str">
        <f>IFERROR(__xludf.DUMMYFUNCTION("GOOGLETRANSLATE(D3290,""fr"",""es"")"),"cabestro")</f>
        <v>cabestro</v>
      </c>
    </row>
    <row r="3291">
      <c r="A3291" s="3">
        <v>743.0</v>
      </c>
      <c r="B3291" s="3" t="s">
        <v>6738</v>
      </c>
      <c r="C3291" s="3" t="s">
        <v>190</v>
      </c>
      <c r="D3291" s="3" t="s">
        <v>2849</v>
      </c>
      <c r="E3291" s="3" t="s">
        <v>7209</v>
      </c>
      <c r="F3291" s="3" t="s">
        <v>2848</v>
      </c>
      <c r="G3291" s="3" t="str">
        <f>IFERROR(__xludf.DUMMYFUNCTION("GOOGLETRANSLATE(D3291,""fr"",""es"")"),"lógico")</f>
        <v>lógico</v>
      </c>
    </row>
    <row r="3292">
      <c r="A3292" s="3">
        <v>744.0</v>
      </c>
      <c r="B3292" s="3" t="s">
        <v>6738</v>
      </c>
      <c r="C3292" s="3" t="s">
        <v>190</v>
      </c>
      <c r="D3292" s="3" t="s">
        <v>2850</v>
      </c>
      <c r="E3292" s="3" t="s">
        <v>2851</v>
      </c>
      <c r="F3292" s="3" t="s">
        <v>2852</v>
      </c>
      <c r="G3292" s="3" t="str">
        <f>IFERROR(__xludf.DUMMYFUNCTION("GOOGLETRANSLATE(D3292,""fr"",""es"")"),"relacionado")</f>
        <v>relacionado</v>
      </c>
      <c r="H3292" s="3" t="s">
        <v>2853</v>
      </c>
      <c r="I3292" s="3" t="s">
        <v>2854</v>
      </c>
      <c r="J3292" s="3" t="s">
        <v>2855</v>
      </c>
      <c r="K3292" s="3" t="s">
        <v>2856</v>
      </c>
      <c r="L3292" s="3" t="s">
        <v>2857</v>
      </c>
      <c r="M3292" s="3" t="s">
        <v>2857</v>
      </c>
      <c r="N3292" s="3" t="s">
        <v>2858</v>
      </c>
      <c r="O3292" s="3" t="s">
        <v>2859</v>
      </c>
      <c r="P3292" s="3" t="s">
        <v>2860</v>
      </c>
      <c r="Q3292" s="3" t="s">
        <v>2861</v>
      </c>
      <c r="R3292" s="3" t="s">
        <v>2862</v>
      </c>
      <c r="S3292" s="3" t="s">
        <v>2863</v>
      </c>
      <c r="T3292" s="3" t="s">
        <v>2864</v>
      </c>
      <c r="U3292" s="3" t="s">
        <v>2865</v>
      </c>
    </row>
    <row r="3293">
      <c r="A3293" s="3">
        <v>745.0</v>
      </c>
      <c r="B3293" s="3" t="s">
        <v>6738</v>
      </c>
      <c r="C3293" s="3" t="s">
        <v>190</v>
      </c>
      <c r="D3293" s="3" t="s">
        <v>2866</v>
      </c>
      <c r="E3293" s="3" t="s">
        <v>2851</v>
      </c>
      <c r="F3293" s="3" t="s">
        <v>2852</v>
      </c>
      <c r="G3293" s="3" t="str">
        <f>IFERROR(__xludf.DUMMYFUNCTION("GOOGLETRANSLATE(D3293,""fr"",""es"")"),"unir")</f>
        <v>unir</v>
      </c>
    </row>
    <row r="3294">
      <c r="A3294" s="3">
        <v>746.0</v>
      </c>
      <c r="B3294" s="3" t="s">
        <v>6738</v>
      </c>
      <c r="C3294" s="3" t="s">
        <v>190</v>
      </c>
      <c r="D3294" s="3" t="s">
        <v>2867</v>
      </c>
      <c r="E3294" s="3" t="s">
        <v>2851</v>
      </c>
      <c r="F3294" s="3" t="s">
        <v>2852</v>
      </c>
      <c r="G3294" s="3" t="str">
        <f>IFERROR(__xludf.DUMMYFUNCTION("GOOGLETRANSLATE(D3294,""fr"",""es"")"),"mentiras")</f>
        <v>mentiras</v>
      </c>
    </row>
    <row r="3295">
      <c r="A3295" s="3">
        <v>747.0</v>
      </c>
      <c r="B3295" s="3" t="s">
        <v>6738</v>
      </c>
      <c r="C3295" s="3" t="s">
        <v>190</v>
      </c>
      <c r="D3295" s="3" t="s">
        <v>7210</v>
      </c>
      <c r="E3295" s="3" t="s">
        <v>2869</v>
      </c>
      <c r="F3295" s="3" t="s">
        <v>2870</v>
      </c>
      <c r="G3295" s="3" t="str">
        <f>IFERROR(__xludf.DUMMYFUNCTION("GOOGLETRANSLATE(D3295,""fr"",""es"")"),"ligna")</f>
        <v>ligna</v>
      </c>
    </row>
    <row r="3296">
      <c r="A3296" s="3">
        <v>748.0</v>
      </c>
      <c r="B3296" s="3" t="s">
        <v>6738</v>
      </c>
      <c r="C3296" s="3" t="s">
        <v>190</v>
      </c>
      <c r="D3296" s="3" t="s">
        <v>2874</v>
      </c>
      <c r="E3296" s="3" t="s">
        <v>2875</v>
      </c>
      <c r="F3296" s="3" t="s">
        <v>2876</v>
      </c>
      <c r="G3296" s="3" t="str">
        <f>IFERROR(__xludf.DUMMYFUNCTION("GOOGLETRANSLATE(D3296,""fr"",""es"")"),"lignante")</f>
        <v>lignante</v>
      </c>
    </row>
    <row r="3297">
      <c r="A3297" s="3">
        <v>749.0</v>
      </c>
      <c r="B3297" s="3" t="s">
        <v>6738</v>
      </c>
      <c r="C3297" s="3" t="s">
        <v>190</v>
      </c>
      <c r="D3297" s="3" t="s">
        <v>7211</v>
      </c>
      <c r="E3297" s="3" t="s">
        <v>2869</v>
      </c>
      <c r="F3297" s="3" t="s">
        <v>2870</v>
      </c>
      <c r="G3297" s="3" t="str">
        <f>IFERROR(__xludf.DUMMYFUNCTION("GOOGLETRANSLATE(D3297,""fr"",""es"")"),"lignas")</f>
        <v>lignas</v>
      </c>
    </row>
    <row r="3298">
      <c r="A3298" s="3">
        <v>750.0</v>
      </c>
      <c r="B3298" s="3" t="s">
        <v>6738</v>
      </c>
      <c r="C3298" s="3" t="s">
        <v>190</v>
      </c>
      <c r="D3298" s="3" t="s">
        <v>2877</v>
      </c>
      <c r="E3298" s="3" t="s">
        <v>2878</v>
      </c>
      <c r="F3298" s="3" t="s">
        <v>2879</v>
      </c>
      <c r="G3298" s="3" t="str">
        <f>IFERROR(__xludf.DUMMYFUNCTION("GOOGLETRANSLATE(D3298,""fr"",""es"")"),"linaje")</f>
        <v>linaje</v>
      </c>
    </row>
    <row r="3299">
      <c r="A3299" s="3">
        <v>751.0</v>
      </c>
      <c r="B3299" s="3" t="s">
        <v>6738</v>
      </c>
      <c r="C3299" s="3" t="s">
        <v>190</v>
      </c>
      <c r="D3299" s="3" t="s">
        <v>2880</v>
      </c>
      <c r="E3299" s="3" t="s">
        <v>2878</v>
      </c>
      <c r="F3299" s="3" t="s">
        <v>2879</v>
      </c>
      <c r="G3299" s="3" t="str">
        <f>IFERROR(__xludf.DUMMYFUNCTION("GOOGLETRANSLATE(D3299,""fr"",""es"")"),"línea")</f>
        <v>línea</v>
      </c>
    </row>
    <row r="3300">
      <c r="A3300" s="3">
        <v>752.0</v>
      </c>
      <c r="B3300" s="3" t="s">
        <v>6738</v>
      </c>
      <c r="C3300" s="3" t="s">
        <v>190</v>
      </c>
      <c r="D3300" s="3" t="s">
        <v>2881</v>
      </c>
      <c r="E3300" s="3" t="s">
        <v>2878</v>
      </c>
      <c r="F3300" s="3" t="s">
        <v>2879</v>
      </c>
      <c r="G3300" s="3" t="str">
        <f>IFERROR(__xludf.DUMMYFUNCTION("GOOGLETRANSLATE(D3300,""fr"",""es"")"),"linaje")</f>
        <v>linaje</v>
      </c>
    </row>
    <row r="3301">
      <c r="A3301" s="3">
        <v>753.0</v>
      </c>
      <c r="B3301" s="3" t="s">
        <v>6738</v>
      </c>
      <c r="C3301" s="3" t="s">
        <v>190</v>
      </c>
      <c r="D3301" s="3" t="s">
        <v>7212</v>
      </c>
      <c r="E3301" s="3" t="s">
        <v>2869</v>
      </c>
      <c r="F3301" s="3" t="s">
        <v>2870</v>
      </c>
      <c r="G3301" s="3" t="str">
        <f>IFERROR(__xludf.DUMMYFUNCTION("GOOGLETRANSLATE(D3301,""fr"",""es"")"),"lign")</f>
        <v>lign</v>
      </c>
    </row>
    <row r="3302">
      <c r="A3302" s="3">
        <v>754.0</v>
      </c>
      <c r="B3302" s="3" t="s">
        <v>6738</v>
      </c>
      <c r="C3302" s="3" t="s">
        <v>190</v>
      </c>
      <c r="D3302" s="3" t="s">
        <v>2882</v>
      </c>
      <c r="E3302" s="3" t="s">
        <v>2883</v>
      </c>
      <c r="F3302" s="3" t="s">
        <v>2884</v>
      </c>
      <c r="G3302" s="3" t="str">
        <f>IFERROR(__xludf.DUMMYFUNCTION("GOOGLETRANSLATE(D3302,""fr"",""es"")"),"línea")</f>
        <v>línea</v>
      </c>
      <c r="H3302" s="3" t="s">
        <v>1499</v>
      </c>
      <c r="I3302" s="3" t="s">
        <v>1499</v>
      </c>
      <c r="J3302" s="3" t="s">
        <v>1499</v>
      </c>
      <c r="K3302" s="3" t="s">
        <v>2885</v>
      </c>
      <c r="L3302" s="3" t="s">
        <v>2886</v>
      </c>
      <c r="M3302" s="3" t="s">
        <v>2887</v>
      </c>
      <c r="N3302" s="3" t="s">
        <v>2888</v>
      </c>
      <c r="O3302" s="3" t="s">
        <v>2889</v>
      </c>
      <c r="P3302" s="3" t="s">
        <v>2890</v>
      </c>
      <c r="Q3302" s="3" t="s">
        <v>2891</v>
      </c>
      <c r="R3302" s="3" t="s">
        <v>2892</v>
      </c>
      <c r="S3302" s="3" t="s">
        <v>2893</v>
      </c>
      <c r="T3302" s="3" t="s">
        <v>1499</v>
      </c>
      <c r="U3302" s="3" t="s">
        <v>2894</v>
      </c>
      <c r="V3302" s="3" t="s">
        <v>1499</v>
      </c>
      <c r="W3302" s="3" t="s">
        <v>2895</v>
      </c>
      <c r="X3302" s="3" t="s">
        <v>2896</v>
      </c>
      <c r="Y3302" s="3" t="s">
        <v>2897</v>
      </c>
      <c r="Z3302" s="3" t="s">
        <v>1187</v>
      </c>
      <c r="AA3302" s="3" t="s">
        <v>1500</v>
      </c>
      <c r="AB3302" s="3" t="s">
        <v>1499</v>
      </c>
      <c r="AC3302" s="3" t="s">
        <v>2898</v>
      </c>
      <c r="AD3302" s="3" t="s">
        <v>1581</v>
      </c>
      <c r="AE3302" s="3" t="s">
        <v>1274</v>
      </c>
      <c r="AF3302" s="3" t="s">
        <v>1499</v>
      </c>
      <c r="AG3302" s="3" t="s">
        <v>1499</v>
      </c>
      <c r="AH3302" s="3" t="s">
        <v>1499</v>
      </c>
      <c r="AI3302" s="3" t="s">
        <v>1499</v>
      </c>
      <c r="AJ3302" s="3" t="s">
        <v>2894</v>
      </c>
      <c r="AK3302" s="3" t="s">
        <v>2894</v>
      </c>
      <c r="AL3302" s="3" t="s">
        <v>2899</v>
      </c>
      <c r="AM3302" s="3" t="s">
        <v>1499</v>
      </c>
      <c r="AN3302" s="3" t="s">
        <v>1499</v>
      </c>
      <c r="AO3302" s="3" t="s">
        <v>1499</v>
      </c>
      <c r="AP3302" s="3" t="s">
        <v>2231</v>
      </c>
      <c r="AQ3302" s="3" t="s">
        <v>2894</v>
      </c>
      <c r="AR3302" s="3" t="s">
        <v>2900</v>
      </c>
      <c r="AS3302" s="3" t="s">
        <v>2901</v>
      </c>
      <c r="AT3302" s="3" t="s">
        <v>2902</v>
      </c>
      <c r="AU3302" s="3" t="s">
        <v>1499</v>
      </c>
      <c r="AV3302" s="3" t="s">
        <v>2903</v>
      </c>
      <c r="AW3302" s="3" t="s">
        <v>2904</v>
      </c>
      <c r="AX3302" s="3" t="s">
        <v>2882</v>
      </c>
      <c r="AY3302" s="3" t="s">
        <v>2905</v>
      </c>
      <c r="AZ3302" s="3" t="s">
        <v>1499</v>
      </c>
      <c r="BA3302" s="3" t="s">
        <v>1499</v>
      </c>
      <c r="BB3302" s="3" t="s">
        <v>2906</v>
      </c>
      <c r="BC3302" s="3" t="s">
        <v>2907</v>
      </c>
      <c r="BD3302" s="3" t="s">
        <v>2908</v>
      </c>
      <c r="BE3302" s="3" t="s">
        <v>2909</v>
      </c>
      <c r="BF3302" s="3" t="s">
        <v>2910</v>
      </c>
      <c r="BG3302" s="3" t="s">
        <v>2911</v>
      </c>
      <c r="BH3302" s="3" t="s">
        <v>1499</v>
      </c>
      <c r="BI3302" s="3" t="s">
        <v>1274</v>
      </c>
    </row>
    <row r="3303">
      <c r="A3303" s="3">
        <v>755.0</v>
      </c>
      <c r="B3303" s="3" t="s">
        <v>6738</v>
      </c>
      <c r="C3303" s="3" t="s">
        <v>190</v>
      </c>
      <c r="D3303" s="3" t="s">
        <v>2912</v>
      </c>
      <c r="E3303" s="3" t="s">
        <v>2883</v>
      </c>
      <c r="F3303" s="3" t="s">
        <v>2884</v>
      </c>
      <c r="G3303" s="3" t="str">
        <f>IFERROR(__xludf.DUMMYFUNCTION("GOOGLETRANSLATE(D3303,""fr"",""es"")"),"línea")</f>
        <v>línea</v>
      </c>
    </row>
    <row r="3304">
      <c r="A3304" s="3">
        <v>756.0</v>
      </c>
      <c r="B3304" s="3" t="s">
        <v>6738</v>
      </c>
      <c r="C3304" s="3" t="s">
        <v>190</v>
      </c>
      <c r="D3304" s="3" t="s">
        <v>2913</v>
      </c>
      <c r="E3304" s="3" t="s">
        <v>2883</v>
      </c>
      <c r="F3304" s="3" t="s">
        <v>2884</v>
      </c>
      <c r="G3304" s="3" t="str">
        <f>IFERROR(__xludf.DUMMYFUNCTION("GOOGLETRANSLATE(D3304,""fr"",""es"")"),"líneas")</f>
        <v>líneas</v>
      </c>
    </row>
    <row r="3305">
      <c r="A3305" s="3">
        <v>757.0</v>
      </c>
      <c r="B3305" s="3" t="s">
        <v>6738</v>
      </c>
      <c r="C3305" s="3" t="s">
        <v>190</v>
      </c>
      <c r="D3305" s="3" t="s">
        <v>7213</v>
      </c>
      <c r="E3305" s="3" t="s">
        <v>7214</v>
      </c>
      <c r="F3305" s="3" t="s">
        <v>7215</v>
      </c>
      <c r="G3305" s="3" t="str">
        <f>IFERROR(__xludf.DUMMYFUNCTION("GOOGLETRANSLATE(D3305,""fr"",""es"")"),"lila")</f>
        <v>lila</v>
      </c>
      <c r="H3305" s="3" t="s">
        <v>7216</v>
      </c>
      <c r="I3305" s="3" t="s">
        <v>7217</v>
      </c>
      <c r="J3305" s="3" t="s">
        <v>7218</v>
      </c>
      <c r="K3305" s="3" t="s">
        <v>7217</v>
      </c>
    </row>
    <row r="3306">
      <c r="A3306" s="3">
        <v>758.0</v>
      </c>
      <c r="B3306" s="3" t="s">
        <v>6738</v>
      </c>
      <c r="C3306" s="3" t="s">
        <v>190</v>
      </c>
      <c r="D3306" s="3" t="s">
        <v>2914</v>
      </c>
      <c r="E3306" s="3" t="s">
        <v>7219</v>
      </c>
      <c r="F3306" s="3" t="s">
        <v>2916</v>
      </c>
      <c r="G3306" s="3" t="str">
        <f>IFERROR(__xludf.DUMMYFUNCTION("GOOGLETRANSLATE(D3306,""fr"",""es"")"),"Lille")</f>
        <v>Lille</v>
      </c>
      <c r="H3306" s="3" t="s">
        <v>2914</v>
      </c>
    </row>
    <row r="3307">
      <c r="A3307" s="3">
        <v>759.0</v>
      </c>
      <c r="B3307" s="3" t="s">
        <v>6738</v>
      </c>
      <c r="C3307" s="3" t="s">
        <v>190</v>
      </c>
      <c r="D3307" s="3" t="s">
        <v>2929</v>
      </c>
      <c r="E3307" s="3" t="s">
        <v>7220</v>
      </c>
      <c r="F3307" s="3" t="s">
        <v>2929</v>
      </c>
      <c r="G3307" s="3" t="str">
        <f>IFERROR(__xludf.DUMMYFUNCTION("GOOGLETRANSLATE(D3307,""fr"",""es"")"),"lima")</f>
        <v>lima</v>
      </c>
      <c r="H3307" s="3" t="s">
        <v>7221</v>
      </c>
      <c r="I3307" s="3" t="s">
        <v>7222</v>
      </c>
    </row>
    <row r="3308">
      <c r="A3308" s="3">
        <v>760.0</v>
      </c>
      <c r="B3308" s="3" t="s">
        <v>6738</v>
      </c>
      <c r="C3308" s="3" t="s">
        <v>190</v>
      </c>
      <c r="D3308" s="3" t="s">
        <v>2917</v>
      </c>
      <c r="E3308" s="3" t="s">
        <v>7223</v>
      </c>
      <c r="F3308" s="3" t="s">
        <v>2919</v>
      </c>
      <c r="G3308" s="3" t="str">
        <f>IFERROR(__xludf.DUMMYFUNCTION("GOOGLETRANSLATE(D3308,""fr"",""es"")"),"babosa")</f>
        <v>babosa</v>
      </c>
      <c r="H3308" s="3" t="s">
        <v>2135</v>
      </c>
      <c r="I3308" s="3" t="s">
        <v>2920</v>
      </c>
      <c r="J3308" s="3" t="s">
        <v>2921</v>
      </c>
      <c r="K3308" s="3" t="s">
        <v>2922</v>
      </c>
      <c r="L3308" s="3" t="s">
        <v>2923</v>
      </c>
      <c r="M3308" s="3" t="s">
        <v>2135</v>
      </c>
      <c r="N3308" s="3" t="s">
        <v>2924</v>
      </c>
      <c r="O3308" s="3" t="s">
        <v>2925</v>
      </c>
      <c r="P3308" s="3" t="s">
        <v>2135</v>
      </c>
      <c r="Q3308" s="3" t="s">
        <v>2135</v>
      </c>
    </row>
    <row r="3309">
      <c r="A3309" s="3">
        <v>761.0</v>
      </c>
      <c r="B3309" s="3" t="s">
        <v>6738</v>
      </c>
      <c r="C3309" s="3" t="s">
        <v>190</v>
      </c>
      <c r="D3309" s="3" t="s">
        <v>2926</v>
      </c>
      <c r="E3309" s="3" t="s">
        <v>7223</v>
      </c>
      <c r="F3309" s="3" t="s">
        <v>2919</v>
      </c>
      <c r="G3309" s="3" t="str">
        <f>IFERROR(__xludf.DUMMYFUNCTION("GOOGLETRANSLATE(D3309,""fr"",""es"")"),"babosas")</f>
        <v>babosas</v>
      </c>
    </row>
    <row r="3310">
      <c r="A3310" s="3">
        <v>762.0</v>
      </c>
      <c r="B3310" s="3" t="s">
        <v>6738</v>
      </c>
      <c r="C3310" s="3" t="s">
        <v>190</v>
      </c>
      <c r="D3310" s="3" t="s">
        <v>2931</v>
      </c>
      <c r="E3310" s="3" t="s">
        <v>7224</v>
      </c>
      <c r="F3310" s="3" t="s">
        <v>2933</v>
      </c>
      <c r="G3310" s="3" t="str">
        <f>IFERROR(__xludf.DUMMYFUNCTION("GOOGLETRANSLATE(D3310,""fr"",""es"")"),"presentación")</f>
        <v>presentación</v>
      </c>
    </row>
    <row r="3311">
      <c r="A3311" s="3">
        <v>763.0</v>
      </c>
      <c r="B3311" s="3" t="s">
        <v>6738</v>
      </c>
      <c r="C3311" s="3" t="s">
        <v>190</v>
      </c>
      <c r="D3311" s="3" t="s">
        <v>2934</v>
      </c>
      <c r="E3311" s="3" t="s">
        <v>7224</v>
      </c>
      <c r="F3311" s="3" t="s">
        <v>2933</v>
      </c>
      <c r="G3311" s="3" t="str">
        <f>IFERROR(__xludf.DUMMYFUNCTION("GOOGLETRANSLATE(D3311,""fr"",""es"")"),"limaduras")</f>
        <v>limaduras</v>
      </c>
    </row>
    <row r="3312">
      <c r="A3312" s="3">
        <v>764.0</v>
      </c>
      <c r="B3312" s="3" t="s">
        <v>6738</v>
      </c>
      <c r="C3312" s="3" t="s">
        <v>190</v>
      </c>
      <c r="D3312" s="3" t="s">
        <v>2937</v>
      </c>
      <c r="E3312" s="3" t="s">
        <v>7225</v>
      </c>
      <c r="F3312" s="3" t="s">
        <v>2939</v>
      </c>
      <c r="G3312" s="3" t="str">
        <f>IFERROR(__xludf.DUMMYFUNCTION("GOOGLETRANSLATE(D3312,""fr"",""es"")"),"limo")</f>
        <v>limo</v>
      </c>
    </row>
    <row r="3313">
      <c r="A3313" s="3">
        <v>765.0</v>
      </c>
      <c r="B3313" s="3" t="s">
        <v>6738</v>
      </c>
      <c r="C3313" s="3" t="s">
        <v>190</v>
      </c>
      <c r="D3313" s="3" t="s">
        <v>2919</v>
      </c>
      <c r="E3313" s="3" t="s">
        <v>7220</v>
      </c>
      <c r="F3313" s="3" t="s">
        <v>2929</v>
      </c>
      <c r="G3313" s="3" t="str">
        <f>IFERROR(__xludf.DUMMYFUNCTION("GOOGLETRANSLATE(D3313,""fr"",""es"")"),"limas")</f>
        <v>limas</v>
      </c>
    </row>
    <row r="3314">
      <c r="A3314" s="3">
        <v>766.0</v>
      </c>
      <c r="B3314" s="3" t="s">
        <v>6738</v>
      </c>
      <c r="C3314" s="3" t="s">
        <v>190</v>
      </c>
      <c r="D3314" s="3" t="s">
        <v>2940</v>
      </c>
      <c r="E3314" s="3" t="s">
        <v>7223</v>
      </c>
      <c r="F3314" s="3" t="s">
        <v>2919</v>
      </c>
      <c r="G3314" s="3" t="str">
        <f>IFERROR(__xludf.DUMMYFUNCTION("GOOGLETRANSLATE(D3314,""fr"",""es"")"),"Lima")</f>
        <v>Lima</v>
      </c>
    </row>
    <row r="3315">
      <c r="A3315" s="3">
        <v>767.0</v>
      </c>
      <c r="B3315" s="3" t="s">
        <v>6738</v>
      </c>
      <c r="C3315" s="3" t="s">
        <v>190</v>
      </c>
      <c r="D3315" s="3" t="s">
        <v>2941</v>
      </c>
      <c r="E3315" s="3" t="s">
        <v>7223</v>
      </c>
      <c r="F3315" s="3" t="s">
        <v>2919</v>
      </c>
      <c r="G3315" s="3" t="str">
        <f>IFERROR(__xludf.DUMMYFUNCTION("GOOGLETRANSLATE(D3315,""fr"",""es"")"),"ritmo")</f>
        <v>ritmo</v>
      </c>
    </row>
    <row r="3316">
      <c r="A3316" s="3">
        <v>768.0</v>
      </c>
      <c r="B3316" s="3" t="s">
        <v>6738</v>
      </c>
      <c r="C3316" s="3" t="s">
        <v>190</v>
      </c>
      <c r="D3316" s="3" t="s">
        <v>2942</v>
      </c>
      <c r="E3316" s="3" t="s">
        <v>7223</v>
      </c>
      <c r="F3316" s="3" t="s">
        <v>2919</v>
      </c>
      <c r="G3316" s="3" t="str">
        <f>IFERROR(__xludf.DUMMYFUNCTION("GOOGLETRANSLATE(D3316,""fr"",""es"")"),"limasas")</f>
        <v>limasas</v>
      </c>
    </row>
    <row r="3317">
      <c r="A3317" s="3">
        <v>769.0</v>
      </c>
      <c r="B3317" s="3" t="s">
        <v>6738</v>
      </c>
      <c r="C3317" s="3" t="s">
        <v>190</v>
      </c>
      <c r="D3317" s="3" t="s">
        <v>7226</v>
      </c>
      <c r="E3317" s="3" t="s">
        <v>7220</v>
      </c>
      <c r="F3317" s="3" t="s">
        <v>2929</v>
      </c>
      <c r="G3317" s="3" t="str">
        <f>IFERROR(__xludf.DUMMYFUNCTION("GOOGLETRANSLATE(D3317,""fr"",""es"")"),"limach")</f>
        <v>limach</v>
      </c>
    </row>
    <row r="3318">
      <c r="A3318" s="3">
        <v>770.0</v>
      </c>
      <c r="B3318" s="3" t="s">
        <v>6738</v>
      </c>
      <c r="C3318" s="3" t="s">
        <v>190</v>
      </c>
      <c r="D3318" s="3" t="s">
        <v>2943</v>
      </c>
      <c r="E3318" s="3" t="s">
        <v>7227</v>
      </c>
      <c r="F3318" s="3" t="s">
        <v>2945</v>
      </c>
      <c r="G3318" s="3" t="str">
        <f>IFERROR(__xludf.DUMMYFUNCTION("GOOGLETRANSLATE(D3318,""fr"",""es"")"),"Lima")</f>
        <v>Lima</v>
      </c>
    </row>
    <row r="3319">
      <c r="A3319" s="3">
        <v>771.0</v>
      </c>
      <c r="B3319" s="3" t="s">
        <v>6738</v>
      </c>
      <c r="C3319" s="3" t="s">
        <v>190</v>
      </c>
      <c r="D3319" s="3" t="s">
        <v>2946</v>
      </c>
      <c r="E3319" s="3" t="s">
        <v>7227</v>
      </c>
      <c r="F3319" s="3" t="s">
        <v>2945</v>
      </c>
      <c r="G3319" s="3" t="str">
        <f>IFERROR(__xludf.DUMMYFUNCTION("GOOGLETRANSLATE(D3319,""fr"",""es"")"),"Lima")</f>
        <v>Lima</v>
      </c>
    </row>
    <row r="3320">
      <c r="A3320" s="3">
        <v>772.0</v>
      </c>
      <c r="B3320" s="3" t="s">
        <v>6738</v>
      </c>
      <c r="C3320" s="3" t="s">
        <v>190</v>
      </c>
      <c r="D3320" s="3" t="s">
        <v>2947</v>
      </c>
      <c r="E3320" s="3" t="s">
        <v>7227</v>
      </c>
      <c r="F3320" s="3" t="s">
        <v>2945</v>
      </c>
      <c r="G3320" s="3" t="str">
        <f>IFERROR(__xludf.DUMMYFUNCTION("GOOGLETRANSLATE(D3320,""fr"",""es"")"),"limas")</f>
        <v>limas</v>
      </c>
    </row>
    <row r="3321">
      <c r="A3321" s="3">
        <v>773.0</v>
      </c>
      <c r="B3321" s="3" t="s">
        <v>6738</v>
      </c>
      <c r="C3321" s="3" t="s">
        <v>190</v>
      </c>
      <c r="D3321" s="3" t="s">
        <v>2950</v>
      </c>
      <c r="E3321" s="3" t="s">
        <v>7228</v>
      </c>
      <c r="F3321" s="3" t="s">
        <v>2950</v>
      </c>
      <c r="G3321" s="3" t="str">
        <f>IFERROR(__xludf.DUMMYFUNCTION("GOOGLETRANSLATE(D3321,""fr"",""es"")"),"limitado")</f>
        <v>limitado</v>
      </c>
    </row>
    <row r="3322">
      <c r="A3322" s="3">
        <v>774.0</v>
      </c>
      <c r="B3322" s="3" t="s">
        <v>6738</v>
      </c>
      <c r="C3322" s="3" t="s">
        <v>190</v>
      </c>
      <c r="D3322" s="3" t="s">
        <v>2954</v>
      </c>
      <c r="E3322" s="3" t="s">
        <v>7229</v>
      </c>
      <c r="F3322" s="3" t="s">
        <v>2956</v>
      </c>
      <c r="G3322" s="3" t="str">
        <f>IFERROR(__xludf.DUMMYFUNCTION("GOOGLETRANSLATE(D3322,""fr"",""es"")"),"límites")</f>
        <v>límites</v>
      </c>
    </row>
    <row r="3323">
      <c r="A3323" s="3">
        <v>775.0</v>
      </c>
      <c r="B3323" s="3" t="s">
        <v>6738</v>
      </c>
      <c r="C3323" s="3" t="s">
        <v>190</v>
      </c>
      <c r="D3323" s="3" t="s">
        <v>2959</v>
      </c>
      <c r="E3323" s="3" t="s">
        <v>7228</v>
      </c>
      <c r="F3323" s="3" t="s">
        <v>2950</v>
      </c>
      <c r="G3323" s="3" t="str">
        <f>IFERROR(__xludf.DUMMYFUNCTION("GOOGLETRANSLATE(D3323,""fr"",""es"")"),"limitado")</f>
        <v>limitado</v>
      </c>
    </row>
    <row r="3324">
      <c r="A3324" s="3">
        <v>776.0</v>
      </c>
      <c r="B3324" s="3" t="s">
        <v>6738</v>
      </c>
      <c r="C3324" s="3" t="s">
        <v>190</v>
      </c>
      <c r="D3324" s="3" t="s">
        <v>2957</v>
      </c>
      <c r="E3324" s="3" t="s">
        <v>7230</v>
      </c>
      <c r="F3324" s="3" t="s">
        <v>2959</v>
      </c>
      <c r="G3324" s="3" t="str">
        <f>IFERROR(__xludf.DUMMYFUNCTION("GOOGLETRANSLATE(D3324,""fr"",""es"")"),"limitación")</f>
        <v>limitación</v>
      </c>
    </row>
    <row r="3325">
      <c r="A3325" s="3">
        <v>777.0</v>
      </c>
      <c r="B3325" s="3" t="s">
        <v>6738</v>
      </c>
      <c r="C3325" s="3" t="s">
        <v>190</v>
      </c>
      <c r="D3325" s="3" t="s">
        <v>2960</v>
      </c>
      <c r="E3325" s="3" t="s">
        <v>7230</v>
      </c>
      <c r="F3325" s="3" t="s">
        <v>2959</v>
      </c>
      <c r="G3325" s="3" t="str">
        <f>IFERROR(__xludf.DUMMYFUNCTION("GOOGLETRANSLATE(D3325,""fr"",""es"")"),"límite")</f>
        <v>límite</v>
      </c>
    </row>
    <row r="3326">
      <c r="A3326" s="3">
        <v>778.0</v>
      </c>
      <c r="B3326" s="3" t="s">
        <v>6738</v>
      </c>
      <c r="C3326" s="3" t="s">
        <v>190</v>
      </c>
      <c r="D3326" s="3" t="s">
        <v>2961</v>
      </c>
      <c r="E3326" s="3" t="s">
        <v>7230</v>
      </c>
      <c r="F3326" s="3" t="s">
        <v>2959</v>
      </c>
      <c r="G3326" s="3" t="str">
        <f>IFERROR(__xludf.DUMMYFUNCTION("GOOGLETRANSLATE(D3326,""fr"",""es"")"),"limitaciones")</f>
        <v>limitaciones</v>
      </c>
    </row>
    <row r="3327">
      <c r="A3327" s="3">
        <v>779.0</v>
      </c>
      <c r="B3327" s="3" t="s">
        <v>6738</v>
      </c>
      <c r="C3327" s="3" t="s">
        <v>190</v>
      </c>
      <c r="D3327" s="3" t="s">
        <v>7231</v>
      </c>
      <c r="E3327" s="3" t="s">
        <v>7228</v>
      </c>
      <c r="F3327" s="3" t="s">
        <v>2950</v>
      </c>
      <c r="G3327" s="3" t="str">
        <f>IFERROR(__xludf.DUMMYFUNCTION("GOOGLETRANSLATE(D3327,""fr"",""es"")"),"límite")</f>
        <v>límite</v>
      </c>
    </row>
    <row r="3328">
      <c r="A3328" s="3">
        <v>780.0</v>
      </c>
      <c r="B3328" s="3" t="s">
        <v>6738</v>
      </c>
      <c r="C3328" s="3" t="s">
        <v>190</v>
      </c>
      <c r="D3328" s="3" t="s">
        <v>2962</v>
      </c>
      <c r="E3328" s="3" t="s">
        <v>7232</v>
      </c>
      <c r="F3328" s="3" t="s">
        <v>2964</v>
      </c>
      <c r="G3328" s="3" t="str">
        <f>IFERROR(__xludf.DUMMYFUNCTION("GOOGLETRANSLATE(D3328,""fr"",""es"")"),"Limaux")</f>
        <v>Limaux</v>
      </c>
    </row>
    <row r="3329">
      <c r="A3329" s="3">
        <v>781.0</v>
      </c>
      <c r="B3329" s="3" t="s">
        <v>6738</v>
      </c>
      <c r="C3329" s="3" t="s">
        <v>190</v>
      </c>
      <c r="D3329" s="3" t="s">
        <v>2965</v>
      </c>
      <c r="E3329" s="3" t="s">
        <v>7233</v>
      </c>
      <c r="F3329" s="3" t="s">
        <v>2967</v>
      </c>
      <c r="G3329" s="3" t="str">
        <f>IFERROR(__xludf.DUMMYFUNCTION("GOOGLETRANSLATE(D3329,""fr"",""es"")"),"lippe")</f>
        <v>lippe</v>
      </c>
    </row>
    <row r="3330">
      <c r="A3330" s="3">
        <v>782.0</v>
      </c>
      <c r="B3330" s="3" t="s">
        <v>6738</v>
      </c>
      <c r="C3330" s="3" t="s">
        <v>190</v>
      </c>
      <c r="D3330" s="3" t="s">
        <v>2968</v>
      </c>
      <c r="E3330" s="3" t="s">
        <v>7233</v>
      </c>
      <c r="F3330" s="3" t="s">
        <v>2967</v>
      </c>
      <c r="G3330" s="3" t="str">
        <f>IFERROR(__xludf.DUMMYFUNCTION("GOOGLETRANSLATE(D3330,""fr"",""es"")"),"lippes")</f>
        <v>lippes</v>
      </c>
    </row>
    <row r="3331">
      <c r="A3331" s="3">
        <v>783.0</v>
      </c>
      <c r="B3331" s="3" t="s">
        <v>6738</v>
      </c>
      <c r="C3331" s="3" t="s">
        <v>190</v>
      </c>
      <c r="D3331" s="3" t="s">
        <v>7234</v>
      </c>
      <c r="E3331" s="3" t="s">
        <v>7235</v>
      </c>
      <c r="F3331" s="3" t="s">
        <v>2971</v>
      </c>
      <c r="G3331" s="3" t="str">
        <f>IFERROR(__xludf.DUMMYFUNCTION("GOOGLETRANSLATE(D3331,""fr"",""es"")"),"lissa")</f>
        <v>lissa</v>
      </c>
    </row>
    <row r="3332">
      <c r="A3332" s="3">
        <v>784.0</v>
      </c>
      <c r="B3332" s="3" t="s">
        <v>6738</v>
      </c>
      <c r="C3332" s="3" t="s">
        <v>190</v>
      </c>
      <c r="D3332" s="3" t="s">
        <v>2975</v>
      </c>
      <c r="E3332" s="3" t="s">
        <v>7236</v>
      </c>
      <c r="F3332" s="3" t="s">
        <v>2977</v>
      </c>
      <c r="G3332" s="3" t="str">
        <f>IFERROR(__xludf.DUMMYFUNCTION("GOOGLETRANSLATE(D3332,""fr"",""es"")"),"de fumar")</f>
        <v>de fumar</v>
      </c>
    </row>
    <row r="3333">
      <c r="A3333" s="3">
        <v>785.0</v>
      </c>
      <c r="B3333" s="3" t="s">
        <v>6738</v>
      </c>
      <c r="C3333" s="3" t="s">
        <v>190</v>
      </c>
      <c r="D3333" s="3" t="s">
        <v>7237</v>
      </c>
      <c r="E3333" s="3" t="s">
        <v>7235</v>
      </c>
      <c r="F3333" s="3" t="s">
        <v>2971</v>
      </c>
      <c r="G3333" s="3" t="str">
        <f>IFERROR(__xludf.DUMMYFUNCTION("GOOGLETRANSLATE(D3333,""fr"",""es"")"),"lisas")</f>
        <v>lisas</v>
      </c>
    </row>
    <row r="3334">
      <c r="A3334" s="3">
        <v>786.0</v>
      </c>
      <c r="B3334" s="3" t="s">
        <v>6738</v>
      </c>
      <c r="C3334" s="3" t="s">
        <v>190</v>
      </c>
      <c r="D3334" s="3" t="s">
        <v>2978</v>
      </c>
      <c r="E3334" s="3" t="s">
        <v>7238</v>
      </c>
      <c r="F3334" s="3" t="s">
        <v>2980</v>
      </c>
      <c r="G3334" s="3" t="str">
        <f>IFERROR(__xludf.DUMMYFUNCTION("GOOGLETRANSLATE(D3334,""fr"",""es"")"),"Correa")</f>
        <v>Correa</v>
      </c>
    </row>
    <row r="3335">
      <c r="A3335" s="3">
        <v>787.0</v>
      </c>
      <c r="B3335" s="3" t="s">
        <v>6738</v>
      </c>
      <c r="C3335" s="3" t="s">
        <v>190</v>
      </c>
      <c r="D3335" s="3" t="s">
        <v>2981</v>
      </c>
      <c r="E3335" s="3" t="s">
        <v>7238</v>
      </c>
      <c r="F3335" s="3" t="s">
        <v>2980</v>
      </c>
      <c r="G3335" s="3" t="str">
        <f>IFERROR(__xludf.DUMMYFUNCTION("GOOGLETRANSLATE(D3335,""fr"",""es"")"),"presumido")</f>
        <v>presumido</v>
      </c>
    </row>
    <row r="3336">
      <c r="A3336" s="3">
        <v>788.0</v>
      </c>
      <c r="B3336" s="3" t="s">
        <v>6738</v>
      </c>
      <c r="C3336" s="3" t="s">
        <v>190</v>
      </c>
      <c r="D3336" s="3" t="s">
        <v>2982</v>
      </c>
      <c r="E3336" s="3" t="s">
        <v>7238</v>
      </c>
      <c r="F3336" s="3" t="s">
        <v>2980</v>
      </c>
      <c r="G3336" s="3" t="str">
        <f>IFERROR(__xludf.DUMMYFUNCTION("GOOGLETRANSLATE(D3336,""fr"",""es"")"),"lissasses")</f>
        <v>lissasses</v>
      </c>
    </row>
    <row r="3337">
      <c r="A3337" s="3">
        <v>789.0</v>
      </c>
      <c r="B3337" s="3" t="s">
        <v>6738</v>
      </c>
      <c r="C3337" s="3" t="s">
        <v>190</v>
      </c>
      <c r="D3337" s="3" t="s">
        <v>7239</v>
      </c>
      <c r="E3337" s="3" t="s">
        <v>7235</v>
      </c>
      <c r="F3337" s="3" t="s">
        <v>2971</v>
      </c>
      <c r="G3337" s="3" t="str">
        <f>IFERROR(__xludf.DUMMYFUNCTION("GOOGLETRANSLATE(D3337,""fr"",""es"")"),"de fumar")</f>
        <v>de fumar</v>
      </c>
    </row>
    <row r="3338">
      <c r="A3338" s="3">
        <v>790.0</v>
      </c>
      <c r="B3338" s="3" t="s">
        <v>6738</v>
      </c>
      <c r="C3338" s="3" t="s">
        <v>190</v>
      </c>
      <c r="D3338" s="3" t="s">
        <v>2983</v>
      </c>
      <c r="E3338" s="3" t="s">
        <v>7202</v>
      </c>
      <c r="F3338" s="3" t="s">
        <v>2826</v>
      </c>
      <c r="G3338" s="3" t="str">
        <f>IFERROR(__xludf.DUMMYFUNCTION("GOOGLETRANSLATE(D3338,""fr"",""es"")"),"suave")</f>
        <v>suave</v>
      </c>
      <c r="H3338" s="3" t="s">
        <v>2984</v>
      </c>
      <c r="I3338" s="3" t="s">
        <v>2985</v>
      </c>
      <c r="J3338" s="3" t="s">
        <v>2986</v>
      </c>
      <c r="K3338" s="3" t="s">
        <v>2985</v>
      </c>
      <c r="L3338" s="3" t="s">
        <v>2987</v>
      </c>
      <c r="M3338" s="3" t="s">
        <v>2988</v>
      </c>
      <c r="N3338" s="3" t="s">
        <v>2989</v>
      </c>
      <c r="O3338" s="3" t="s">
        <v>2990</v>
      </c>
      <c r="P3338" s="3" t="s">
        <v>2991</v>
      </c>
      <c r="Q3338" s="3" t="s">
        <v>2985</v>
      </c>
      <c r="R3338" s="3" t="s">
        <v>2985</v>
      </c>
      <c r="S3338" s="3" t="s">
        <v>2985</v>
      </c>
      <c r="T3338" s="3" t="s">
        <v>2985</v>
      </c>
      <c r="U3338" s="3" t="s">
        <v>2985</v>
      </c>
      <c r="V3338" s="3" t="s">
        <v>2985</v>
      </c>
      <c r="W3338" s="3" t="s">
        <v>2992</v>
      </c>
    </row>
    <row r="3339">
      <c r="A3339" s="3">
        <v>791.0</v>
      </c>
      <c r="B3339" s="3" t="s">
        <v>6738</v>
      </c>
      <c r="C3339" s="3" t="s">
        <v>190</v>
      </c>
      <c r="D3339" s="3" t="s">
        <v>2993</v>
      </c>
      <c r="E3339" s="3" t="s">
        <v>7202</v>
      </c>
      <c r="F3339" s="3" t="s">
        <v>2826</v>
      </c>
      <c r="G3339" s="3" t="str">
        <f>IFERROR(__xludf.DUMMYFUNCTION("GOOGLETRANSLATE(D3339,""fr"",""es"")"),"suavizado")</f>
        <v>suavizado</v>
      </c>
    </row>
    <row r="3340">
      <c r="A3340" s="3">
        <v>792.0</v>
      </c>
      <c r="B3340" s="3" t="s">
        <v>6738</v>
      </c>
      <c r="C3340" s="3" t="s">
        <v>190</v>
      </c>
      <c r="D3340" s="3" t="s">
        <v>2994</v>
      </c>
      <c r="E3340" s="3" t="s">
        <v>7202</v>
      </c>
      <c r="F3340" s="3" t="s">
        <v>2826</v>
      </c>
      <c r="G3340" s="3" t="str">
        <f>IFERROR(__xludf.DUMMYFUNCTION("GOOGLETRANSLATE(D3340,""fr"",""es"")"),"suave")</f>
        <v>suave</v>
      </c>
    </row>
    <row r="3341">
      <c r="A3341" s="3">
        <v>793.0</v>
      </c>
      <c r="B3341" s="3" t="s">
        <v>6738</v>
      </c>
      <c r="C3341" s="3" t="s">
        <v>190</v>
      </c>
      <c r="D3341" s="3" t="s">
        <v>3017</v>
      </c>
      <c r="E3341" s="3" t="s">
        <v>2851</v>
      </c>
      <c r="F3341" s="3" t="s">
        <v>2852</v>
      </c>
      <c r="G3341" s="3" t="str">
        <f>IFERROR(__xludf.DUMMYFUNCTION("GOOGLETRANSLATE(D3341,""fr"",""es"")"),"cama")</f>
        <v>cama</v>
      </c>
      <c r="H3341" s="3" t="s">
        <v>3018</v>
      </c>
      <c r="I3341" s="3" t="s">
        <v>3019</v>
      </c>
      <c r="J3341" s="3" t="s">
        <v>2037</v>
      </c>
      <c r="K3341" s="3" t="s">
        <v>3020</v>
      </c>
      <c r="L3341" s="3" t="s">
        <v>3021</v>
      </c>
      <c r="M3341" s="3" t="s">
        <v>3022</v>
      </c>
      <c r="N3341" s="3" t="s">
        <v>3023</v>
      </c>
      <c r="O3341" s="3" t="s">
        <v>3024</v>
      </c>
      <c r="P3341" s="3" t="s">
        <v>3025</v>
      </c>
      <c r="Q3341" s="3" t="s">
        <v>3026</v>
      </c>
      <c r="R3341" s="3" t="s">
        <v>2037</v>
      </c>
      <c r="S3341" s="3" t="s">
        <v>2037</v>
      </c>
      <c r="T3341" s="3" t="s">
        <v>2037</v>
      </c>
      <c r="U3341" s="3" t="s">
        <v>2037</v>
      </c>
      <c r="V3341" s="3" t="s">
        <v>2037</v>
      </c>
      <c r="W3341" s="3" t="s">
        <v>2037</v>
      </c>
      <c r="X3341" s="3" t="s">
        <v>2037</v>
      </c>
      <c r="Y3341" s="3" t="s">
        <v>3027</v>
      </c>
      <c r="Z3341" s="3" t="s">
        <v>2894</v>
      </c>
      <c r="AA3341" s="3" t="s">
        <v>2034</v>
      </c>
      <c r="AB3341" s="3" t="s">
        <v>2037</v>
      </c>
      <c r="AC3341" s="3" t="s">
        <v>2911</v>
      </c>
      <c r="AD3341" s="3" t="s">
        <v>2037</v>
      </c>
      <c r="AE3341" s="3" t="s">
        <v>2037</v>
      </c>
      <c r="AF3341" s="3" t="s">
        <v>3028</v>
      </c>
      <c r="AG3341" s="3" t="s">
        <v>2037</v>
      </c>
    </row>
    <row r="3342">
      <c r="A3342" s="3">
        <v>794.0</v>
      </c>
      <c r="B3342" s="3" t="s">
        <v>6738</v>
      </c>
      <c r="C3342" s="3" t="s">
        <v>190</v>
      </c>
      <c r="D3342" s="3" t="s">
        <v>3029</v>
      </c>
      <c r="E3342" s="3" t="s">
        <v>7240</v>
      </c>
      <c r="F3342" s="3" t="s">
        <v>3031</v>
      </c>
      <c r="G3342" s="3" t="str">
        <f>IFERROR(__xludf.DUMMYFUNCTION("GOOGLETRANSLATE(D3342,""fr"",""es"")"),"letanía")</f>
        <v>letanía</v>
      </c>
      <c r="H3342" s="3" t="s">
        <v>3032</v>
      </c>
      <c r="I3342" s="3" t="s">
        <v>3033</v>
      </c>
    </row>
    <row r="3343">
      <c r="A3343" s="3">
        <v>795.0</v>
      </c>
      <c r="B3343" s="3" t="s">
        <v>6738</v>
      </c>
      <c r="C3343" s="3" t="s">
        <v>190</v>
      </c>
      <c r="D3343" s="3" t="s">
        <v>3034</v>
      </c>
      <c r="E3343" s="3" t="s">
        <v>7240</v>
      </c>
      <c r="F3343" s="3" t="s">
        <v>3031</v>
      </c>
      <c r="G3343" s="3" t="str">
        <f>IFERROR(__xludf.DUMMYFUNCTION("GOOGLETRANSLATE(D3343,""fr"",""es"")"),"letanías")</f>
        <v>letanías</v>
      </c>
    </row>
    <row r="3344">
      <c r="A3344" s="3">
        <v>796.0</v>
      </c>
      <c r="B3344" s="3" t="s">
        <v>6738</v>
      </c>
      <c r="C3344" s="3" t="s">
        <v>190</v>
      </c>
      <c r="D3344" s="3" t="s">
        <v>3035</v>
      </c>
      <c r="E3344" s="3" t="s">
        <v>2851</v>
      </c>
      <c r="F3344" s="3" t="s">
        <v>2852</v>
      </c>
      <c r="G3344" s="3" t="str">
        <f>IFERROR(__xludf.DUMMYFUNCTION("GOOGLETRANSLATE(D3344,""fr"",""es"")"),"camas")</f>
        <v>camas</v>
      </c>
    </row>
    <row r="3345">
      <c r="A3345" s="3">
        <v>797.0</v>
      </c>
      <c r="B3345" s="3" t="s">
        <v>6738</v>
      </c>
      <c r="C3345" s="3" t="s">
        <v>190</v>
      </c>
      <c r="D3345" s="3" t="s">
        <v>3036</v>
      </c>
      <c r="E3345" s="3" t="s">
        <v>7241</v>
      </c>
      <c r="F3345" s="3" t="s">
        <v>135</v>
      </c>
      <c r="G3345" s="3" t="str">
        <f>IFERROR(__xludf.DUMMYFUNCTION("GOOGLETRANSLATE(D3345,""fr"",""es"")"),"Mira")</f>
        <v>Mira</v>
      </c>
    </row>
    <row r="3346">
      <c r="A3346" s="3">
        <v>798.0</v>
      </c>
      <c r="B3346" s="3" t="s">
        <v>6738</v>
      </c>
      <c r="C3346" s="3" t="s">
        <v>190</v>
      </c>
      <c r="D3346" s="3" t="s">
        <v>3038</v>
      </c>
      <c r="E3346" s="3" t="s">
        <v>7241</v>
      </c>
      <c r="F3346" s="3" t="s">
        <v>135</v>
      </c>
      <c r="G3346" s="3" t="str">
        <f>IFERROR(__xludf.DUMMYFUNCTION("GOOGLETRANSLATE(D3346,""fr"",""es"")"),"rodillo")</f>
        <v>rodillo</v>
      </c>
    </row>
    <row r="3347">
      <c r="A3347" s="3">
        <v>799.0</v>
      </c>
      <c r="B3347" s="3" t="s">
        <v>6738</v>
      </c>
      <c r="C3347" s="3" t="s">
        <v>190</v>
      </c>
      <c r="D3347" s="3" t="s">
        <v>7242</v>
      </c>
      <c r="E3347" s="3" t="s">
        <v>7243</v>
      </c>
      <c r="F3347" s="3" t="s">
        <v>3041</v>
      </c>
      <c r="G3347" s="3" t="str">
        <f>IFERROR(__xludf.DUMMYFUNCTION("GOOGLETRANSLATE(D3347,""fr"",""es"")"),"lobo")</f>
        <v>lobo</v>
      </c>
    </row>
    <row r="3348">
      <c r="A3348" s="3">
        <v>800.0</v>
      </c>
      <c r="B3348" s="3" t="s">
        <v>6738</v>
      </c>
      <c r="C3348" s="3" t="s">
        <v>190</v>
      </c>
      <c r="D3348" s="3" t="s">
        <v>3045</v>
      </c>
      <c r="E3348" s="3" t="s">
        <v>7244</v>
      </c>
      <c r="F3348" s="3" t="s">
        <v>3047</v>
      </c>
      <c r="G3348" s="3" t="str">
        <f>IFERROR(__xludf.DUMMYFUNCTION("GOOGLETRANSLATE(D3348,""fr"",""es"")"),"louch.")</f>
        <v>louch.</v>
      </c>
    </row>
    <row r="3349">
      <c r="A3349" s="3">
        <v>801.0</v>
      </c>
      <c r="B3349" s="3" t="s">
        <v>6738</v>
      </c>
      <c r="C3349" s="3" t="s">
        <v>190</v>
      </c>
      <c r="D3349" s="3" t="s">
        <v>7245</v>
      </c>
      <c r="E3349" s="3" t="s">
        <v>7243</v>
      </c>
      <c r="F3349" s="3" t="s">
        <v>3041</v>
      </c>
      <c r="G3349" s="3" t="str">
        <f>IFERROR(__xludf.DUMMYFUNCTION("GOOGLETRANSLATE(D3349,""fr"",""es"")"),"lobo")</f>
        <v>lobo</v>
      </c>
    </row>
    <row r="3350">
      <c r="A3350" s="3">
        <v>802.0</v>
      </c>
      <c r="B3350" s="3" t="s">
        <v>6738</v>
      </c>
      <c r="C3350" s="3" t="s">
        <v>190</v>
      </c>
      <c r="D3350" s="3" t="s">
        <v>3048</v>
      </c>
      <c r="E3350" s="3" t="s">
        <v>7246</v>
      </c>
      <c r="F3350" s="3" t="s">
        <v>3050</v>
      </c>
      <c r="G3350" s="3" t="str">
        <f>IFERROR(__xludf.DUMMYFUNCTION("GOOGLETRANSLATE(D3350,""fr"",""es"")"),"miscero")</f>
        <v>miscero</v>
      </c>
    </row>
    <row r="3351">
      <c r="A3351" s="3">
        <v>803.0</v>
      </c>
      <c r="B3351" s="3" t="s">
        <v>6738</v>
      </c>
      <c r="C3351" s="3" t="s">
        <v>190</v>
      </c>
      <c r="D3351" s="3" t="s">
        <v>3051</v>
      </c>
      <c r="E3351" s="3" t="s">
        <v>7246</v>
      </c>
      <c r="F3351" s="3" t="s">
        <v>3050</v>
      </c>
      <c r="G3351" s="3" t="str">
        <f>IFERROR(__xludf.DUMMYFUNCTION("GOOGLETRANSLATE(D3351,""fr"",""es"")"),"elogio")</f>
        <v>elogio</v>
      </c>
    </row>
    <row r="3352">
      <c r="A3352" s="3">
        <v>804.0</v>
      </c>
      <c r="B3352" s="3" t="s">
        <v>6738</v>
      </c>
      <c r="C3352" s="3" t="s">
        <v>190</v>
      </c>
      <c r="D3352" s="3" t="s">
        <v>3052</v>
      </c>
      <c r="E3352" s="3" t="s">
        <v>7246</v>
      </c>
      <c r="F3352" s="3" t="s">
        <v>3050</v>
      </c>
      <c r="G3352" s="3" t="str">
        <f>IFERROR(__xludf.DUMMYFUNCTION("GOOGLETRANSLATE(D3352,""fr"",""es"")"),"mala conducta")</f>
        <v>mala conducta</v>
      </c>
    </row>
    <row r="3353">
      <c r="A3353" s="3">
        <v>805.0</v>
      </c>
      <c r="B3353" s="3" t="s">
        <v>6738</v>
      </c>
      <c r="C3353" s="3" t="s">
        <v>190</v>
      </c>
      <c r="D3353" s="3" t="s">
        <v>7247</v>
      </c>
      <c r="E3353" s="3" t="s">
        <v>7243</v>
      </c>
      <c r="F3353" s="3" t="s">
        <v>3041</v>
      </c>
      <c r="G3353" s="3" t="str">
        <f>IFERROR(__xludf.DUMMYFUNCTION("GOOGLETRANSLATE(D3353,""fr"",""es"")"),"exuberante")</f>
        <v>exuberante</v>
      </c>
    </row>
    <row r="3354">
      <c r="A3354" s="3">
        <v>806.0</v>
      </c>
      <c r="B3354" s="3" t="s">
        <v>6738</v>
      </c>
      <c r="C3354" s="3" t="s">
        <v>190</v>
      </c>
      <c r="D3354" s="3" t="s">
        <v>3053</v>
      </c>
      <c r="E3354" s="3" t="s">
        <v>7248</v>
      </c>
      <c r="F3354" s="3" t="s">
        <v>3055</v>
      </c>
      <c r="G3354" s="3" t="str">
        <f>IFERROR(__xludf.DUMMYFUNCTION("GOOGLETRANSLATE(D3354,""fr"",""es"")"),"sospechoso")</f>
        <v>sospechoso</v>
      </c>
      <c r="H3354" s="3" t="s">
        <v>3056</v>
      </c>
      <c r="I3354" s="3" t="s">
        <v>3057</v>
      </c>
      <c r="J3354" s="3" t="s">
        <v>3058</v>
      </c>
      <c r="K3354" s="3" t="s">
        <v>3056</v>
      </c>
      <c r="L3354" s="3" t="s">
        <v>3059</v>
      </c>
      <c r="M3354" s="3" t="s">
        <v>3060</v>
      </c>
      <c r="N3354" s="3" t="s">
        <v>3061</v>
      </c>
      <c r="O3354" s="3" t="s">
        <v>3062</v>
      </c>
      <c r="P3354" s="3" t="s">
        <v>3063</v>
      </c>
      <c r="Q3354" s="3" t="s">
        <v>3064</v>
      </c>
      <c r="R3354" s="3" t="s">
        <v>3065</v>
      </c>
      <c r="S3354" s="3" t="s">
        <v>3066</v>
      </c>
      <c r="T3354" s="3" t="s">
        <v>3067</v>
      </c>
      <c r="U3354" s="3" t="s">
        <v>3068</v>
      </c>
      <c r="V3354" s="3" t="s">
        <v>3056</v>
      </c>
    </row>
    <row r="3355">
      <c r="A3355" s="3">
        <v>807.0</v>
      </c>
      <c r="B3355" s="3" t="s">
        <v>6738</v>
      </c>
      <c r="C3355" s="3" t="s">
        <v>190</v>
      </c>
      <c r="D3355" s="3" t="s">
        <v>3069</v>
      </c>
      <c r="E3355" s="3" t="s">
        <v>7248</v>
      </c>
      <c r="F3355" s="3" t="s">
        <v>3055</v>
      </c>
      <c r="G3355" s="3" t="str">
        <f>IFERROR(__xludf.DUMMYFUNCTION("GOOGLETRANSLATE(D3355,""fr"",""es"")"),"sombreado")</f>
        <v>sombreado</v>
      </c>
    </row>
    <row r="3356">
      <c r="A3356" s="3">
        <v>808.0</v>
      </c>
      <c r="B3356" s="3" t="s">
        <v>6738</v>
      </c>
      <c r="C3356" s="3" t="s">
        <v>190</v>
      </c>
      <c r="D3356" s="3" t="s">
        <v>3070</v>
      </c>
      <c r="E3356" s="3" t="s">
        <v>7248</v>
      </c>
      <c r="F3356" s="3" t="s">
        <v>3055</v>
      </c>
      <c r="G3356" s="3" t="str">
        <f>IFERROR(__xludf.DUMMYFUNCTION("GOOGLETRANSLATE(D3356,""fr"",""es"")"),"sombreado")</f>
        <v>sombreado</v>
      </c>
    </row>
    <row r="3357">
      <c r="A3357" s="3">
        <v>809.0</v>
      </c>
      <c r="B3357" s="3" t="s">
        <v>6738</v>
      </c>
      <c r="C3357" s="3" t="s">
        <v>190</v>
      </c>
      <c r="D3357" s="3" t="s">
        <v>3071</v>
      </c>
      <c r="E3357" s="3" t="s">
        <v>3072</v>
      </c>
      <c r="F3357" s="3" t="s">
        <v>3073</v>
      </c>
      <c r="G3357" s="3" t="str">
        <f>IFERROR(__xludf.DUMMYFUNCTION("GOOGLETRANSLATE(D3357,""fr"",""es"")"),"alquilado")</f>
        <v>alquilado</v>
      </c>
    </row>
    <row r="3358">
      <c r="A3358" s="3">
        <v>810.0</v>
      </c>
      <c r="B3358" s="3" t="s">
        <v>6738</v>
      </c>
      <c r="C3358" s="3" t="s">
        <v>190</v>
      </c>
      <c r="D3358" s="3" t="s">
        <v>3074</v>
      </c>
      <c r="E3358" s="3" t="s">
        <v>3072</v>
      </c>
      <c r="F3358" s="3" t="s">
        <v>3073</v>
      </c>
      <c r="G3358" s="3" t="str">
        <f>IFERROR(__xludf.DUMMYFUNCTION("GOOGLETRANSLATE(D3358,""fr"",""es"")"),"elogio")</f>
        <v>elogio</v>
      </c>
    </row>
    <row r="3359">
      <c r="A3359" s="3">
        <v>811.0</v>
      </c>
      <c r="B3359" s="3" t="s">
        <v>6738</v>
      </c>
      <c r="C3359" s="3" t="s">
        <v>190</v>
      </c>
      <c r="D3359" s="3" t="s">
        <v>3075</v>
      </c>
      <c r="E3359" s="3" t="s">
        <v>3072</v>
      </c>
      <c r="F3359" s="3" t="s">
        <v>3073</v>
      </c>
      <c r="G3359" s="3" t="str">
        <f>IFERROR(__xludf.DUMMYFUNCTION("GOOGLETRANSLATE(D3359,""fr"",""es"")"),"carrete")</f>
        <v>carrete</v>
      </c>
    </row>
    <row r="3360">
      <c r="A3360" s="3">
        <v>812.0</v>
      </c>
      <c r="B3360" s="3" t="s">
        <v>6738</v>
      </c>
      <c r="C3360" s="3" t="s">
        <v>190</v>
      </c>
      <c r="D3360" s="3" t="s">
        <v>3076</v>
      </c>
      <c r="E3360" s="3" t="s">
        <v>7249</v>
      </c>
      <c r="F3360" s="3" t="s">
        <v>3078</v>
      </c>
      <c r="G3360" s="3" t="str">
        <f>IFERROR(__xludf.DUMMYFUNCTION("GOOGLETRANSLATE(D3360,""fr"",""es"")"),"Loukoum")</f>
        <v>Loukoum</v>
      </c>
      <c r="H3360" s="3" t="s">
        <v>3079</v>
      </c>
    </row>
    <row r="3361">
      <c r="A3361" s="3">
        <v>813.0</v>
      </c>
      <c r="B3361" s="3" t="s">
        <v>6738</v>
      </c>
      <c r="C3361" s="3" t="s">
        <v>190</v>
      </c>
      <c r="D3361" s="3" t="s">
        <v>3080</v>
      </c>
      <c r="E3361" s="3" t="s">
        <v>7249</v>
      </c>
      <c r="F3361" s="3" t="s">
        <v>3078</v>
      </c>
      <c r="G3361" s="3" t="str">
        <f>IFERROR(__xludf.DUMMYFUNCTION("GOOGLETRANSLATE(D3361,""fr"",""es"")"),"Delicia Turca")</f>
        <v>Delicia Turca</v>
      </c>
    </row>
    <row r="3362">
      <c r="A3362" s="3">
        <v>814.0</v>
      </c>
      <c r="B3362" s="3" t="s">
        <v>6738</v>
      </c>
      <c r="C3362" s="3" t="s">
        <v>190</v>
      </c>
      <c r="D3362" s="3" t="s">
        <v>3081</v>
      </c>
      <c r="E3362" s="3" t="s">
        <v>7250</v>
      </c>
      <c r="F3362" s="3" t="s">
        <v>3083</v>
      </c>
      <c r="G3362" s="3" t="str">
        <f>IFERROR(__xludf.DUMMYFUNCTION("GOOGLETRANSLATE(D3362,""fr"",""es"")"),"loulou")</f>
        <v>loulou</v>
      </c>
    </row>
    <row r="3363">
      <c r="A3363" s="3">
        <v>815.0</v>
      </c>
      <c r="B3363" s="3" t="s">
        <v>6738</v>
      </c>
      <c r="C3363" s="3" t="s">
        <v>190</v>
      </c>
      <c r="D3363" s="3" t="s">
        <v>3084</v>
      </c>
      <c r="E3363" s="3" t="s">
        <v>7250</v>
      </c>
      <c r="F3363" s="3" t="s">
        <v>3083</v>
      </c>
      <c r="G3363" s="3" t="str">
        <f>IFERROR(__xludf.DUMMYFUNCTION("GOOGLETRANSLATE(D3363,""fr"",""es"")"),"enemigo")</f>
        <v>enemigo</v>
      </c>
    </row>
    <row r="3364">
      <c r="A3364" s="3">
        <v>816.0</v>
      </c>
      <c r="B3364" s="3" t="s">
        <v>6738</v>
      </c>
      <c r="C3364" s="3" t="s">
        <v>190</v>
      </c>
      <c r="D3364" s="3" t="s">
        <v>3085</v>
      </c>
      <c r="E3364" s="3" t="s">
        <v>3072</v>
      </c>
      <c r="F3364" s="3" t="s">
        <v>3073</v>
      </c>
      <c r="G3364" s="3" t="str">
        <f>IFERROR(__xludf.DUMMYFUNCTION("GOOGLETRANSLATE(D3364,""fr"",""es"")"),"lobo")</f>
        <v>lobo</v>
      </c>
      <c r="H3364" s="3" t="s">
        <v>3086</v>
      </c>
      <c r="I3364" s="3" t="s">
        <v>3087</v>
      </c>
      <c r="J3364" s="3" t="s">
        <v>3086</v>
      </c>
      <c r="K3364" s="3" t="s">
        <v>3088</v>
      </c>
      <c r="L3364" s="3" t="s">
        <v>3089</v>
      </c>
      <c r="M3364" s="3" t="s">
        <v>3090</v>
      </c>
      <c r="N3364" s="3" t="s">
        <v>3091</v>
      </c>
      <c r="O3364" s="3" t="s">
        <v>3092</v>
      </c>
      <c r="P3364" s="3" t="s">
        <v>620</v>
      </c>
      <c r="Q3364" s="3" t="s">
        <v>3086</v>
      </c>
      <c r="R3364" s="3" t="s">
        <v>3093</v>
      </c>
      <c r="S3364" s="3" t="s">
        <v>621</v>
      </c>
      <c r="T3364" s="3" t="s">
        <v>3094</v>
      </c>
      <c r="U3364" s="3" t="s">
        <v>3086</v>
      </c>
      <c r="V3364" s="3" t="s">
        <v>3095</v>
      </c>
      <c r="W3364" s="3" t="s">
        <v>3096</v>
      </c>
      <c r="X3364" s="3" t="s">
        <v>3097</v>
      </c>
      <c r="Y3364" s="3" t="s">
        <v>3098</v>
      </c>
    </row>
    <row r="3365">
      <c r="A3365" s="3">
        <v>817.0</v>
      </c>
      <c r="B3365" s="3" t="s">
        <v>6738</v>
      </c>
      <c r="C3365" s="3" t="s">
        <v>190</v>
      </c>
      <c r="D3365" s="3" t="s">
        <v>7251</v>
      </c>
      <c r="E3365" s="3" t="s">
        <v>7252</v>
      </c>
      <c r="F3365" s="3" t="s">
        <v>3101</v>
      </c>
      <c r="G3365" s="3" t="str">
        <f>IFERROR(__xludf.DUMMYFUNCTION("GOOGLETRANSLATE(D3365,""fr"",""es"")"),"lupa")</f>
        <v>lupa</v>
      </c>
    </row>
    <row r="3366">
      <c r="A3366" s="3">
        <v>818.0</v>
      </c>
      <c r="B3366" s="3" t="s">
        <v>6738</v>
      </c>
      <c r="C3366" s="3" t="s">
        <v>190</v>
      </c>
      <c r="D3366" s="3" t="s">
        <v>3105</v>
      </c>
      <c r="E3366" s="3" t="s">
        <v>7253</v>
      </c>
      <c r="F3366" s="3" t="s">
        <v>3107</v>
      </c>
      <c r="G3366" s="3" t="str">
        <f>IFERROR(__xludf.DUMMYFUNCTION("GOOGLETRANSLATE(D3366,""fr"",""es"")"),"lobo")</f>
        <v>lobo</v>
      </c>
    </row>
    <row r="3367">
      <c r="A3367" s="3">
        <v>819.0</v>
      </c>
      <c r="B3367" s="3" t="s">
        <v>6738</v>
      </c>
      <c r="C3367" s="3" t="s">
        <v>190</v>
      </c>
      <c r="D3367" s="3" t="s">
        <v>7254</v>
      </c>
      <c r="E3367" s="3" t="s">
        <v>7252</v>
      </c>
      <c r="F3367" s="3" t="s">
        <v>3101</v>
      </c>
      <c r="G3367" s="3" t="str">
        <f>IFERROR(__xludf.DUMMYFUNCTION("GOOGLETRANSLATE(D3367,""fr"",""es"")"),"lupas")</f>
        <v>lupas</v>
      </c>
    </row>
    <row r="3368">
      <c r="A3368" s="3">
        <v>820.0</v>
      </c>
      <c r="B3368" s="3" t="s">
        <v>6738</v>
      </c>
      <c r="C3368" s="3" t="s">
        <v>190</v>
      </c>
      <c r="D3368" s="3" t="s">
        <v>3108</v>
      </c>
      <c r="E3368" s="3" t="s">
        <v>7255</v>
      </c>
      <c r="F3368" s="3" t="s">
        <v>3110</v>
      </c>
      <c r="G3368" s="3" t="str">
        <f>IFERROR(__xludf.DUMMYFUNCTION("GOOGLETRANSLATE(D3368,""fr"",""es"")"),"luminoso")</f>
        <v>luminoso</v>
      </c>
    </row>
    <row r="3369">
      <c r="A3369" s="3">
        <v>821.0</v>
      </c>
      <c r="B3369" s="3" t="s">
        <v>6738</v>
      </c>
      <c r="C3369" s="3" t="s">
        <v>190</v>
      </c>
      <c r="D3369" s="3" t="s">
        <v>3111</v>
      </c>
      <c r="E3369" s="3" t="s">
        <v>7255</v>
      </c>
      <c r="F3369" s="3" t="s">
        <v>3110</v>
      </c>
      <c r="G3369" s="3" t="str">
        <f>IFERROR(__xludf.DUMMYFUNCTION("GOOGLETRANSLATE(D3369,""fr"",""es"")"),"luminoso")</f>
        <v>luminoso</v>
      </c>
    </row>
    <row r="3370">
      <c r="A3370" s="3">
        <v>822.0</v>
      </c>
      <c r="B3370" s="3" t="s">
        <v>6738</v>
      </c>
      <c r="C3370" s="3" t="s">
        <v>190</v>
      </c>
      <c r="D3370" s="3" t="s">
        <v>3112</v>
      </c>
      <c r="E3370" s="3" t="s">
        <v>7255</v>
      </c>
      <c r="F3370" s="3" t="s">
        <v>3110</v>
      </c>
      <c r="G3370" s="3" t="str">
        <f>IFERROR(__xludf.DUMMYFUNCTION("GOOGLETRANSLATE(D3370,""fr"",""es"")"),"luminoso")</f>
        <v>luminoso</v>
      </c>
    </row>
    <row r="3371">
      <c r="A3371" s="3">
        <v>823.0</v>
      </c>
      <c r="B3371" s="3" t="s">
        <v>6738</v>
      </c>
      <c r="C3371" s="3" t="s">
        <v>190</v>
      </c>
      <c r="D3371" s="3" t="s">
        <v>7256</v>
      </c>
      <c r="E3371" s="3" t="s">
        <v>7252</v>
      </c>
      <c r="F3371" s="3" t="s">
        <v>3101</v>
      </c>
      <c r="G3371" s="3" t="str">
        <f>IFERROR(__xludf.DUMMYFUNCTION("GOOGLETRANSLATE(D3371,""fr"",""es"")"),"lobo")</f>
        <v>lobo</v>
      </c>
    </row>
    <row r="3372">
      <c r="A3372" s="3">
        <v>824.0</v>
      </c>
      <c r="B3372" s="3" t="s">
        <v>6738</v>
      </c>
      <c r="C3372" s="3" t="s">
        <v>190</v>
      </c>
      <c r="D3372" s="3" t="s">
        <v>3113</v>
      </c>
      <c r="E3372" s="3" t="s">
        <v>7257</v>
      </c>
      <c r="F3372" s="3" t="s">
        <v>3115</v>
      </c>
      <c r="G3372" s="3" t="str">
        <f>IFERROR(__xludf.DUMMYFUNCTION("GOOGLETRANSLATE(D3372,""fr"",""es"")"),"lupa")</f>
        <v>lupa</v>
      </c>
      <c r="H3372" s="3" t="s">
        <v>3116</v>
      </c>
      <c r="I3372" s="3" t="s">
        <v>3117</v>
      </c>
      <c r="J3372" s="3" t="s">
        <v>3118</v>
      </c>
      <c r="K3372" s="3" t="s">
        <v>3113</v>
      </c>
      <c r="L3372" s="3" t="s">
        <v>3119</v>
      </c>
      <c r="M3372" s="3" t="s">
        <v>3120</v>
      </c>
      <c r="N3372" s="3" t="s">
        <v>3121</v>
      </c>
      <c r="O3372" s="3" t="s">
        <v>3122</v>
      </c>
      <c r="P3372" s="3" t="s">
        <v>3123</v>
      </c>
    </row>
    <row r="3373">
      <c r="A3373" s="3">
        <v>825.0</v>
      </c>
      <c r="B3373" s="3" t="s">
        <v>6738</v>
      </c>
      <c r="C3373" s="3" t="s">
        <v>190</v>
      </c>
      <c r="D3373" s="3" t="s">
        <v>3124</v>
      </c>
      <c r="E3373" s="3" t="s">
        <v>7257</v>
      </c>
      <c r="F3373" s="3" t="s">
        <v>3115</v>
      </c>
      <c r="G3373" s="3" t="str">
        <f>IFERROR(__xludf.DUMMYFUNCTION("GOOGLETRANSLATE(D3373,""fr"",""es"")"),"renuncia")</f>
        <v>renuncia</v>
      </c>
    </row>
    <row r="3374">
      <c r="A3374" s="3">
        <v>826.0</v>
      </c>
      <c r="B3374" s="3" t="s">
        <v>6738</v>
      </c>
      <c r="C3374" s="3" t="s">
        <v>190</v>
      </c>
      <c r="D3374" s="3" t="s">
        <v>3125</v>
      </c>
      <c r="E3374" s="3" t="s">
        <v>7257</v>
      </c>
      <c r="F3374" s="3" t="s">
        <v>3115</v>
      </c>
      <c r="G3374" s="3" t="str">
        <f>IFERROR(__xludf.DUMMYFUNCTION("GOOGLETRANSLATE(D3374,""fr"",""es"")"),"lanchas")</f>
        <v>lanchas</v>
      </c>
    </row>
    <row r="3375">
      <c r="A3375" s="3">
        <v>827.0</v>
      </c>
      <c r="B3375" s="3" t="s">
        <v>6738</v>
      </c>
      <c r="C3375" s="3" t="s">
        <v>190</v>
      </c>
      <c r="D3375" s="3" t="s">
        <v>3126</v>
      </c>
      <c r="E3375" s="3" t="s">
        <v>3072</v>
      </c>
      <c r="F3375" s="3" t="s">
        <v>3073</v>
      </c>
      <c r="G3375" s="3" t="str">
        <f>IFERROR(__xludf.DUMMYFUNCTION("GOOGLETRANSLATE(D3375,""fr"",""es"")"),"Lobos")</f>
        <v>Lobos</v>
      </c>
    </row>
    <row r="3376">
      <c r="A3376" s="3">
        <v>828.0</v>
      </c>
      <c r="B3376" s="3" t="s">
        <v>6738</v>
      </c>
      <c r="C3376" s="3" t="s">
        <v>190</v>
      </c>
      <c r="D3376" s="3" t="s">
        <v>3127</v>
      </c>
      <c r="E3376" s="3" t="s">
        <v>7202</v>
      </c>
      <c r="F3376" s="3" t="s">
        <v>2826</v>
      </c>
      <c r="G3376" s="3" t="str">
        <f>IFERROR(__xludf.DUMMYFUNCTION("GOOGLETRANSLATE(D3376,""fr"",""es"")"),"lirio")</f>
        <v>lirio</v>
      </c>
      <c r="H3376" s="3" t="s">
        <v>3128</v>
      </c>
      <c r="I3376" s="3" t="s">
        <v>3129</v>
      </c>
      <c r="J3376" s="3" t="s">
        <v>3130</v>
      </c>
    </row>
    <row r="3377">
      <c r="A3377" s="3">
        <v>829.0</v>
      </c>
      <c r="B3377" s="3" t="s">
        <v>6738</v>
      </c>
      <c r="C3377" s="3" t="s">
        <v>190</v>
      </c>
      <c r="D3377" s="3" t="s">
        <v>3135</v>
      </c>
      <c r="E3377" s="3" t="s">
        <v>3136</v>
      </c>
      <c r="F3377" s="3" t="s">
        <v>3134</v>
      </c>
      <c r="G3377" s="3" t="str">
        <f>IFERROR(__xludf.DUMMYFUNCTION("GOOGLETRANSLATE(D3377,""fr"",""es"")"),"M '")</f>
        <v>M '</v>
      </c>
    </row>
    <row r="3378">
      <c r="A3378" s="3">
        <v>830.0</v>
      </c>
      <c r="B3378" s="3" t="s">
        <v>6738</v>
      </c>
      <c r="C3378" s="3" t="s">
        <v>190</v>
      </c>
      <c r="D3378" s="3" t="s">
        <v>136</v>
      </c>
      <c r="E3378" s="3" t="s">
        <v>3137</v>
      </c>
      <c r="F3378" s="3" t="s">
        <v>136</v>
      </c>
      <c r="G3378" s="3" t="str">
        <f>IFERROR(__xludf.DUMMYFUNCTION("GOOGLETRANSLATE(D3378,""fr"",""es"")"),"mi")</f>
        <v>mi</v>
      </c>
      <c r="H3378" s="3" t="s">
        <v>145</v>
      </c>
      <c r="I3378" s="3" t="s">
        <v>146</v>
      </c>
    </row>
    <row r="3379">
      <c r="A3379" s="3">
        <v>831.0</v>
      </c>
      <c r="B3379" s="3" t="s">
        <v>6738</v>
      </c>
      <c r="C3379" s="3" t="s">
        <v>190</v>
      </c>
      <c r="D3379" s="3" t="s">
        <v>3138</v>
      </c>
      <c r="E3379" s="3" t="s">
        <v>3139</v>
      </c>
      <c r="F3379" s="3" t="s">
        <v>3140</v>
      </c>
      <c r="G3379" s="3" t="str">
        <f>IFERROR(__xludf.DUMMYFUNCTION("GOOGLETRANSLATE(D3379,""fr"",""es"")"),"Mac")</f>
        <v>Mac</v>
      </c>
    </row>
    <row r="3380">
      <c r="A3380" s="3">
        <v>832.0</v>
      </c>
      <c r="B3380" s="3" t="s">
        <v>6738</v>
      </c>
      <c r="C3380" s="3" t="s">
        <v>190</v>
      </c>
      <c r="D3380" s="3" t="s">
        <v>3141</v>
      </c>
      <c r="E3380" s="3" t="s">
        <v>3142</v>
      </c>
      <c r="F3380" s="3" t="s">
        <v>3143</v>
      </c>
      <c r="G3380" s="3" t="str">
        <f>IFERROR(__xludf.DUMMYFUNCTION("GOOGLETRANSLATE(D3380,""fr"",""es"")"),"macaco")</f>
        <v>macaco</v>
      </c>
      <c r="H3380" s="3" t="s">
        <v>3141</v>
      </c>
    </row>
    <row r="3381">
      <c r="A3381" s="3">
        <v>833.0</v>
      </c>
      <c r="B3381" s="3" t="s">
        <v>6738</v>
      </c>
      <c r="C3381" s="3" t="s">
        <v>190</v>
      </c>
      <c r="D3381" s="3" t="s">
        <v>3144</v>
      </c>
      <c r="E3381" s="3" t="s">
        <v>3142</v>
      </c>
      <c r="F3381" s="3" t="s">
        <v>3143</v>
      </c>
      <c r="G3381" s="3" t="str">
        <f>IFERROR(__xludf.DUMMYFUNCTION("GOOGLETRANSLATE(D3381,""fr"",""es"")"),"macacos")</f>
        <v>macacos</v>
      </c>
    </row>
    <row r="3382">
      <c r="A3382" s="3">
        <v>834.0</v>
      </c>
      <c r="B3382" s="3" t="s">
        <v>6738</v>
      </c>
      <c r="C3382" s="3" t="s">
        <v>190</v>
      </c>
      <c r="D3382" s="3" t="s">
        <v>7258</v>
      </c>
      <c r="E3382" s="3" t="s">
        <v>3146</v>
      </c>
      <c r="F3382" s="3" t="s">
        <v>3147</v>
      </c>
      <c r="G3382" s="3" t="str">
        <f>IFERROR(__xludf.DUMMYFUNCTION("GOOGLETRANSLATE(D3382,""fr"",""es"")"),"mandíbula")</f>
        <v>mandíbula</v>
      </c>
    </row>
    <row r="3383">
      <c r="A3383" s="3">
        <v>835.0</v>
      </c>
      <c r="B3383" s="3" t="s">
        <v>6738</v>
      </c>
      <c r="C3383" s="3" t="s">
        <v>190</v>
      </c>
      <c r="D3383" s="3" t="s">
        <v>3151</v>
      </c>
      <c r="E3383" s="3" t="s">
        <v>3152</v>
      </c>
      <c r="F3383" s="3" t="s">
        <v>3153</v>
      </c>
      <c r="G3383" s="3" t="str">
        <f>IFERROR(__xludf.DUMMYFUNCTION("GOOGLETRANSLATE(D3383,""fr"",""es"")"),"mandíbula")</f>
        <v>mandíbula</v>
      </c>
    </row>
    <row r="3384">
      <c r="A3384" s="3">
        <v>836.0</v>
      </c>
      <c r="B3384" s="3" t="s">
        <v>6738</v>
      </c>
      <c r="C3384" s="3" t="s">
        <v>190</v>
      </c>
      <c r="D3384" s="3" t="s">
        <v>7259</v>
      </c>
      <c r="E3384" s="3" t="s">
        <v>3146</v>
      </c>
      <c r="F3384" s="3" t="s">
        <v>3147</v>
      </c>
      <c r="G3384" s="3" t="str">
        <f>IFERROR(__xludf.DUMMYFUNCTION("GOOGLETRANSLATE(D3384,""fr"",""es"")"),"mandíbulas")</f>
        <v>mandíbulas</v>
      </c>
    </row>
    <row r="3385">
      <c r="A3385" s="3">
        <v>837.0</v>
      </c>
      <c r="B3385" s="3" t="s">
        <v>6738</v>
      </c>
      <c r="C3385" s="3" t="s">
        <v>190</v>
      </c>
      <c r="D3385" s="3" t="s">
        <v>3154</v>
      </c>
      <c r="E3385" s="3" t="s">
        <v>3155</v>
      </c>
      <c r="F3385" s="3" t="s">
        <v>3156</v>
      </c>
      <c r="G3385" s="3" t="str">
        <f>IFERROR(__xludf.DUMMYFUNCTION("GOOGLETRANSLATE(D3385,""fr"",""es"")"),"mermelada")</f>
        <v>mermelada</v>
      </c>
    </row>
    <row r="3386">
      <c r="A3386" s="3">
        <v>838.0</v>
      </c>
      <c r="B3386" s="3" t="s">
        <v>6738</v>
      </c>
      <c r="C3386" s="3" t="s">
        <v>190</v>
      </c>
      <c r="D3386" s="3" t="s">
        <v>3157</v>
      </c>
      <c r="E3386" s="3" t="s">
        <v>3155</v>
      </c>
      <c r="F3386" s="3" t="s">
        <v>3156</v>
      </c>
      <c r="G3386" s="3" t="str">
        <f>IFERROR(__xludf.DUMMYFUNCTION("GOOGLETRANSLATE(D3386,""fr"",""es"")"),"mermelada")</f>
        <v>mermelada</v>
      </c>
    </row>
    <row r="3387">
      <c r="A3387" s="3">
        <v>839.0</v>
      </c>
      <c r="B3387" s="3" t="s">
        <v>6738</v>
      </c>
      <c r="C3387" s="3" t="s">
        <v>190</v>
      </c>
      <c r="D3387" s="3" t="s">
        <v>3158</v>
      </c>
      <c r="E3387" s="3" t="s">
        <v>3155</v>
      </c>
      <c r="F3387" s="3" t="s">
        <v>3156</v>
      </c>
      <c r="G3387" s="3" t="str">
        <f>IFERROR(__xludf.DUMMYFUNCTION("GOOGLETRANSLATE(D3387,""fr"",""es"")"),"breve")</f>
        <v>breve</v>
      </c>
    </row>
    <row r="3388">
      <c r="A3388" s="3">
        <v>840.0</v>
      </c>
      <c r="B3388" s="3" t="s">
        <v>6738</v>
      </c>
      <c r="C3388" s="3" t="s">
        <v>190</v>
      </c>
      <c r="D3388" s="3" t="s">
        <v>7260</v>
      </c>
      <c r="E3388" s="3" t="s">
        <v>3146</v>
      </c>
      <c r="F3388" s="3" t="s">
        <v>3147</v>
      </c>
      <c r="G3388" s="3" t="str">
        <f>IFERROR(__xludf.DUMMYFUNCTION("GOOGLETRANSLATE(D3388,""fr"",""es"")"),"Mi gato")</f>
        <v>Mi gato</v>
      </c>
    </row>
    <row r="3389">
      <c r="A3389" s="3">
        <v>841.0</v>
      </c>
      <c r="B3389" s="3" t="s">
        <v>6738</v>
      </c>
      <c r="C3389" s="3" t="s">
        <v>190</v>
      </c>
      <c r="D3389" s="3" t="s">
        <v>3159</v>
      </c>
      <c r="E3389" s="3" t="s">
        <v>3160</v>
      </c>
      <c r="F3389" s="3" t="s">
        <v>3161</v>
      </c>
      <c r="G3389" s="3" t="str">
        <f>IFERROR(__xludf.DUMMYFUNCTION("GOOGLETRANSLATE(D3389,""fr"",""es"")"),"masticado")</f>
        <v>masticado</v>
      </c>
      <c r="H3389" s="3" t="s">
        <v>3162</v>
      </c>
    </row>
    <row r="3390">
      <c r="A3390" s="3">
        <v>842.0</v>
      </c>
      <c r="B3390" s="3" t="s">
        <v>6738</v>
      </c>
      <c r="C3390" s="3" t="s">
        <v>190</v>
      </c>
      <c r="D3390" s="3" t="s">
        <v>3163</v>
      </c>
      <c r="E3390" s="3" t="s">
        <v>3160</v>
      </c>
      <c r="F3390" s="3" t="s">
        <v>3161</v>
      </c>
      <c r="G3390" s="3" t="str">
        <f>IFERROR(__xludf.DUMMYFUNCTION("GOOGLETRANSLATE(D3390,""fr"",""es"")"),"masticar")</f>
        <v>masticar</v>
      </c>
    </row>
    <row r="3391">
      <c r="A3391" s="3">
        <v>843.0</v>
      </c>
      <c r="B3391" s="3" t="s">
        <v>6738</v>
      </c>
      <c r="C3391" s="3" t="s">
        <v>190</v>
      </c>
      <c r="D3391" s="3" t="s">
        <v>3164</v>
      </c>
      <c r="E3391" s="3" t="s">
        <v>3160</v>
      </c>
      <c r="F3391" s="3" t="s">
        <v>3161</v>
      </c>
      <c r="G3391" s="3" t="str">
        <f>IFERROR(__xludf.DUMMYFUNCTION("GOOGLETRANSLATE(D3391,""fr"",""es"")"),"masticar")</f>
        <v>masticar</v>
      </c>
    </row>
    <row r="3392">
      <c r="A3392" s="3">
        <v>844.0</v>
      </c>
      <c r="B3392" s="3" t="s">
        <v>6738</v>
      </c>
      <c r="C3392" s="3" t="s">
        <v>190</v>
      </c>
      <c r="D3392" s="3" t="s">
        <v>3165</v>
      </c>
      <c r="E3392" s="3" t="s">
        <v>7261</v>
      </c>
      <c r="F3392" s="3" t="s">
        <v>3167</v>
      </c>
      <c r="G3392" s="3" t="str">
        <f>IFERROR(__xludf.DUMMYFUNCTION("GOOGLETRANSLATE(D3392,""fr"",""es"")"),"mandíbula")</f>
        <v>mandíbula</v>
      </c>
      <c r="H3392" s="3" t="s">
        <v>3168</v>
      </c>
    </row>
    <row r="3393">
      <c r="A3393" s="3">
        <v>845.0</v>
      </c>
      <c r="B3393" s="3" t="s">
        <v>6738</v>
      </c>
      <c r="C3393" s="3" t="s">
        <v>190</v>
      </c>
      <c r="D3393" s="3" t="s">
        <v>7262</v>
      </c>
      <c r="E3393" s="3" t="s">
        <v>7263</v>
      </c>
      <c r="F3393" s="3" t="s">
        <v>3171</v>
      </c>
      <c r="G3393" s="3" t="str">
        <f>IFERROR(__xludf.DUMMYFUNCTION("GOOGLETRANSLATE(D3393,""fr"",""es"")"),"machina")</f>
        <v>machina</v>
      </c>
    </row>
    <row r="3394">
      <c r="A3394" s="3">
        <v>846.0</v>
      </c>
      <c r="B3394" s="3" t="s">
        <v>6738</v>
      </c>
      <c r="C3394" s="3" t="s">
        <v>190</v>
      </c>
      <c r="D3394" s="3" t="s">
        <v>3175</v>
      </c>
      <c r="E3394" s="3" t="s">
        <v>7264</v>
      </c>
      <c r="F3394" s="3" t="s">
        <v>3177</v>
      </c>
      <c r="G3394" s="3" t="str">
        <f>IFERROR(__xludf.DUMMYFUNCTION("GOOGLETRANSLATE(D3394,""fr"",""es"")"),"mecánico")</f>
        <v>mecánico</v>
      </c>
    </row>
    <row r="3395">
      <c r="A3395" s="3">
        <v>847.0</v>
      </c>
      <c r="B3395" s="3" t="s">
        <v>6738</v>
      </c>
      <c r="C3395" s="3" t="s">
        <v>190</v>
      </c>
      <c r="D3395" s="3" t="s">
        <v>3178</v>
      </c>
      <c r="E3395" s="3" t="s">
        <v>7264</v>
      </c>
      <c r="F3395" s="3" t="s">
        <v>3177</v>
      </c>
      <c r="G3395" s="3" t="str">
        <f>IFERROR(__xludf.DUMMYFUNCTION("GOOGLETRANSLATE(D3395,""fr"",""es"")"),"mecánico")</f>
        <v>mecánico</v>
      </c>
    </row>
    <row r="3396">
      <c r="A3396" s="3">
        <v>848.0</v>
      </c>
      <c r="B3396" s="3" t="s">
        <v>6738</v>
      </c>
      <c r="C3396" s="3" t="s">
        <v>190</v>
      </c>
      <c r="D3396" s="3" t="s">
        <v>3179</v>
      </c>
      <c r="E3396" s="3" t="s">
        <v>7264</v>
      </c>
      <c r="F3396" s="3" t="s">
        <v>3177</v>
      </c>
      <c r="G3396" s="3" t="str">
        <f>IFERROR(__xludf.DUMMYFUNCTION("GOOGLETRANSLATE(D3396,""fr"",""es"")"),"mecánico")</f>
        <v>mecánico</v>
      </c>
    </row>
    <row r="3397">
      <c r="A3397" s="3">
        <v>849.0</v>
      </c>
      <c r="B3397" s="3" t="s">
        <v>6738</v>
      </c>
      <c r="C3397" s="3" t="s">
        <v>190</v>
      </c>
      <c r="D3397" s="3" t="s">
        <v>3180</v>
      </c>
      <c r="E3397" s="3" t="s">
        <v>7265</v>
      </c>
      <c r="F3397" s="3" t="s">
        <v>3182</v>
      </c>
      <c r="G3397" s="3" t="str">
        <f>IFERROR(__xludf.DUMMYFUNCTION("GOOGLETRANSLATE(D3397,""fr"",""es"")"),"cosa")</f>
        <v>cosa</v>
      </c>
    </row>
    <row r="3398">
      <c r="A3398" s="3">
        <v>850.0</v>
      </c>
      <c r="B3398" s="3" t="s">
        <v>6738</v>
      </c>
      <c r="C3398" s="3" t="s">
        <v>190</v>
      </c>
      <c r="D3398" s="3" t="s">
        <v>7266</v>
      </c>
      <c r="E3398" s="3" t="s">
        <v>7263</v>
      </c>
      <c r="F3398" s="3" t="s">
        <v>3171</v>
      </c>
      <c r="G3398" s="3" t="str">
        <f>IFERROR(__xludf.DUMMYFUNCTION("GOOGLETRANSLATE(D3398,""fr"",""es"")"),"machinas")</f>
        <v>machinas</v>
      </c>
    </row>
    <row r="3399">
      <c r="A3399" s="3">
        <v>851.0</v>
      </c>
      <c r="B3399" s="3" t="s">
        <v>6738</v>
      </c>
      <c r="C3399" s="3" t="s">
        <v>190</v>
      </c>
      <c r="D3399" s="3" t="s">
        <v>3183</v>
      </c>
      <c r="E3399" s="3" t="s">
        <v>7267</v>
      </c>
      <c r="F3399" s="3" t="s">
        <v>3185</v>
      </c>
      <c r="G3399" s="3" t="str">
        <f>IFERROR(__xludf.DUMMYFUNCTION("GOOGLETRANSLATE(D3399,""fr"",""es"")"),"machinasse")</f>
        <v>machinasse</v>
      </c>
    </row>
    <row r="3400">
      <c r="A3400" s="3">
        <v>852.0</v>
      </c>
      <c r="B3400" s="3" t="s">
        <v>6738</v>
      </c>
      <c r="C3400" s="3" t="s">
        <v>190</v>
      </c>
      <c r="D3400" s="3" t="s">
        <v>3186</v>
      </c>
      <c r="E3400" s="3" t="s">
        <v>7267</v>
      </c>
      <c r="F3400" s="3" t="s">
        <v>3185</v>
      </c>
      <c r="G3400" s="3" t="str">
        <f>IFERROR(__xludf.DUMMYFUNCTION("GOOGLETRANSLATE(D3400,""fr"",""es"")"),"machinasse")</f>
        <v>machinasse</v>
      </c>
    </row>
    <row r="3401">
      <c r="A3401" s="3">
        <v>853.0</v>
      </c>
      <c r="B3401" s="3" t="s">
        <v>6738</v>
      </c>
      <c r="C3401" s="3" t="s">
        <v>190</v>
      </c>
      <c r="D3401" s="3" t="s">
        <v>3187</v>
      </c>
      <c r="E3401" s="3" t="s">
        <v>7267</v>
      </c>
      <c r="F3401" s="3" t="s">
        <v>3185</v>
      </c>
      <c r="G3401" s="3" t="str">
        <f>IFERROR(__xludf.DUMMYFUNCTION("GOOGLETRANSLATE(D3401,""fr"",""es"")"),"machinasas")</f>
        <v>machinasas</v>
      </c>
    </row>
    <row r="3402">
      <c r="A3402" s="3">
        <v>854.0</v>
      </c>
      <c r="B3402" s="3" t="s">
        <v>6738</v>
      </c>
      <c r="C3402" s="3" t="s">
        <v>190</v>
      </c>
      <c r="D3402" s="3" t="s">
        <v>7268</v>
      </c>
      <c r="E3402" s="3" t="s">
        <v>7263</v>
      </c>
      <c r="F3402" s="3" t="s">
        <v>3171</v>
      </c>
      <c r="G3402" s="3" t="str">
        <f>IFERROR(__xludf.DUMMYFUNCTION("GOOGLETRANSLATE(D3402,""fr"",""es"")"),"cosa")</f>
        <v>cosa</v>
      </c>
    </row>
    <row r="3403">
      <c r="A3403" s="3">
        <v>855.0</v>
      </c>
      <c r="B3403" s="3" t="s">
        <v>6738</v>
      </c>
      <c r="C3403" s="3" t="s">
        <v>190</v>
      </c>
      <c r="D3403" s="3" t="s">
        <v>3188</v>
      </c>
      <c r="E3403" s="3" t="s">
        <v>7269</v>
      </c>
      <c r="F3403" s="3" t="s">
        <v>3190</v>
      </c>
      <c r="G3403" s="3" t="str">
        <f>IFERROR(__xludf.DUMMYFUNCTION("GOOGLETRANSLATE(D3403,""fr"",""es"")"),"máquina")</f>
        <v>máquina</v>
      </c>
      <c r="H3403" s="3" t="s">
        <v>3188</v>
      </c>
      <c r="I3403" s="3" t="s">
        <v>3188</v>
      </c>
      <c r="J3403" s="3" t="s">
        <v>3188</v>
      </c>
      <c r="K3403" s="3" t="s">
        <v>3188</v>
      </c>
      <c r="L3403" s="3" t="s">
        <v>3191</v>
      </c>
      <c r="M3403" s="3" t="s">
        <v>3192</v>
      </c>
      <c r="N3403" s="3" t="s">
        <v>3188</v>
      </c>
      <c r="O3403" s="3" t="s">
        <v>3193</v>
      </c>
      <c r="P3403" s="3" t="s">
        <v>3188</v>
      </c>
      <c r="Q3403" s="3" t="s">
        <v>3192</v>
      </c>
      <c r="R3403" s="3" t="s">
        <v>3194</v>
      </c>
      <c r="S3403" s="3" t="s">
        <v>3188</v>
      </c>
    </row>
    <row r="3404">
      <c r="A3404" s="3">
        <v>856.0</v>
      </c>
      <c r="B3404" s="3" t="s">
        <v>6738</v>
      </c>
      <c r="C3404" s="3" t="s">
        <v>190</v>
      </c>
      <c r="D3404" s="3" t="s">
        <v>3195</v>
      </c>
      <c r="E3404" s="3" t="s">
        <v>7269</v>
      </c>
      <c r="F3404" s="3" t="s">
        <v>3190</v>
      </c>
      <c r="G3404" s="3" t="str">
        <f>IFERROR(__xludf.DUMMYFUNCTION("GOOGLETRANSLATE(D3404,""fr"",""es"")"),"Máquina")</f>
        <v>Máquina</v>
      </c>
      <c r="H3404" s="3" t="s">
        <v>3188</v>
      </c>
      <c r="I3404" s="3" t="s">
        <v>3188</v>
      </c>
      <c r="J3404" s="3" t="s">
        <v>3188</v>
      </c>
      <c r="K3404" s="3" t="s">
        <v>3188</v>
      </c>
      <c r="L3404" s="3" t="s">
        <v>3191</v>
      </c>
      <c r="M3404" s="3" t="s">
        <v>3192</v>
      </c>
      <c r="N3404" s="3" t="s">
        <v>3188</v>
      </c>
      <c r="O3404" s="3" t="s">
        <v>3193</v>
      </c>
      <c r="P3404" s="3" t="s">
        <v>3188</v>
      </c>
      <c r="Q3404" s="3" t="s">
        <v>3192</v>
      </c>
      <c r="R3404" s="3" t="s">
        <v>3194</v>
      </c>
      <c r="S3404" s="3" t="s">
        <v>3188</v>
      </c>
    </row>
    <row r="3405">
      <c r="A3405" s="3">
        <v>857.0</v>
      </c>
      <c r="B3405" s="3" t="s">
        <v>6738</v>
      </c>
      <c r="C3405" s="3" t="s">
        <v>190</v>
      </c>
      <c r="D3405" s="3" t="s">
        <v>7270</v>
      </c>
      <c r="E3405" s="3" t="s">
        <v>7271</v>
      </c>
      <c r="F3405" s="3" t="s">
        <v>7272</v>
      </c>
      <c r="G3405" s="3" t="str">
        <f>IFERROR(__xludf.DUMMYFUNCTION("GOOGLETRANSLATE(D3405,""fr"",""es"")"),"Máquina herramienta")</f>
        <v>Máquina herramienta</v>
      </c>
      <c r="H3405" s="3" t="s">
        <v>7273</v>
      </c>
    </row>
    <row r="3406">
      <c r="A3406" s="3">
        <v>858.0</v>
      </c>
      <c r="B3406" s="3" t="s">
        <v>6738</v>
      </c>
      <c r="C3406" s="3" t="s">
        <v>190</v>
      </c>
      <c r="D3406" s="3" t="s">
        <v>3196</v>
      </c>
      <c r="E3406" s="3" t="s">
        <v>7269</v>
      </c>
      <c r="F3406" s="3" t="s">
        <v>3190</v>
      </c>
      <c r="G3406" s="3" t="str">
        <f>IFERROR(__xludf.DUMMYFUNCTION("GOOGLETRANSLATE(D3406,""fr"",""es"")"),"máquina")</f>
        <v>máquina</v>
      </c>
    </row>
    <row r="3407">
      <c r="A3407" s="3">
        <v>859.0</v>
      </c>
      <c r="B3407" s="3" t="s">
        <v>6738</v>
      </c>
      <c r="C3407" s="3" t="s">
        <v>190</v>
      </c>
      <c r="D3407" s="3" t="s">
        <v>3197</v>
      </c>
      <c r="E3407" s="3" t="s">
        <v>7269</v>
      </c>
      <c r="F3407" s="3" t="s">
        <v>3190</v>
      </c>
      <c r="G3407" s="3" t="str">
        <f>IFERROR(__xludf.DUMMYFUNCTION("GOOGLETRANSLATE(D3407,""fr"",""es"")"),"máquinas")</f>
        <v>máquinas</v>
      </c>
    </row>
    <row r="3408">
      <c r="A3408" s="3">
        <v>860.0</v>
      </c>
      <c r="B3408" s="3" t="s">
        <v>6738</v>
      </c>
      <c r="C3408" s="3" t="s">
        <v>190</v>
      </c>
      <c r="D3408" s="3" t="s">
        <v>7274</v>
      </c>
      <c r="E3408" s="3" t="s">
        <v>7275</v>
      </c>
      <c r="F3408" s="3" t="s">
        <v>3209</v>
      </c>
      <c r="G3408" s="3" t="str">
        <f>IFERROR(__xludf.DUMMYFUNCTION("GOOGLETRANSLATE(D3408,""fr"",""es"")"),"masticado")</f>
        <v>masticado</v>
      </c>
    </row>
    <row r="3409">
      <c r="A3409" s="3">
        <v>861.0</v>
      </c>
      <c r="B3409" s="3" t="s">
        <v>6738</v>
      </c>
      <c r="C3409" s="3" t="s">
        <v>190</v>
      </c>
      <c r="D3409" s="3" t="s">
        <v>3213</v>
      </c>
      <c r="E3409" s="3" t="s">
        <v>7276</v>
      </c>
      <c r="F3409" s="3" t="s">
        <v>3215</v>
      </c>
      <c r="G3409" s="3" t="str">
        <f>IFERROR(__xludf.DUMMYFUNCTION("GOOGLETRANSLATE(D3409,""fr"",""es"")"),"masticado")</f>
        <v>masticado</v>
      </c>
    </row>
    <row r="3410">
      <c r="A3410" s="3">
        <v>862.0</v>
      </c>
      <c r="B3410" s="3" t="s">
        <v>6738</v>
      </c>
      <c r="C3410" s="3" t="s">
        <v>190</v>
      </c>
      <c r="D3410" s="3" t="s">
        <v>7277</v>
      </c>
      <c r="E3410" s="3" t="s">
        <v>7275</v>
      </c>
      <c r="F3410" s="3" t="s">
        <v>3209</v>
      </c>
      <c r="G3410" s="3" t="str">
        <f>IFERROR(__xludf.DUMMYFUNCTION("GOOGLETRANSLATE(D3410,""fr"",""es"")"),"masticado")</f>
        <v>masticado</v>
      </c>
    </row>
    <row r="3411">
      <c r="A3411" s="3">
        <v>863.0</v>
      </c>
      <c r="B3411" s="3" t="s">
        <v>6738</v>
      </c>
      <c r="C3411" s="3" t="s">
        <v>190</v>
      </c>
      <c r="D3411" s="3" t="s">
        <v>3216</v>
      </c>
      <c r="E3411" s="3" t="s">
        <v>7278</v>
      </c>
      <c r="F3411" s="3" t="s">
        <v>3218</v>
      </c>
      <c r="G3411" s="3" t="str">
        <f>IFERROR(__xludf.DUMMYFUNCTION("GOOGLETRANSLATE(D3411,""fr"",""es"")"),"masticado")</f>
        <v>masticado</v>
      </c>
    </row>
    <row r="3412">
      <c r="A3412" s="3">
        <v>864.0</v>
      </c>
      <c r="B3412" s="3" t="s">
        <v>6738</v>
      </c>
      <c r="C3412" s="3" t="s">
        <v>190</v>
      </c>
      <c r="D3412" s="3" t="s">
        <v>3219</v>
      </c>
      <c r="E3412" s="3" t="s">
        <v>7278</v>
      </c>
      <c r="F3412" s="3" t="s">
        <v>3218</v>
      </c>
      <c r="G3412" s="3" t="str">
        <f>IFERROR(__xludf.DUMMYFUNCTION("GOOGLETRANSLATE(D3412,""fr"",""es"")"),"masticado")</f>
        <v>masticado</v>
      </c>
    </row>
    <row r="3413">
      <c r="A3413" s="3">
        <v>865.0</v>
      </c>
      <c r="B3413" s="3" t="s">
        <v>6738</v>
      </c>
      <c r="C3413" s="3" t="s">
        <v>190</v>
      </c>
      <c r="D3413" s="3" t="s">
        <v>3220</v>
      </c>
      <c r="E3413" s="3" t="s">
        <v>7278</v>
      </c>
      <c r="F3413" s="3" t="s">
        <v>3218</v>
      </c>
      <c r="G3413" s="3" t="str">
        <f>IFERROR(__xludf.DUMMYFUNCTION("GOOGLETRANSLATE(D3413,""fr"",""es"")"),"masticado")</f>
        <v>masticado</v>
      </c>
    </row>
    <row r="3414">
      <c r="A3414" s="3">
        <v>866.0</v>
      </c>
      <c r="B3414" s="3" t="s">
        <v>6738</v>
      </c>
      <c r="C3414" s="3" t="s">
        <v>190</v>
      </c>
      <c r="D3414" s="3" t="s">
        <v>7279</v>
      </c>
      <c r="E3414" s="3" t="s">
        <v>7275</v>
      </c>
      <c r="F3414" s="3" t="s">
        <v>3209</v>
      </c>
      <c r="G3414" s="3" t="str">
        <f>IFERROR(__xludf.DUMMYFUNCTION("GOOGLETRANSLATE(D3414,""fr"",""es"")"),"masticado")</f>
        <v>masticado</v>
      </c>
    </row>
    <row r="3415">
      <c r="A3415" s="3">
        <v>867.0</v>
      </c>
      <c r="B3415" s="3" t="s">
        <v>6738</v>
      </c>
      <c r="C3415" s="3" t="s">
        <v>190</v>
      </c>
      <c r="D3415" s="3" t="s">
        <v>3221</v>
      </c>
      <c r="E3415" s="3" t="s">
        <v>7280</v>
      </c>
      <c r="F3415" s="3" t="s">
        <v>3223</v>
      </c>
      <c r="G3415" s="3" t="str">
        <f>IFERROR(__xludf.DUMMYFUNCTION("GOOGLETRANSLATE(D3415,""fr"",""es"")"),"masticar")</f>
        <v>masticar</v>
      </c>
    </row>
    <row r="3416">
      <c r="A3416" s="3">
        <v>868.0</v>
      </c>
      <c r="B3416" s="3" t="s">
        <v>6738</v>
      </c>
      <c r="C3416" s="3" t="s">
        <v>190</v>
      </c>
      <c r="D3416" s="3" t="s">
        <v>3224</v>
      </c>
      <c r="E3416" s="3" t="s">
        <v>7280</v>
      </c>
      <c r="F3416" s="3" t="s">
        <v>3223</v>
      </c>
      <c r="G3416" s="3" t="str">
        <f>IFERROR(__xludf.DUMMYFUNCTION("GOOGLETRANSLATE(D3416,""fr"",""es"")"),"masticar")</f>
        <v>masticar</v>
      </c>
    </row>
    <row r="3417">
      <c r="A3417" s="3">
        <v>869.0</v>
      </c>
      <c r="B3417" s="3" t="s">
        <v>6738</v>
      </c>
      <c r="C3417" s="3" t="s">
        <v>190</v>
      </c>
      <c r="D3417" s="3" t="s">
        <v>3225</v>
      </c>
      <c r="E3417" s="3" t="s">
        <v>7280</v>
      </c>
      <c r="F3417" s="3" t="s">
        <v>3223</v>
      </c>
      <c r="G3417" s="3" t="str">
        <f>IFERROR(__xludf.DUMMYFUNCTION("GOOGLETRANSLATE(D3417,""fr"",""es"")"),"masticado")</f>
        <v>masticado</v>
      </c>
    </row>
    <row r="3418">
      <c r="A3418" s="3">
        <v>870.0</v>
      </c>
      <c r="B3418" s="3" t="s">
        <v>6738</v>
      </c>
      <c r="C3418" s="3" t="s">
        <v>190</v>
      </c>
      <c r="D3418" s="3" t="s">
        <v>3226</v>
      </c>
      <c r="E3418" s="3" t="s">
        <v>3139</v>
      </c>
      <c r="F3418" s="3" t="s">
        <v>3140</v>
      </c>
      <c r="G3418" s="3" t="str">
        <f>IFERROR(__xludf.DUMMYFUNCTION("GOOGLETRANSLATE(D3418,""fr"",""es"")"),"Macs")</f>
        <v>Macs</v>
      </c>
    </row>
    <row r="3419">
      <c r="A3419" s="3">
        <v>871.0</v>
      </c>
      <c r="B3419" s="3" t="s">
        <v>6738</v>
      </c>
      <c r="C3419" s="3" t="s">
        <v>190</v>
      </c>
      <c r="D3419" s="3" t="s">
        <v>7281</v>
      </c>
      <c r="E3419" s="3" t="s">
        <v>3228</v>
      </c>
      <c r="F3419" s="3" t="s">
        <v>3229</v>
      </c>
      <c r="G3419" s="3" t="str">
        <f>IFERROR(__xludf.DUMMYFUNCTION("GOOGLETRANSLATE(D3419,""fr"",""es"")"),"Magna")</f>
        <v>Magna</v>
      </c>
    </row>
    <row r="3420">
      <c r="A3420" s="3">
        <v>872.0</v>
      </c>
      <c r="B3420" s="3" t="s">
        <v>6738</v>
      </c>
      <c r="C3420" s="3" t="s">
        <v>190</v>
      </c>
      <c r="D3420" s="3" t="s">
        <v>3233</v>
      </c>
      <c r="E3420" s="3" t="s">
        <v>3234</v>
      </c>
      <c r="F3420" s="3" t="s">
        <v>3235</v>
      </c>
      <c r="G3420" s="3" t="str">
        <f>IFERROR(__xludf.DUMMYFUNCTION("GOOGLETRANSLATE(D3420,""fr"",""es"")"),"Magnâmes")</f>
        <v>Magnâmes</v>
      </c>
    </row>
    <row r="3421">
      <c r="A3421" s="3">
        <v>873.0</v>
      </c>
      <c r="B3421" s="3" t="s">
        <v>6738</v>
      </c>
      <c r="C3421" s="3" t="s">
        <v>190</v>
      </c>
      <c r="D3421" s="3" t="s">
        <v>3236</v>
      </c>
      <c r="E3421" s="3" t="s">
        <v>7282</v>
      </c>
      <c r="F3421" s="3" t="s">
        <v>3238</v>
      </c>
      <c r="G3421" s="3" t="str">
        <f>IFERROR(__xludf.DUMMYFUNCTION("GOOGLETRANSLATE(D3421,""fr"",""es"")"),"magnánimo")</f>
        <v>magnánimo</v>
      </c>
      <c r="H3421" s="3" t="s">
        <v>3239</v>
      </c>
      <c r="I3421" s="3" t="s">
        <v>3240</v>
      </c>
      <c r="J3421" s="3" t="s">
        <v>3241</v>
      </c>
      <c r="K3421" s="3" t="s">
        <v>3242</v>
      </c>
      <c r="L3421" s="3" t="s">
        <v>3241</v>
      </c>
    </row>
    <row r="3422">
      <c r="A3422" s="3">
        <v>874.0</v>
      </c>
      <c r="B3422" s="3" t="s">
        <v>6738</v>
      </c>
      <c r="C3422" s="3" t="s">
        <v>190</v>
      </c>
      <c r="D3422" s="3" t="s">
        <v>3243</v>
      </c>
      <c r="E3422" s="3" t="s">
        <v>7282</v>
      </c>
      <c r="F3422" s="3" t="s">
        <v>3238</v>
      </c>
      <c r="G3422" s="3" t="str">
        <f>IFERROR(__xludf.DUMMYFUNCTION("GOOGLETRANSLATE(D3422,""fr"",""es"")"),"Magnantimes")</f>
        <v>Magnantimes</v>
      </c>
    </row>
    <row r="3423">
      <c r="A3423" s="3">
        <v>875.0</v>
      </c>
      <c r="B3423" s="3" t="s">
        <v>6738</v>
      </c>
      <c r="C3423" s="3" t="s">
        <v>190</v>
      </c>
      <c r="D3423" s="3" t="s">
        <v>7283</v>
      </c>
      <c r="E3423" s="3" t="s">
        <v>3228</v>
      </c>
      <c r="F3423" s="3" t="s">
        <v>3229</v>
      </c>
      <c r="G3423" s="3" t="str">
        <f>IFERROR(__xludf.DUMMYFUNCTION("GOOGLETRANSLATE(D3423,""fr"",""es"")"),"Magnas")</f>
        <v>Magnas</v>
      </c>
    </row>
    <row r="3424">
      <c r="A3424" s="3">
        <v>876.0</v>
      </c>
      <c r="B3424" s="3" t="s">
        <v>6738</v>
      </c>
      <c r="C3424" s="3" t="s">
        <v>190</v>
      </c>
      <c r="D3424" s="3" t="s">
        <v>3244</v>
      </c>
      <c r="E3424" s="3" t="s">
        <v>3245</v>
      </c>
      <c r="F3424" s="3" t="s">
        <v>3246</v>
      </c>
      <c r="G3424" s="3" t="str">
        <f>IFERROR(__xludf.DUMMYFUNCTION("GOOGLETRANSLATE(D3424,""fr"",""es"")"),"magnásico")</f>
        <v>magnásico</v>
      </c>
    </row>
    <row r="3425">
      <c r="A3425" s="3">
        <v>877.0</v>
      </c>
      <c r="B3425" s="3" t="s">
        <v>6738</v>
      </c>
      <c r="C3425" s="3" t="s">
        <v>190</v>
      </c>
      <c r="D3425" s="3" t="s">
        <v>3247</v>
      </c>
      <c r="E3425" s="3" t="s">
        <v>3245</v>
      </c>
      <c r="F3425" s="3" t="s">
        <v>3246</v>
      </c>
      <c r="G3425" s="3" t="str">
        <f>IFERROR(__xludf.DUMMYFUNCTION("GOOGLETRANSLATE(D3425,""fr"",""es"")"),"magnés")</f>
        <v>magnés</v>
      </c>
    </row>
    <row r="3426">
      <c r="A3426" s="3">
        <v>878.0</v>
      </c>
      <c r="B3426" s="3" t="s">
        <v>6738</v>
      </c>
      <c r="C3426" s="3" t="s">
        <v>190</v>
      </c>
      <c r="D3426" s="3" t="s">
        <v>3248</v>
      </c>
      <c r="E3426" s="3" t="s">
        <v>3245</v>
      </c>
      <c r="F3426" s="3" t="s">
        <v>3246</v>
      </c>
      <c r="G3426" s="3" t="str">
        <f>IFERROR(__xludf.DUMMYFUNCTION("GOOGLETRANSLATE(D3426,""fr"",""es"")"),"magnásico")</f>
        <v>magnásico</v>
      </c>
    </row>
    <row r="3427">
      <c r="A3427" s="3">
        <v>879.0</v>
      </c>
      <c r="B3427" s="3" t="s">
        <v>6738</v>
      </c>
      <c r="C3427" s="3" t="s">
        <v>190</v>
      </c>
      <c r="D3427" s="3" t="s">
        <v>7284</v>
      </c>
      <c r="E3427" s="3" t="s">
        <v>3228</v>
      </c>
      <c r="F3427" s="3" t="s">
        <v>3229</v>
      </c>
      <c r="G3427" s="3" t="str">
        <f>IFERROR(__xludf.DUMMYFUNCTION("GOOGLETRANSLATE(D3427,""fr"",""es"")"),"magnate")</f>
        <v>magnate</v>
      </c>
      <c r="H3427" s="3" t="s">
        <v>7285</v>
      </c>
      <c r="I3427" s="3" t="s">
        <v>7286</v>
      </c>
      <c r="J3427" s="3" t="s">
        <v>7287</v>
      </c>
      <c r="K3427" s="3" t="s">
        <v>7288</v>
      </c>
      <c r="L3427" s="3" t="s">
        <v>7289</v>
      </c>
      <c r="M3427" s="3" t="s">
        <v>7290</v>
      </c>
      <c r="N3427" s="3" t="s">
        <v>7291</v>
      </c>
      <c r="O3427" s="3" t="s">
        <v>7292</v>
      </c>
      <c r="P3427" s="3" t="s">
        <v>7293</v>
      </c>
      <c r="Q3427" s="3" t="s">
        <v>7285</v>
      </c>
      <c r="R3427" s="3" t="s">
        <v>7286</v>
      </c>
      <c r="S3427" s="3" t="s">
        <v>7287</v>
      </c>
      <c r="T3427" s="3" t="s">
        <v>7288</v>
      </c>
      <c r="U3427" s="3" t="s">
        <v>7289</v>
      </c>
      <c r="V3427" s="3" t="s">
        <v>7290</v>
      </c>
      <c r="W3427" s="3" t="s">
        <v>7291</v>
      </c>
      <c r="X3427" s="3" t="s">
        <v>7292</v>
      </c>
      <c r="Y3427" s="3" t="s">
        <v>7293</v>
      </c>
      <c r="Z3427" s="3" t="s">
        <v>7294</v>
      </c>
      <c r="AA3427" s="3" t="s">
        <v>7295</v>
      </c>
    </row>
    <row r="3428">
      <c r="A3428" s="3">
        <v>880.0</v>
      </c>
      <c r="B3428" s="3" t="s">
        <v>6738</v>
      </c>
      <c r="C3428" s="3" t="s">
        <v>190</v>
      </c>
      <c r="D3428" s="3" t="s">
        <v>7296</v>
      </c>
      <c r="E3428" s="3" t="s">
        <v>3228</v>
      </c>
      <c r="F3428" s="3" t="s">
        <v>3229</v>
      </c>
      <c r="G3428" s="3" t="str">
        <f>IFERROR(__xludf.DUMMYFUNCTION("GOOGLETRANSLATE(D3428,""fr"",""es"")"),"magnate")</f>
        <v>magnate</v>
      </c>
    </row>
    <row r="3429">
      <c r="A3429" s="3">
        <v>881.0</v>
      </c>
      <c r="B3429" s="3" t="s">
        <v>6738</v>
      </c>
      <c r="C3429" s="3" t="s">
        <v>190</v>
      </c>
      <c r="D3429" s="3" t="s">
        <v>7297</v>
      </c>
      <c r="E3429" s="3" t="s">
        <v>3228</v>
      </c>
      <c r="F3429" s="3" t="s">
        <v>3229</v>
      </c>
      <c r="G3429" s="3" t="str">
        <f>IFERROR(__xludf.DUMMYFUNCTION("GOOGLETRANSLATE(D3429,""fr"",""es"")"),"magnate")</f>
        <v>magnate</v>
      </c>
    </row>
    <row r="3430">
      <c r="A3430" s="3">
        <v>882.0</v>
      </c>
      <c r="B3430" s="3" t="s">
        <v>6738</v>
      </c>
      <c r="C3430" s="3" t="s">
        <v>190</v>
      </c>
      <c r="D3430" s="3" t="s">
        <v>3249</v>
      </c>
      <c r="E3430" s="3" t="s">
        <v>3250</v>
      </c>
      <c r="F3430" s="3" t="s">
        <v>3251</v>
      </c>
      <c r="G3430" s="3" t="str">
        <f>IFERROR(__xludf.DUMMYFUNCTION("GOOGLETRANSLATE(D3430,""fr"",""es"")"),"magne")</f>
        <v>magne</v>
      </c>
    </row>
    <row r="3431">
      <c r="A3431" s="3">
        <v>883.0</v>
      </c>
      <c r="B3431" s="3" t="s">
        <v>6738</v>
      </c>
      <c r="C3431" s="3" t="s">
        <v>190</v>
      </c>
      <c r="D3431" s="3" t="s">
        <v>3252</v>
      </c>
      <c r="E3431" s="3" t="s">
        <v>3250</v>
      </c>
      <c r="F3431" s="3" t="s">
        <v>3251</v>
      </c>
      <c r="G3431" s="3" t="str">
        <f>IFERROR(__xludf.DUMMYFUNCTION("GOOGLETRANSLATE(D3431,""fr"",""es"")"),"magnento")</f>
        <v>magnento</v>
      </c>
    </row>
    <row r="3432">
      <c r="A3432" s="3">
        <v>884.0</v>
      </c>
      <c r="B3432" s="3" t="s">
        <v>6738</v>
      </c>
      <c r="C3432" s="3" t="s">
        <v>190</v>
      </c>
      <c r="D3432" s="3" t="s">
        <v>3253</v>
      </c>
      <c r="E3432" s="3" t="s">
        <v>3250</v>
      </c>
      <c r="F3432" s="3" t="s">
        <v>3251</v>
      </c>
      <c r="G3432" s="3" t="str">
        <f>IFERROR(__xludf.DUMMYFUNCTION("GOOGLETRANSLATE(D3432,""fr"",""es"")"),"magia")</f>
        <v>magia</v>
      </c>
    </row>
    <row r="3433">
      <c r="A3433" s="3">
        <v>885.0</v>
      </c>
      <c r="B3433" s="3" t="s">
        <v>6738</v>
      </c>
      <c r="C3433" s="3" t="s">
        <v>190</v>
      </c>
      <c r="D3433" s="3" t="s">
        <v>3265</v>
      </c>
      <c r="E3433" s="3" t="s">
        <v>3266</v>
      </c>
      <c r="F3433" s="3" t="s">
        <v>3259</v>
      </c>
      <c r="G3433" s="3" t="str">
        <f>IFERROR(__xludf.DUMMYFUNCTION("GOOGLETRANSLATE(D3433,""fr"",""es"")"),"tejer")</f>
        <v>tejer</v>
      </c>
      <c r="H3433" s="3" t="s">
        <v>3267</v>
      </c>
      <c r="I3433" s="3" t="s">
        <v>3268</v>
      </c>
      <c r="J3433" s="3" t="s">
        <v>3269</v>
      </c>
      <c r="K3433" s="3" t="s">
        <v>3270</v>
      </c>
      <c r="L3433" s="3" t="s">
        <v>3271</v>
      </c>
      <c r="M3433" s="3" t="s">
        <v>3268</v>
      </c>
    </row>
    <row r="3434">
      <c r="A3434" s="3">
        <v>886.0</v>
      </c>
      <c r="B3434" s="3" t="s">
        <v>6738</v>
      </c>
      <c r="C3434" s="3" t="s">
        <v>190</v>
      </c>
      <c r="D3434" s="3" t="s">
        <v>3272</v>
      </c>
      <c r="E3434" s="3" t="s">
        <v>3266</v>
      </c>
      <c r="F3434" s="3" t="s">
        <v>3259</v>
      </c>
      <c r="G3434" s="3" t="str">
        <f>IFERROR(__xludf.DUMMYFUNCTION("GOOGLETRANSLATE(D3434,""fr"",""es"")"),"tejer")</f>
        <v>tejer</v>
      </c>
    </row>
    <row r="3435">
      <c r="A3435" s="3">
        <v>887.0</v>
      </c>
      <c r="B3435" s="3" t="s">
        <v>6738</v>
      </c>
      <c r="C3435" s="3" t="s">
        <v>190</v>
      </c>
      <c r="D3435" s="3" t="s">
        <v>3297</v>
      </c>
      <c r="E3435" s="3" t="s">
        <v>3298</v>
      </c>
      <c r="F3435" s="3" t="s">
        <v>3297</v>
      </c>
      <c r="G3435" s="3" t="str">
        <f>IFERROR(__xludf.DUMMYFUNCTION("GOOGLETRANSLATE(D3435,""fr"",""es"")"),"mal")</f>
        <v>mal</v>
      </c>
      <c r="H3435" s="3" t="s">
        <v>3299</v>
      </c>
      <c r="I3435" s="3" t="s">
        <v>3300</v>
      </c>
      <c r="J3435" s="3" t="s">
        <v>3301</v>
      </c>
      <c r="K3435" s="3" t="s">
        <v>3300</v>
      </c>
      <c r="L3435" s="3" t="s">
        <v>3299</v>
      </c>
      <c r="M3435" s="3" t="s">
        <v>3300</v>
      </c>
      <c r="N3435" s="3" t="s">
        <v>3300</v>
      </c>
      <c r="O3435" s="3" t="s">
        <v>3302</v>
      </c>
      <c r="P3435" s="3" t="s">
        <v>3300</v>
      </c>
      <c r="Q3435" s="3" t="s">
        <v>3300</v>
      </c>
      <c r="R3435" s="3" t="s">
        <v>3303</v>
      </c>
      <c r="S3435" s="3" t="s">
        <v>3304</v>
      </c>
      <c r="T3435" s="3" t="s">
        <v>3305</v>
      </c>
      <c r="U3435" s="3" t="s">
        <v>3300</v>
      </c>
      <c r="V3435" s="3" t="s">
        <v>3306</v>
      </c>
      <c r="W3435" s="3" t="s">
        <v>3300</v>
      </c>
      <c r="X3435" s="3" t="s">
        <v>3306</v>
      </c>
      <c r="Y3435" s="3" t="s">
        <v>3300</v>
      </c>
      <c r="Z3435" s="3" t="s">
        <v>3307</v>
      </c>
      <c r="AA3435" s="3" t="s">
        <v>3308</v>
      </c>
      <c r="AB3435" s="3" t="s">
        <v>3300</v>
      </c>
      <c r="AC3435" s="3" t="s">
        <v>3309</v>
      </c>
      <c r="AD3435" s="3" t="s">
        <v>3310</v>
      </c>
      <c r="AE3435" s="3" t="s">
        <v>3311</v>
      </c>
      <c r="AF3435" s="3" t="s">
        <v>3312</v>
      </c>
      <c r="AG3435" s="3" t="s">
        <v>3313</v>
      </c>
      <c r="AH3435" s="3" t="s">
        <v>3314</v>
      </c>
      <c r="AI3435" s="3" t="s">
        <v>3315</v>
      </c>
      <c r="AJ3435" s="3" t="s">
        <v>3306</v>
      </c>
      <c r="AK3435" s="3" t="s">
        <v>3316</v>
      </c>
      <c r="AL3435" s="3" t="s">
        <v>3317</v>
      </c>
      <c r="AM3435" s="3" t="s">
        <v>3315</v>
      </c>
      <c r="AN3435" s="3" t="s">
        <v>3318</v>
      </c>
      <c r="AO3435" s="3" t="s">
        <v>3319</v>
      </c>
      <c r="AP3435" s="3" t="s">
        <v>3320</v>
      </c>
      <c r="AQ3435" s="3" t="s">
        <v>3306</v>
      </c>
      <c r="AR3435" s="3" t="s">
        <v>3321</v>
      </c>
      <c r="AS3435" s="3" t="s">
        <v>3322</v>
      </c>
      <c r="AT3435" s="3" t="s">
        <v>3306</v>
      </c>
      <c r="AU3435" s="3" t="s">
        <v>3323</v>
      </c>
      <c r="AV3435" s="3" t="s">
        <v>3306</v>
      </c>
      <c r="AW3435" s="3" t="s">
        <v>3324</v>
      </c>
      <c r="AX3435" s="3" t="s">
        <v>3306</v>
      </c>
      <c r="AY3435" s="3" t="s">
        <v>3306</v>
      </c>
      <c r="AZ3435" s="3" t="s">
        <v>3325</v>
      </c>
      <c r="BA3435" s="3" t="s">
        <v>3326</v>
      </c>
      <c r="BB3435" s="3" t="s">
        <v>3306</v>
      </c>
      <c r="BC3435" s="3" t="s">
        <v>3306</v>
      </c>
      <c r="BD3435" s="3" t="s">
        <v>3306</v>
      </c>
      <c r="BE3435" s="3" t="s">
        <v>3327</v>
      </c>
      <c r="BF3435" s="3" t="s">
        <v>3328</v>
      </c>
      <c r="BG3435" s="3" t="s">
        <v>3306</v>
      </c>
      <c r="BH3435" s="3" t="s">
        <v>3306</v>
      </c>
      <c r="BI3435" s="3" t="s">
        <v>3329</v>
      </c>
      <c r="BJ3435" s="3" t="s">
        <v>3315</v>
      </c>
      <c r="BK3435" s="3" t="s">
        <v>3330</v>
      </c>
      <c r="BL3435" s="3" t="s">
        <v>3331</v>
      </c>
      <c r="BM3435" s="3" t="s">
        <v>3332</v>
      </c>
      <c r="BN3435" s="3" t="s">
        <v>3315</v>
      </c>
      <c r="BO3435" s="3" t="s">
        <v>3333</v>
      </c>
      <c r="BP3435" s="3" t="s">
        <v>3306</v>
      </c>
      <c r="BQ3435" s="3" t="s">
        <v>3334</v>
      </c>
      <c r="BR3435" s="3" t="s">
        <v>3315</v>
      </c>
      <c r="BS3435" s="3" t="s">
        <v>3335</v>
      </c>
      <c r="BT3435" s="3" t="s">
        <v>3336</v>
      </c>
      <c r="BU3435" s="3" t="s">
        <v>3337</v>
      </c>
      <c r="BV3435" s="3" t="s">
        <v>3338</v>
      </c>
      <c r="BW3435" s="3" t="s">
        <v>3339</v>
      </c>
      <c r="BX3435" s="3" t="s">
        <v>3340</v>
      </c>
      <c r="BY3435" s="3" t="s">
        <v>3299</v>
      </c>
      <c r="BZ3435" s="3" t="s">
        <v>3341</v>
      </c>
      <c r="CA3435" s="3" t="s">
        <v>3342</v>
      </c>
      <c r="CB3435" s="3" t="s">
        <v>3343</v>
      </c>
      <c r="CC3435" s="3" t="s">
        <v>3344</v>
      </c>
      <c r="CD3435" s="3" t="s">
        <v>3345</v>
      </c>
      <c r="CE3435" s="3" t="s">
        <v>3346</v>
      </c>
      <c r="CF3435" s="3" t="s">
        <v>3331</v>
      </c>
    </row>
    <row r="3436">
      <c r="A3436" s="3">
        <v>888.0</v>
      </c>
      <c r="B3436" s="3" t="s">
        <v>6738</v>
      </c>
      <c r="C3436" s="3" t="s">
        <v>190</v>
      </c>
      <c r="D3436" s="3" t="s">
        <v>7298</v>
      </c>
      <c r="E3436" s="3" t="s">
        <v>7299</v>
      </c>
      <c r="F3436" s="3" t="s">
        <v>7300</v>
      </c>
      <c r="G3436" s="3" t="str">
        <f>IFERROR(__xludf.DUMMYFUNCTION("GOOGLETRANSLATE(D3436,""fr"",""es"")"),"Malaca")</f>
        <v>Malaca</v>
      </c>
    </row>
    <row r="3437">
      <c r="A3437" s="3">
        <v>889.0</v>
      </c>
      <c r="B3437" s="3" t="s">
        <v>6738</v>
      </c>
      <c r="C3437" s="3" t="s">
        <v>190</v>
      </c>
      <c r="D3437" s="3" t="s">
        <v>3353</v>
      </c>
      <c r="E3437" s="3" t="s">
        <v>3298</v>
      </c>
      <c r="F3437" s="3" t="s">
        <v>3297</v>
      </c>
      <c r="G3437" s="3" t="str">
        <f>IFERROR(__xludf.DUMMYFUNCTION("GOOGLETRANSLATE(D3437,""fr"",""es"")"),"masculino")</f>
        <v>masculino</v>
      </c>
      <c r="H3437" s="3" t="s">
        <v>3282</v>
      </c>
      <c r="I3437" s="3" t="s">
        <v>3354</v>
      </c>
      <c r="J3437" s="3" t="s">
        <v>3354</v>
      </c>
      <c r="K3437" s="3" t="s">
        <v>3354</v>
      </c>
      <c r="L3437" s="3" t="s">
        <v>3355</v>
      </c>
      <c r="M3437" s="3" t="s">
        <v>3356</v>
      </c>
      <c r="N3437" s="3" t="s">
        <v>3357</v>
      </c>
      <c r="O3437" s="3" t="s">
        <v>3358</v>
      </c>
      <c r="P3437" s="3" t="s">
        <v>3359</v>
      </c>
      <c r="Q3437" s="3" t="s">
        <v>3282</v>
      </c>
      <c r="R3437" s="3" t="s">
        <v>3282</v>
      </c>
      <c r="S3437" s="3" t="s">
        <v>326</v>
      </c>
      <c r="T3437" s="3" t="s">
        <v>3360</v>
      </c>
      <c r="U3437" s="3" t="s">
        <v>3354</v>
      </c>
      <c r="V3437" s="3" t="s">
        <v>3361</v>
      </c>
      <c r="W3437" s="3" t="s">
        <v>3362</v>
      </c>
      <c r="X3437" s="3" t="s">
        <v>3363</v>
      </c>
      <c r="Y3437" s="3" t="s">
        <v>3364</v>
      </c>
      <c r="Z3437" s="3" t="s">
        <v>3282</v>
      </c>
      <c r="AA3437" s="3" t="s">
        <v>3365</v>
      </c>
      <c r="AB3437" s="3" t="s">
        <v>3366</v>
      </c>
      <c r="AC3437" s="3" t="s">
        <v>3367</v>
      </c>
      <c r="AD3437" s="3" t="s">
        <v>3368</v>
      </c>
      <c r="AE3437" s="3" t="s">
        <v>3282</v>
      </c>
    </row>
    <row r="3438">
      <c r="A3438" s="3">
        <v>890.0</v>
      </c>
      <c r="B3438" s="3" t="s">
        <v>6738</v>
      </c>
      <c r="C3438" s="3" t="s">
        <v>190</v>
      </c>
      <c r="D3438" s="3" t="s">
        <v>3369</v>
      </c>
      <c r="E3438" s="3" t="s">
        <v>3298</v>
      </c>
      <c r="F3438" s="3" t="s">
        <v>3297</v>
      </c>
      <c r="G3438" s="3" t="str">
        <f>IFERROR(__xludf.DUMMYFUNCTION("GOOGLETRANSLATE(D3438,""fr"",""es"")"),"machos")</f>
        <v>machos</v>
      </c>
    </row>
    <row r="3439">
      <c r="A3439" s="3">
        <v>891.0</v>
      </c>
      <c r="B3439" s="3" t="s">
        <v>6738</v>
      </c>
      <c r="C3439" s="3" t="s">
        <v>190</v>
      </c>
      <c r="D3439" s="3" t="s">
        <v>3370</v>
      </c>
      <c r="E3439" s="3" t="s">
        <v>3371</v>
      </c>
      <c r="F3439" s="3" t="s">
        <v>3372</v>
      </c>
      <c r="G3439" s="3" t="str">
        <f>IFERROR(__xludf.DUMMYFUNCTION("GOOGLETRANSLATE(D3439,""fr"",""es"")"),"Malí")</f>
        <v>Malí</v>
      </c>
      <c r="H3439" s="3" t="s">
        <v>3370</v>
      </c>
      <c r="I3439" s="3" t="s">
        <v>3373</v>
      </c>
      <c r="J3439" s="3" t="s">
        <v>3374</v>
      </c>
    </row>
    <row r="3440">
      <c r="A3440" s="3">
        <v>892.0</v>
      </c>
      <c r="B3440" s="3" t="s">
        <v>6738</v>
      </c>
      <c r="C3440" s="3" t="s">
        <v>190</v>
      </c>
      <c r="D3440" s="3" t="s">
        <v>3375</v>
      </c>
      <c r="E3440" s="3" t="s">
        <v>7301</v>
      </c>
      <c r="F3440" s="3" t="s">
        <v>3377</v>
      </c>
      <c r="G3440" s="3" t="str">
        <f>IFERROR(__xludf.DUMMYFUNCTION("GOOGLETRANSLATE(D3440,""fr"",""es"")"),"malicia")</f>
        <v>malicia</v>
      </c>
    </row>
    <row r="3441">
      <c r="A3441" s="3">
        <v>893.0</v>
      </c>
      <c r="B3441" s="3" t="s">
        <v>6738</v>
      </c>
      <c r="C3441" s="3" t="s">
        <v>190</v>
      </c>
      <c r="D3441" s="3" t="s">
        <v>3378</v>
      </c>
      <c r="E3441" s="3" t="s">
        <v>7301</v>
      </c>
      <c r="F3441" s="3" t="s">
        <v>3377</v>
      </c>
      <c r="G3441" s="3" t="str">
        <f>IFERROR(__xludf.DUMMYFUNCTION("GOOGLETRANSLATE(D3441,""fr"",""es"")"),"malicia")</f>
        <v>malicia</v>
      </c>
    </row>
    <row r="3442">
      <c r="A3442" s="3">
        <v>894.0</v>
      </c>
      <c r="B3442" s="3" t="s">
        <v>6738</v>
      </c>
      <c r="C3442" s="3" t="s">
        <v>190</v>
      </c>
      <c r="D3442" s="3" t="s">
        <v>3379</v>
      </c>
      <c r="E3442" s="3" t="s">
        <v>3380</v>
      </c>
      <c r="F3442" s="3" t="s">
        <v>3381</v>
      </c>
      <c r="G3442" s="3" t="str">
        <f>IFERROR(__xludf.DUMMYFUNCTION("GOOGLETRANSLATE(D3442,""fr"",""es"")"),"inteligente")</f>
        <v>inteligente</v>
      </c>
    </row>
    <row r="3443">
      <c r="A3443" s="3">
        <v>895.0</v>
      </c>
      <c r="B3443" s="3" t="s">
        <v>6738</v>
      </c>
      <c r="C3443" s="3" t="s">
        <v>190</v>
      </c>
      <c r="D3443" s="3" t="s">
        <v>3382</v>
      </c>
      <c r="E3443" s="3" t="s">
        <v>3380</v>
      </c>
      <c r="F3443" s="3" t="s">
        <v>3381</v>
      </c>
      <c r="G3443" s="3" t="str">
        <f>IFERROR(__xludf.DUMMYFUNCTION("GOOGLETRANSLATE(D3443,""fr"",""es"")"),"maligno")</f>
        <v>maligno</v>
      </c>
    </row>
    <row r="3444">
      <c r="A3444" s="3">
        <v>896.0</v>
      </c>
      <c r="B3444" s="3" t="s">
        <v>6738</v>
      </c>
      <c r="C3444" s="3" t="s">
        <v>190</v>
      </c>
      <c r="D3444" s="3" t="s">
        <v>3383</v>
      </c>
      <c r="E3444" s="3" t="s">
        <v>7302</v>
      </c>
      <c r="F3444" s="3" t="s">
        <v>3385</v>
      </c>
      <c r="G3444" s="3" t="str">
        <f>IFERROR(__xludf.DUMMYFUNCTION("GOOGLETRANSLATE(D3444,""fr"",""es"")"),"travieso")</f>
        <v>travieso</v>
      </c>
    </row>
    <row r="3445">
      <c r="A3445" s="3">
        <v>897.0</v>
      </c>
      <c r="B3445" s="3" t="s">
        <v>6738</v>
      </c>
      <c r="C3445" s="3" t="s">
        <v>190</v>
      </c>
      <c r="D3445" s="3" t="s">
        <v>3386</v>
      </c>
      <c r="E3445" s="3" t="s">
        <v>3298</v>
      </c>
      <c r="F3445" s="3" t="s">
        <v>3297</v>
      </c>
      <c r="G3445" s="3" t="str">
        <f>IFERROR(__xludf.DUMMYFUNCTION("GOOGLETRANSLATE(D3445,""fr"",""es"")"),"tronco")</f>
        <v>tronco</v>
      </c>
    </row>
    <row r="3446">
      <c r="A3446" s="3">
        <v>898.0</v>
      </c>
      <c r="B3446" s="3" t="s">
        <v>6738</v>
      </c>
      <c r="C3446" s="3" t="s">
        <v>190</v>
      </c>
      <c r="D3446" s="3" t="s">
        <v>3387</v>
      </c>
      <c r="E3446" s="3" t="s">
        <v>3298</v>
      </c>
      <c r="F3446" s="3" t="s">
        <v>3297</v>
      </c>
      <c r="G3446" s="3" t="str">
        <f>IFERROR(__xludf.DUMMYFUNCTION("GOOGLETRANSLATE(D3446,""fr"",""es"")"),"bañador")</f>
        <v>bañador</v>
      </c>
    </row>
    <row r="3447">
      <c r="A3447" s="3">
        <v>899.0</v>
      </c>
      <c r="B3447" s="3" t="s">
        <v>6738</v>
      </c>
      <c r="C3447" s="3" t="s">
        <v>190</v>
      </c>
      <c r="D3447" s="3" t="s">
        <v>3409</v>
      </c>
      <c r="E3447" s="3" t="s">
        <v>3410</v>
      </c>
      <c r="F3447" s="3" t="s">
        <v>3411</v>
      </c>
      <c r="G3447" s="3" t="str">
        <f>IFERROR(__xludf.DUMMYFUNCTION("GOOGLETRANSLATE(D3447,""fr"",""es"")"),"abuelita")</f>
        <v>abuelita</v>
      </c>
      <c r="H3447" s="3" t="s">
        <v>3412</v>
      </c>
      <c r="I3447" s="3" t="s">
        <v>3413</v>
      </c>
      <c r="J3447" s="3" t="s">
        <v>3414</v>
      </c>
      <c r="K3447" s="3" t="s">
        <v>3415</v>
      </c>
      <c r="L3447" s="3" t="s">
        <v>3413</v>
      </c>
      <c r="M3447" s="3" t="s">
        <v>3416</v>
      </c>
      <c r="N3447" s="3" t="s">
        <v>3417</v>
      </c>
      <c r="P3447" s="3" t="s">
        <v>3418</v>
      </c>
      <c r="Q3447" s="3" t="s">
        <v>3413</v>
      </c>
    </row>
    <row r="3448">
      <c r="A3448" s="3">
        <v>900.0</v>
      </c>
      <c r="B3448" s="3" t="s">
        <v>6738</v>
      </c>
      <c r="C3448" s="3" t="s">
        <v>190</v>
      </c>
      <c r="D3448" s="3" t="s">
        <v>3419</v>
      </c>
      <c r="E3448" s="3" t="s">
        <v>3410</v>
      </c>
      <c r="F3448" s="3" t="s">
        <v>3411</v>
      </c>
      <c r="G3448" s="3" t="str">
        <f>IFERROR(__xludf.DUMMYFUNCTION("GOOGLETRANSLATE(D3448,""fr"",""es"")"),"abuelas")</f>
        <v>abuelas</v>
      </c>
    </row>
    <row r="3449">
      <c r="A3449" s="3">
        <v>901.0</v>
      </c>
      <c r="B3449" s="3" t="s">
        <v>6738</v>
      </c>
      <c r="C3449" s="3" t="s">
        <v>190</v>
      </c>
      <c r="D3449" s="3" t="s">
        <v>3420</v>
      </c>
      <c r="E3449" s="3" t="s">
        <v>3410</v>
      </c>
      <c r="F3449" s="3" t="s">
        <v>3411</v>
      </c>
      <c r="G3449" s="3" t="str">
        <f>IFERROR(__xludf.DUMMYFUNCTION("GOOGLETRANSLATE(D3449,""fr"",""es"")"),"mami")</f>
        <v>mami</v>
      </c>
    </row>
    <row r="3450">
      <c r="A3450" s="3">
        <v>902.0</v>
      </c>
      <c r="B3450" s="3" t="s">
        <v>6738</v>
      </c>
      <c r="C3450" s="3" t="s">
        <v>190</v>
      </c>
      <c r="D3450" s="3" t="s">
        <v>3421</v>
      </c>
      <c r="E3450" s="3" t="s">
        <v>3281</v>
      </c>
      <c r="F3450" s="3" t="s">
        <v>3282</v>
      </c>
      <c r="G3450" s="3" t="str">
        <f>IFERROR(__xludf.DUMMYFUNCTION("GOOGLETRANSLATE(D3450,""fr"",""es"")"),"Hombre")</f>
        <v>Hombre</v>
      </c>
      <c r="H3450" s="3" t="s">
        <v>3365</v>
      </c>
      <c r="I3450" s="3" t="s">
        <v>3366</v>
      </c>
      <c r="J3450" s="3" t="s">
        <v>3367</v>
      </c>
      <c r="K3450" s="3" t="s">
        <v>3368</v>
      </c>
      <c r="L3450" s="3" t="s">
        <v>3282</v>
      </c>
    </row>
    <row r="3451">
      <c r="A3451" s="3">
        <v>903.0</v>
      </c>
      <c r="B3451" s="3" t="s">
        <v>6738</v>
      </c>
      <c r="C3451" s="3" t="s">
        <v>190</v>
      </c>
      <c r="D3451" s="3" t="s">
        <v>3422</v>
      </c>
      <c r="E3451" s="3" t="s">
        <v>3281</v>
      </c>
      <c r="F3451" s="3" t="s">
        <v>3282</v>
      </c>
      <c r="G3451" s="3" t="str">
        <f>IFERROR(__xludf.DUMMYFUNCTION("GOOGLETRANSLATE(D3451,""fr"",""es"")"),"cremanes")</f>
        <v>cremanes</v>
      </c>
      <c r="H3451" s="3" t="s">
        <v>3423</v>
      </c>
    </row>
    <row r="3452">
      <c r="A3452" s="3">
        <v>904.0</v>
      </c>
      <c r="B3452" s="3" t="s">
        <v>6738</v>
      </c>
      <c r="C3452" s="3" t="s">
        <v>190</v>
      </c>
      <c r="D3452" s="3" t="s">
        <v>3424</v>
      </c>
      <c r="E3452" s="3" t="s">
        <v>3425</v>
      </c>
      <c r="F3452" s="3" t="s">
        <v>3426</v>
      </c>
      <c r="G3452" s="3" t="str">
        <f>IFERROR(__xludf.DUMMYFUNCTION("GOOGLETRANSLATE(D3452,""fr"",""es"")"),"manía")</f>
        <v>manía</v>
      </c>
      <c r="H3452" s="3" t="s">
        <v>3427</v>
      </c>
      <c r="I3452" s="3" t="s">
        <v>3428</v>
      </c>
      <c r="J3452" s="3" t="s">
        <v>3429</v>
      </c>
      <c r="K3452" s="3" t="s">
        <v>3427</v>
      </c>
      <c r="L3452" s="3" t="s">
        <v>3430</v>
      </c>
    </row>
    <row r="3453">
      <c r="A3453" s="3">
        <v>905.0</v>
      </c>
      <c r="B3453" s="3" t="s">
        <v>6738</v>
      </c>
      <c r="C3453" s="3" t="s">
        <v>190</v>
      </c>
      <c r="D3453" s="3" t="s">
        <v>3431</v>
      </c>
      <c r="E3453" s="3" t="s">
        <v>3425</v>
      </c>
      <c r="F3453" s="3" t="s">
        <v>3426</v>
      </c>
      <c r="G3453" s="3" t="str">
        <f>IFERROR(__xludf.DUMMYFUNCTION("GOOGLETRANSLATE(D3453,""fr"",""es"")"),"resolver")</f>
        <v>resolver</v>
      </c>
    </row>
    <row r="3454">
      <c r="A3454" s="3">
        <v>906.0</v>
      </c>
      <c r="B3454" s="3" t="s">
        <v>6738</v>
      </c>
      <c r="C3454" s="3" t="s">
        <v>190</v>
      </c>
      <c r="D3454" s="3" t="s">
        <v>3432</v>
      </c>
      <c r="E3454" s="3" t="s">
        <v>3425</v>
      </c>
      <c r="F3454" s="3" t="s">
        <v>3426</v>
      </c>
      <c r="G3454" s="3" t="str">
        <f>IFERROR(__xludf.DUMMYFUNCTION("GOOGLETRANSLATE(D3454,""fr"",""es"")"),"manía")</f>
        <v>manía</v>
      </c>
    </row>
    <row r="3455">
      <c r="A3455" s="3">
        <v>907.0</v>
      </c>
      <c r="B3455" s="3" t="s">
        <v>6738</v>
      </c>
      <c r="C3455" s="3" t="s">
        <v>190</v>
      </c>
      <c r="D3455" s="3" t="s">
        <v>3433</v>
      </c>
      <c r="E3455" s="3" t="s">
        <v>7303</v>
      </c>
      <c r="F3455" s="3" t="s">
        <v>3435</v>
      </c>
      <c r="G3455" s="3" t="str">
        <f>IFERROR(__xludf.DUMMYFUNCTION("GOOGLETRANSLATE(D3455,""fr"",""es"")"),"Manila")</f>
        <v>Manila</v>
      </c>
      <c r="H3455" s="3" t="s">
        <v>3436</v>
      </c>
      <c r="I3455" s="3" t="s">
        <v>3437</v>
      </c>
      <c r="J3455" s="3" t="s">
        <v>3438</v>
      </c>
      <c r="K3455" s="3" t="s">
        <v>3437</v>
      </c>
      <c r="L3455" s="3" t="s">
        <v>3437</v>
      </c>
      <c r="M3455" s="3" t="s">
        <v>3439</v>
      </c>
      <c r="N3455" s="3" t="s">
        <v>3440</v>
      </c>
      <c r="O3455" s="3" t="s">
        <v>3441</v>
      </c>
      <c r="P3455" s="3" t="s">
        <v>3437</v>
      </c>
      <c r="Q3455" s="3" t="s">
        <v>3442</v>
      </c>
      <c r="R3455" s="3" t="s">
        <v>3443</v>
      </c>
      <c r="S3455" s="3" t="s">
        <v>3444</v>
      </c>
      <c r="T3455" s="3" t="s">
        <v>3445</v>
      </c>
      <c r="U3455" s="3" t="s">
        <v>3446</v>
      </c>
      <c r="V3455" s="3" t="s">
        <v>3447</v>
      </c>
    </row>
    <row r="3456">
      <c r="A3456" s="3">
        <v>908.0</v>
      </c>
      <c r="B3456" s="3" t="s">
        <v>6738</v>
      </c>
      <c r="C3456" s="3" t="s">
        <v>190</v>
      </c>
      <c r="D3456" s="3" t="s">
        <v>3448</v>
      </c>
      <c r="E3456" s="3" t="s">
        <v>7303</v>
      </c>
      <c r="F3456" s="3" t="s">
        <v>3435</v>
      </c>
      <c r="G3456" s="3" t="str">
        <f>IFERROR(__xludf.DUMMYFUNCTION("GOOGLETRANSLATE(D3456,""fr"",""es"")"),"Manila")</f>
        <v>Manila</v>
      </c>
      <c r="H3456" s="3" t="s">
        <v>3436</v>
      </c>
      <c r="I3456" s="3" t="s">
        <v>3437</v>
      </c>
      <c r="J3456" s="3" t="s">
        <v>3438</v>
      </c>
      <c r="K3456" s="3" t="s">
        <v>3437</v>
      </c>
      <c r="L3456" s="3" t="s">
        <v>3437</v>
      </c>
      <c r="M3456" s="3" t="s">
        <v>3439</v>
      </c>
      <c r="N3456" s="3" t="s">
        <v>3440</v>
      </c>
      <c r="O3456" s="3" t="s">
        <v>3441</v>
      </c>
      <c r="P3456" s="3" t="s">
        <v>3437</v>
      </c>
      <c r="Q3456" s="3" t="s">
        <v>3442</v>
      </c>
      <c r="R3456" s="3" t="s">
        <v>3443</v>
      </c>
      <c r="S3456" s="3" t="s">
        <v>3444</v>
      </c>
      <c r="T3456" s="3" t="s">
        <v>3445</v>
      </c>
      <c r="U3456" s="3" t="s">
        <v>3446</v>
      </c>
      <c r="V3456" s="3" t="s">
        <v>3447</v>
      </c>
    </row>
    <row r="3457">
      <c r="A3457" s="3">
        <v>909.0</v>
      </c>
      <c r="B3457" s="3" t="s">
        <v>6738</v>
      </c>
      <c r="C3457" s="3" t="s">
        <v>190</v>
      </c>
      <c r="D3457" s="3" t="s">
        <v>3449</v>
      </c>
      <c r="E3457" s="3" t="s">
        <v>7303</v>
      </c>
      <c r="F3457" s="3" t="s">
        <v>3435</v>
      </c>
      <c r="G3457" s="3" t="str">
        <f>IFERROR(__xludf.DUMMYFUNCTION("GOOGLETRANSLATE(D3457,""fr"",""es"")"),"tormenta")</f>
        <v>tormenta</v>
      </c>
    </row>
    <row r="3458">
      <c r="A3458" s="3">
        <v>910.0</v>
      </c>
      <c r="B3458" s="3" t="s">
        <v>6738</v>
      </c>
      <c r="C3458" s="3" t="s">
        <v>190</v>
      </c>
      <c r="D3458" s="3" t="s">
        <v>3450</v>
      </c>
      <c r="E3458" s="3" t="s">
        <v>7304</v>
      </c>
      <c r="F3458" s="3" t="s">
        <v>3450</v>
      </c>
      <c r="G3458" s="3" t="str">
        <f>IFERROR(__xludf.DUMMYFUNCTION("GOOGLETRANSLATE(D3458,""fr"",""es"")"),"manipulación")</f>
        <v>manipulación</v>
      </c>
    </row>
    <row r="3459">
      <c r="A3459" s="3">
        <v>911.0</v>
      </c>
      <c r="B3459" s="3" t="s">
        <v>6738</v>
      </c>
      <c r="C3459" s="3" t="s">
        <v>190</v>
      </c>
      <c r="D3459" s="3" t="s">
        <v>3452</v>
      </c>
      <c r="E3459" s="3" t="s">
        <v>7304</v>
      </c>
      <c r="F3459" s="3" t="s">
        <v>3450</v>
      </c>
      <c r="G3459" s="3" t="str">
        <f>IFERROR(__xludf.DUMMYFUNCTION("GOOGLETRANSLATE(D3459,""fr"",""es"")"),"manejo")</f>
        <v>manejo</v>
      </c>
    </row>
    <row r="3460">
      <c r="A3460" s="3">
        <v>912.0</v>
      </c>
      <c r="B3460" s="3" t="s">
        <v>6738</v>
      </c>
      <c r="C3460" s="3" t="s">
        <v>190</v>
      </c>
      <c r="D3460" s="3" t="s">
        <v>3453</v>
      </c>
      <c r="E3460" s="3" t="s">
        <v>7305</v>
      </c>
      <c r="F3460" s="3" t="s">
        <v>3455</v>
      </c>
      <c r="G3460" s="3" t="str">
        <f>IFERROR(__xludf.DUMMYFUNCTION("GOOGLETRANSLATE(D3460,""fr"",""es"")"),"manitou")</f>
        <v>manitou</v>
      </c>
    </row>
    <row r="3461">
      <c r="A3461" s="3">
        <v>913.0</v>
      </c>
      <c r="B3461" s="3" t="s">
        <v>6738</v>
      </c>
      <c r="C3461" s="3" t="s">
        <v>190</v>
      </c>
      <c r="D3461" s="3" t="s">
        <v>3456</v>
      </c>
      <c r="E3461" s="3" t="s">
        <v>7305</v>
      </c>
      <c r="F3461" s="3" t="s">
        <v>3455</v>
      </c>
      <c r="G3461" s="3" t="str">
        <f>IFERROR(__xludf.DUMMYFUNCTION("GOOGLETRANSLATE(D3461,""fr"",""es"")"),"maní")</f>
        <v>maní</v>
      </c>
    </row>
    <row r="3462">
      <c r="A3462" s="3">
        <v>914.0</v>
      </c>
      <c r="B3462" s="3" t="s">
        <v>6738</v>
      </c>
      <c r="C3462" s="3" t="s">
        <v>190</v>
      </c>
      <c r="D3462" s="3" t="s">
        <v>3457</v>
      </c>
      <c r="E3462" s="3" t="s">
        <v>3281</v>
      </c>
      <c r="F3462" s="3" t="s">
        <v>3282</v>
      </c>
      <c r="G3462" s="3" t="str">
        <f>IFERROR(__xludf.DUMMYFUNCTION("GOOGLETRANSLATE(D3462,""fr"",""es"")"),"maná")</f>
        <v>maná</v>
      </c>
      <c r="H3462" s="3" t="s">
        <v>3458</v>
      </c>
      <c r="I3462" s="3" t="s">
        <v>3459</v>
      </c>
      <c r="J3462" s="3" t="s">
        <v>3460</v>
      </c>
      <c r="K3462" s="3" t="s">
        <v>3459</v>
      </c>
    </row>
    <row r="3463">
      <c r="A3463" s="3">
        <v>915.0</v>
      </c>
      <c r="B3463" s="3" t="s">
        <v>6738</v>
      </c>
      <c r="C3463" s="3" t="s">
        <v>190</v>
      </c>
      <c r="D3463" s="3" t="s">
        <v>3461</v>
      </c>
      <c r="E3463" s="3" t="s">
        <v>3281</v>
      </c>
      <c r="F3463" s="3" t="s">
        <v>3282</v>
      </c>
      <c r="G3463" s="3" t="str">
        <f>IFERROR(__xludf.DUMMYFUNCTION("GOOGLETRANSLATE(D3463,""fr"",""es"")"),"ganancia inesperada")</f>
        <v>ganancia inesperada</v>
      </c>
    </row>
    <row r="3464">
      <c r="A3464" s="3">
        <v>916.0</v>
      </c>
      <c r="B3464" s="3" t="s">
        <v>6738</v>
      </c>
      <c r="C3464" s="3" t="s">
        <v>190</v>
      </c>
      <c r="D3464" s="3" t="s">
        <v>3462</v>
      </c>
      <c r="E3464" s="3" t="s">
        <v>7306</v>
      </c>
      <c r="F3464" s="3" t="s">
        <v>3464</v>
      </c>
      <c r="G3464" s="3" t="str">
        <f>IFERROR(__xludf.DUMMYFUNCTION("GOOGLETRANSLATE(D3464,""fr"",""es"")"),"gitano")</f>
        <v>gitano</v>
      </c>
    </row>
    <row r="3465">
      <c r="A3465" s="3">
        <v>917.0</v>
      </c>
      <c r="B3465" s="3" t="s">
        <v>6738</v>
      </c>
      <c r="C3465" s="3" t="s">
        <v>190</v>
      </c>
      <c r="D3465" s="3" t="s">
        <v>3465</v>
      </c>
      <c r="E3465" s="3" t="s">
        <v>7306</v>
      </c>
      <c r="F3465" s="3" t="s">
        <v>3464</v>
      </c>
      <c r="G3465" s="3" t="str">
        <f>IFERROR(__xludf.DUMMYFUNCTION("GOOGLETRANSLATE(D3465,""fr"",""es"")"),"gitano")</f>
        <v>gitano</v>
      </c>
    </row>
    <row r="3466">
      <c r="A3466" s="3">
        <v>918.0</v>
      </c>
      <c r="B3466" s="3" t="s">
        <v>6738</v>
      </c>
      <c r="C3466" s="3" t="s">
        <v>190</v>
      </c>
      <c r="D3466" s="3" t="s">
        <v>7307</v>
      </c>
      <c r="E3466" s="3" t="s">
        <v>3467</v>
      </c>
      <c r="F3466" s="3" t="s">
        <v>3468</v>
      </c>
      <c r="G3466" s="3" t="str">
        <f>IFERROR(__xludf.DUMMYFUNCTION("GOOGLETRANSLATE(D3466,""fr"",""es"")"),"maqua")</f>
        <v>maqua</v>
      </c>
    </row>
    <row r="3467">
      <c r="A3467" s="3">
        <v>919.0</v>
      </c>
      <c r="B3467" s="3" t="s">
        <v>6738</v>
      </c>
      <c r="C3467" s="3" t="s">
        <v>190</v>
      </c>
      <c r="D3467" s="3" t="s">
        <v>3472</v>
      </c>
      <c r="E3467" s="3" t="s">
        <v>3473</v>
      </c>
      <c r="F3467" s="3" t="s">
        <v>3474</v>
      </c>
      <c r="G3467" s="3" t="str">
        <f>IFERROR(__xludf.DUMMYFUNCTION("GOOGLETRANSLATE(D3467,""fr"",""es"")"),"maquillaje")</f>
        <v>maquillaje</v>
      </c>
    </row>
    <row r="3468">
      <c r="A3468" s="3">
        <v>920.0</v>
      </c>
      <c r="B3468" s="3" t="s">
        <v>6738</v>
      </c>
      <c r="C3468" s="3" t="s">
        <v>190</v>
      </c>
      <c r="D3468" s="3" t="s">
        <v>7308</v>
      </c>
      <c r="E3468" s="3" t="s">
        <v>3467</v>
      </c>
      <c r="F3468" s="3" t="s">
        <v>3468</v>
      </c>
      <c r="G3468" s="3" t="str">
        <f>IFERROR(__xludf.DUMMYFUNCTION("GOOGLETRANSLATE(D3468,""fr"",""es"")"),"maquos")</f>
        <v>maquos</v>
      </c>
    </row>
    <row r="3469">
      <c r="A3469" s="3">
        <v>921.0</v>
      </c>
      <c r="B3469" s="3" t="s">
        <v>6738</v>
      </c>
      <c r="C3469" s="3" t="s">
        <v>190</v>
      </c>
      <c r="D3469" s="3" t="s">
        <v>3475</v>
      </c>
      <c r="E3469" s="3" t="s">
        <v>3476</v>
      </c>
      <c r="F3469" s="3" t="s">
        <v>3477</v>
      </c>
      <c r="G3469" s="3" t="str">
        <f>IFERROR(__xludf.DUMMYFUNCTION("GOOGLETRANSLATE(D3469,""fr"",""es"")"),"cortadora")</f>
        <v>cortadora</v>
      </c>
    </row>
    <row r="3470">
      <c r="A3470" s="3">
        <v>922.0</v>
      </c>
      <c r="B3470" s="3" t="s">
        <v>6738</v>
      </c>
      <c r="C3470" s="3" t="s">
        <v>190</v>
      </c>
      <c r="D3470" s="3" t="s">
        <v>3478</v>
      </c>
      <c r="E3470" s="3" t="s">
        <v>3476</v>
      </c>
      <c r="F3470" s="3" t="s">
        <v>3477</v>
      </c>
      <c r="G3470" s="3" t="str">
        <f>IFERROR(__xludf.DUMMYFUNCTION("GOOGLETRANSLATE(D3470,""fr"",""es"")"),"pantalón")</f>
        <v>pantalón</v>
      </c>
    </row>
    <row r="3471">
      <c r="A3471" s="3">
        <v>923.0</v>
      </c>
      <c r="B3471" s="3" t="s">
        <v>6738</v>
      </c>
      <c r="C3471" s="3" t="s">
        <v>190</v>
      </c>
      <c r="D3471" s="3" t="s">
        <v>3479</v>
      </c>
      <c r="E3471" s="3" t="s">
        <v>3476</v>
      </c>
      <c r="F3471" s="3" t="s">
        <v>3477</v>
      </c>
      <c r="G3471" s="3" t="str">
        <f>IFERROR(__xludf.DUMMYFUNCTION("GOOGLETRANSLATE(D3471,""fr"",""es"")"),"maquas")</f>
        <v>maquas</v>
      </c>
    </row>
    <row r="3472">
      <c r="A3472" s="3">
        <v>924.0</v>
      </c>
      <c r="B3472" s="3" t="s">
        <v>6738</v>
      </c>
      <c r="C3472" s="3" t="s">
        <v>190</v>
      </c>
      <c r="D3472" s="3" t="s">
        <v>7309</v>
      </c>
      <c r="E3472" s="3" t="s">
        <v>3467</v>
      </c>
      <c r="F3472" s="3" t="s">
        <v>3468</v>
      </c>
      <c r="G3472" s="3" t="str">
        <f>IFERROR(__xludf.DUMMYFUNCTION("GOOGLETRANSLATE(D3472,""fr"",""es"")"),"constituir")</f>
        <v>constituir</v>
      </c>
    </row>
    <row r="3473">
      <c r="A3473" s="3">
        <v>925.0</v>
      </c>
      <c r="B3473" s="3" t="s">
        <v>6738</v>
      </c>
      <c r="C3473" s="3" t="s">
        <v>190</v>
      </c>
      <c r="D3473" s="3" t="s">
        <v>3480</v>
      </c>
      <c r="E3473" s="3" t="s">
        <v>3139</v>
      </c>
      <c r="F3473" s="3" t="s">
        <v>3140</v>
      </c>
      <c r="G3473" s="3" t="str">
        <f>IFERROR(__xludf.DUMMYFUNCTION("GOOGLETRANSLATE(D3473,""fr"",""es"")"),"maché")</f>
        <v>maché</v>
      </c>
    </row>
    <row r="3474">
      <c r="A3474" s="3">
        <v>926.0</v>
      </c>
      <c r="B3474" s="3" t="s">
        <v>6738</v>
      </c>
      <c r="C3474" s="3" t="s">
        <v>190</v>
      </c>
      <c r="D3474" s="3" t="s">
        <v>3481</v>
      </c>
      <c r="E3474" s="3" t="s">
        <v>3139</v>
      </c>
      <c r="F3474" s="3" t="s">
        <v>3140</v>
      </c>
      <c r="G3474" s="3" t="str">
        <f>IFERROR(__xludf.DUMMYFUNCTION("GOOGLETRANSLATE(D3474,""fr"",""es"")"),"burlón")</f>
        <v>burlón</v>
      </c>
    </row>
    <row r="3475">
      <c r="A3475" s="3">
        <v>927.0</v>
      </c>
      <c r="B3475" s="3" t="s">
        <v>6738</v>
      </c>
      <c r="C3475" s="3" t="s">
        <v>190</v>
      </c>
      <c r="D3475" s="3" t="s">
        <v>3482</v>
      </c>
      <c r="E3475" s="3" t="s">
        <v>3139</v>
      </c>
      <c r="F3475" s="3" t="s">
        <v>3140</v>
      </c>
      <c r="G3475" s="3" t="str">
        <f>IFERROR(__xludf.DUMMYFUNCTION("GOOGLETRANSLATE(D3475,""fr"",""es"")"),"maquetas")</f>
        <v>maquetas</v>
      </c>
    </row>
    <row r="3476">
      <c r="A3476" s="3">
        <v>928.0</v>
      </c>
      <c r="B3476" s="3" t="s">
        <v>6738</v>
      </c>
      <c r="C3476" s="3" t="s">
        <v>190</v>
      </c>
      <c r="D3476" s="3" t="s">
        <v>7310</v>
      </c>
      <c r="E3476" s="3" t="s">
        <v>7311</v>
      </c>
      <c r="F3476" s="3" t="s">
        <v>3485</v>
      </c>
      <c r="G3476" s="3" t="str">
        <f>IFERROR(__xludf.DUMMYFUNCTION("GOOGLETRANSLATE(D3476,""fr"",""es"")"),"constituir")</f>
        <v>constituir</v>
      </c>
    </row>
    <row r="3477">
      <c r="A3477" s="3">
        <v>929.0</v>
      </c>
      <c r="B3477" s="3" t="s">
        <v>6738</v>
      </c>
      <c r="C3477" s="3" t="s">
        <v>190</v>
      </c>
      <c r="D3477" s="3" t="s">
        <v>3489</v>
      </c>
      <c r="E3477" s="3" t="s">
        <v>7312</v>
      </c>
      <c r="F3477" s="3" t="s">
        <v>3491</v>
      </c>
      <c r="G3477" s="3" t="str">
        <f>IFERROR(__xludf.DUMMYFUNCTION("GOOGLETRANSLATE(D3477,""fr"",""es"")"),"maquillia")</f>
        <v>maquillia</v>
      </c>
    </row>
    <row r="3478">
      <c r="A3478" s="3">
        <v>930.0</v>
      </c>
      <c r="B3478" s="3" t="s">
        <v>6738</v>
      </c>
      <c r="C3478" s="3" t="s">
        <v>190</v>
      </c>
      <c r="D3478" s="3" t="s">
        <v>7313</v>
      </c>
      <c r="E3478" s="3" t="s">
        <v>7311</v>
      </c>
      <c r="F3478" s="3" t="s">
        <v>3485</v>
      </c>
      <c r="G3478" s="3" t="str">
        <f>IFERROR(__xludf.DUMMYFUNCTION("GOOGLETRANSLATE(D3478,""fr"",""es"")"),"arreglado")</f>
        <v>arreglado</v>
      </c>
    </row>
    <row r="3479">
      <c r="A3479" s="3">
        <v>931.0</v>
      </c>
      <c r="B3479" s="3" t="s">
        <v>6738</v>
      </c>
      <c r="C3479" s="3" t="s">
        <v>190</v>
      </c>
      <c r="D3479" s="3" t="s">
        <v>3492</v>
      </c>
      <c r="E3479" s="3" t="s">
        <v>7314</v>
      </c>
      <c r="F3479" s="3" t="s">
        <v>3494</v>
      </c>
      <c r="G3479" s="3" t="str">
        <f>IFERROR(__xludf.DUMMYFUNCTION("GOOGLETRANSLATE(D3479,""fr"",""es"")"),"constituir")</f>
        <v>constituir</v>
      </c>
    </row>
    <row r="3480">
      <c r="A3480" s="3">
        <v>932.0</v>
      </c>
      <c r="B3480" s="3" t="s">
        <v>6738</v>
      </c>
      <c r="C3480" s="3" t="s">
        <v>190</v>
      </c>
      <c r="D3480" s="3" t="s">
        <v>3495</v>
      </c>
      <c r="E3480" s="3" t="s">
        <v>7314</v>
      </c>
      <c r="F3480" s="3" t="s">
        <v>3494</v>
      </c>
      <c r="G3480" s="3" t="str">
        <f>IFERROR(__xludf.DUMMYFUNCTION("GOOGLETRANSLATE(D3480,""fr"",""es"")"),"constituir")</f>
        <v>constituir</v>
      </c>
    </row>
    <row r="3481">
      <c r="A3481" s="3">
        <v>933.0</v>
      </c>
      <c r="B3481" s="3" t="s">
        <v>6738</v>
      </c>
      <c r="C3481" s="3" t="s">
        <v>190</v>
      </c>
      <c r="D3481" s="3" t="s">
        <v>3496</v>
      </c>
      <c r="E3481" s="3" t="s">
        <v>7314</v>
      </c>
      <c r="F3481" s="3" t="s">
        <v>3494</v>
      </c>
      <c r="G3481" s="3" t="str">
        <f>IFERROR(__xludf.DUMMYFUNCTION("GOOGLETRANSLATE(D3481,""fr"",""es"")"),"constituir")</f>
        <v>constituir</v>
      </c>
    </row>
    <row r="3482">
      <c r="A3482" s="3">
        <v>934.0</v>
      </c>
      <c r="B3482" s="3" t="s">
        <v>6738</v>
      </c>
      <c r="C3482" s="3" t="s">
        <v>190</v>
      </c>
      <c r="D3482" s="3" t="s">
        <v>7315</v>
      </c>
      <c r="E3482" s="3" t="s">
        <v>7311</v>
      </c>
      <c r="F3482" s="3" t="s">
        <v>3485</v>
      </c>
      <c r="G3482" s="3" t="str">
        <f>IFERROR(__xludf.DUMMYFUNCTION("GOOGLETRANSLATE(D3482,""fr"",""es"")"),"maquillât")</f>
        <v>maquillât</v>
      </c>
    </row>
    <row r="3483">
      <c r="A3483" s="3">
        <v>935.0</v>
      </c>
      <c r="B3483" s="3" t="s">
        <v>6738</v>
      </c>
      <c r="C3483" s="3" t="s">
        <v>190</v>
      </c>
      <c r="D3483" s="3" t="s">
        <v>3497</v>
      </c>
      <c r="E3483" s="3" t="s">
        <v>7316</v>
      </c>
      <c r="F3483" s="3" t="s">
        <v>3499</v>
      </c>
      <c r="G3483" s="3" t="str">
        <f>IFERROR(__xludf.DUMMYFUNCTION("GOOGLETRANSLATE(D3483,""fr"",""es"")"),"maquillaje")</f>
        <v>maquillaje</v>
      </c>
    </row>
    <row r="3484">
      <c r="A3484" s="3">
        <v>936.0</v>
      </c>
      <c r="B3484" s="3" t="s">
        <v>6738</v>
      </c>
      <c r="C3484" s="3" t="s">
        <v>190</v>
      </c>
      <c r="D3484" s="3" t="s">
        <v>3500</v>
      </c>
      <c r="E3484" s="3" t="s">
        <v>7316</v>
      </c>
      <c r="F3484" s="3" t="s">
        <v>3499</v>
      </c>
      <c r="G3484" s="3" t="str">
        <f>IFERROR(__xludf.DUMMYFUNCTION("GOOGLETRANSLATE(D3484,""fr"",""es"")"),"constituir")</f>
        <v>constituir</v>
      </c>
    </row>
    <row r="3485">
      <c r="A3485" s="3">
        <v>937.0</v>
      </c>
      <c r="B3485" s="3" t="s">
        <v>6738</v>
      </c>
      <c r="C3485" s="3" t="s">
        <v>190</v>
      </c>
      <c r="D3485" s="3" t="s">
        <v>3501</v>
      </c>
      <c r="E3485" s="3" t="s">
        <v>7316</v>
      </c>
      <c r="F3485" s="3" t="s">
        <v>3499</v>
      </c>
      <c r="G3485" s="3" t="str">
        <f>IFERROR(__xludf.DUMMYFUNCTION("GOOGLETRANSLATE(D3485,""fr"",""es"")"),"constituir")</f>
        <v>constituir</v>
      </c>
    </row>
    <row r="3486">
      <c r="A3486" s="3">
        <v>938.0</v>
      </c>
      <c r="B3486" s="3" t="s">
        <v>6738</v>
      </c>
      <c r="C3486" s="3" t="s">
        <v>190</v>
      </c>
      <c r="D3486" s="3" t="s">
        <v>3502</v>
      </c>
      <c r="E3486" s="3" t="s">
        <v>3503</v>
      </c>
      <c r="F3486" s="3" t="s">
        <v>3504</v>
      </c>
      <c r="G3486" s="3" t="str">
        <f>IFERROR(__xludf.DUMMYFUNCTION("GOOGLETRANSLATE(D3486,""fr"",""es"")"),"maquios")</f>
        <v>maquios</v>
      </c>
      <c r="H3486" s="3" t="s">
        <v>3505</v>
      </c>
      <c r="I3486" s="3" t="s">
        <v>3506</v>
      </c>
      <c r="J3486" s="3" t="s">
        <v>3507</v>
      </c>
      <c r="K3486" s="3" t="s">
        <v>3508</v>
      </c>
      <c r="L3486" s="3" t="s">
        <v>3509</v>
      </c>
      <c r="M3486" s="3" t="s">
        <v>3510</v>
      </c>
      <c r="N3486" s="3" t="s">
        <v>3511</v>
      </c>
      <c r="O3486" s="3" t="s">
        <v>3512</v>
      </c>
      <c r="P3486" s="3" t="s">
        <v>3513</v>
      </c>
      <c r="Q3486" s="3" t="s">
        <v>3514</v>
      </c>
      <c r="R3486" s="3" t="s">
        <v>3515</v>
      </c>
      <c r="S3486" s="3" t="s">
        <v>3516</v>
      </c>
      <c r="T3486" s="3" t="s">
        <v>3512</v>
      </c>
    </row>
    <row r="3487">
      <c r="A3487" s="3">
        <v>939.0</v>
      </c>
      <c r="B3487" s="3" t="s">
        <v>6738</v>
      </c>
      <c r="C3487" s="3" t="s">
        <v>190</v>
      </c>
      <c r="D3487" s="3" t="s">
        <v>3519</v>
      </c>
      <c r="E3487" s="3" t="s">
        <v>3137</v>
      </c>
      <c r="F3487" s="3" t="s">
        <v>136</v>
      </c>
      <c r="G3487" s="3" t="str">
        <f>IFERROR(__xludf.DUMMYFUNCTION("GOOGLETRANSLATE(D3487,""fr"",""es"")"),"masa")</f>
        <v>masa</v>
      </c>
    </row>
    <row r="3488">
      <c r="A3488" s="3">
        <v>940.0</v>
      </c>
      <c r="B3488" s="3" t="s">
        <v>6738</v>
      </c>
      <c r="C3488" s="3" t="s">
        <v>190</v>
      </c>
      <c r="D3488" s="3" t="s">
        <v>7317</v>
      </c>
      <c r="E3488" s="3" t="s">
        <v>3538</v>
      </c>
      <c r="F3488" s="3" t="s">
        <v>3539</v>
      </c>
      <c r="G3488" s="3" t="str">
        <f>IFERROR(__xludf.DUMMYFUNCTION("GOOGLETRANSLATE(D3488,""fr"",""es"")"),"Masa")</f>
        <v>Masa</v>
      </c>
    </row>
    <row r="3489">
      <c r="A3489" s="3">
        <v>941.0</v>
      </c>
      <c r="B3489" s="3" t="s">
        <v>6738</v>
      </c>
      <c r="C3489" s="3" t="s">
        <v>190</v>
      </c>
      <c r="D3489" s="3" t="s">
        <v>3543</v>
      </c>
      <c r="E3489" s="3" t="s">
        <v>3544</v>
      </c>
      <c r="F3489" s="3" t="s">
        <v>3545</v>
      </c>
      <c r="G3489" s="3" t="str">
        <f>IFERROR(__xludf.DUMMYFUNCTION("GOOGLETRANSLATE(D3489,""fr"",""es"")"),"masa")</f>
        <v>masa</v>
      </c>
    </row>
    <row r="3490">
      <c r="A3490" s="3">
        <v>942.0</v>
      </c>
      <c r="B3490" s="3" t="s">
        <v>6738</v>
      </c>
      <c r="C3490" s="3" t="s">
        <v>190</v>
      </c>
      <c r="D3490" s="3" t="s">
        <v>7318</v>
      </c>
      <c r="E3490" s="3" t="s">
        <v>3538</v>
      </c>
      <c r="F3490" s="3" t="s">
        <v>3539</v>
      </c>
      <c r="G3490" s="3" t="str">
        <f>IFERROR(__xludf.DUMMYFUNCTION("GOOGLETRANSLATE(D3490,""fr"",""es"")"),"Masas")</f>
        <v>Masas</v>
      </c>
    </row>
    <row r="3491">
      <c r="A3491" s="3">
        <v>943.0</v>
      </c>
      <c r="B3491" s="3" t="s">
        <v>6738</v>
      </c>
      <c r="C3491" s="3" t="s">
        <v>190</v>
      </c>
      <c r="D3491" s="3" t="s">
        <v>3546</v>
      </c>
      <c r="E3491" s="3" t="s">
        <v>3547</v>
      </c>
      <c r="F3491" s="3" t="s">
        <v>3548</v>
      </c>
      <c r="G3491" s="3" t="str">
        <f>IFERROR(__xludf.DUMMYFUNCTION("GOOGLETRANSLATE(D3491,""fr"",""es"")"),"masaje")</f>
        <v>masaje</v>
      </c>
    </row>
    <row r="3492">
      <c r="A3492" s="3">
        <v>944.0</v>
      </c>
      <c r="B3492" s="3" t="s">
        <v>6738</v>
      </c>
      <c r="C3492" s="3" t="s">
        <v>190</v>
      </c>
      <c r="D3492" s="3" t="s">
        <v>3549</v>
      </c>
      <c r="E3492" s="3" t="s">
        <v>3547</v>
      </c>
      <c r="F3492" s="3" t="s">
        <v>3548</v>
      </c>
      <c r="G3492" s="3" t="str">
        <f>IFERROR(__xludf.DUMMYFUNCTION("GOOGLETRANSLATE(D3492,""fr"",""es"")"),"masaje")</f>
        <v>masaje</v>
      </c>
    </row>
    <row r="3493">
      <c r="A3493" s="3">
        <v>945.0</v>
      </c>
      <c r="B3493" s="3" t="s">
        <v>6738</v>
      </c>
      <c r="C3493" s="3" t="s">
        <v>190</v>
      </c>
      <c r="D3493" s="3" t="s">
        <v>3550</v>
      </c>
      <c r="E3493" s="3" t="s">
        <v>3547</v>
      </c>
      <c r="F3493" s="3" t="s">
        <v>3548</v>
      </c>
      <c r="G3493" s="3" t="str">
        <f>IFERROR(__xludf.DUMMYFUNCTION("GOOGLETRANSLATE(D3493,""fr"",""es"")"),"masas")</f>
        <v>masas</v>
      </c>
    </row>
    <row r="3494">
      <c r="A3494" s="3">
        <v>946.0</v>
      </c>
      <c r="B3494" s="3" t="s">
        <v>6738</v>
      </c>
      <c r="C3494" s="3" t="s">
        <v>190</v>
      </c>
      <c r="D3494" s="3" t="s">
        <v>7319</v>
      </c>
      <c r="E3494" s="3" t="s">
        <v>3538</v>
      </c>
      <c r="F3494" s="3" t="s">
        <v>3539</v>
      </c>
      <c r="G3494" s="3" t="str">
        <f>IFERROR(__xludf.DUMMYFUNCTION("GOOGLETRANSLATE(D3494,""fr"",""es"")"),"masa")</f>
        <v>masa</v>
      </c>
    </row>
    <row r="3495">
      <c r="A3495" s="3">
        <v>947.0</v>
      </c>
      <c r="B3495" s="3" t="s">
        <v>6738</v>
      </c>
      <c r="C3495" s="3" t="s">
        <v>190</v>
      </c>
      <c r="D3495" s="3" t="s">
        <v>3551</v>
      </c>
      <c r="E3495" s="3" t="s">
        <v>3518</v>
      </c>
      <c r="F3495" s="3" t="s">
        <v>3519</v>
      </c>
      <c r="G3495" s="3" t="str">
        <f>IFERROR(__xludf.DUMMYFUNCTION("GOOGLETRANSLATE(D3495,""fr"",""es"")"),"masa")</f>
        <v>masa</v>
      </c>
      <c r="H3495" s="3" t="s">
        <v>3552</v>
      </c>
      <c r="I3495" s="3" t="s">
        <v>3553</v>
      </c>
      <c r="J3495" s="3" t="s">
        <v>3554</v>
      </c>
      <c r="K3495" s="3" t="s">
        <v>3555</v>
      </c>
      <c r="L3495" s="3" t="s">
        <v>3556</v>
      </c>
      <c r="M3495" s="3" t="s">
        <v>3557</v>
      </c>
      <c r="N3495" s="3" t="s">
        <v>3558</v>
      </c>
      <c r="O3495" s="3" t="s">
        <v>3559</v>
      </c>
      <c r="P3495" s="3" t="s">
        <v>3555</v>
      </c>
      <c r="Q3495" s="3" t="s">
        <v>3556</v>
      </c>
      <c r="R3495" s="3" t="s">
        <v>3560</v>
      </c>
      <c r="S3495" s="3" t="s">
        <v>3561</v>
      </c>
      <c r="T3495" s="3" t="s">
        <v>3558</v>
      </c>
      <c r="U3495" s="3" t="s">
        <v>3557</v>
      </c>
      <c r="V3495" s="3" t="s">
        <v>3562</v>
      </c>
      <c r="W3495" s="3" t="s">
        <v>3563</v>
      </c>
      <c r="X3495" s="3" t="s">
        <v>3564</v>
      </c>
      <c r="Y3495" s="3" t="s">
        <v>3565</v>
      </c>
      <c r="Z3495" s="3" t="s">
        <v>3566</v>
      </c>
      <c r="AA3495" s="3" t="s">
        <v>3567</v>
      </c>
      <c r="AB3495" s="3" t="s">
        <v>3568</v>
      </c>
      <c r="AC3495" s="3" t="s">
        <v>3557</v>
      </c>
      <c r="AD3495" s="3" t="s">
        <v>3569</v>
      </c>
      <c r="AE3495" s="3" t="s">
        <v>3570</v>
      </c>
      <c r="AF3495" s="3" t="s">
        <v>3557</v>
      </c>
      <c r="AG3495" s="3" t="s">
        <v>3571</v>
      </c>
      <c r="AH3495" s="3" t="s">
        <v>3572</v>
      </c>
      <c r="AI3495" s="3" t="s">
        <v>3573</v>
      </c>
      <c r="AJ3495" s="3" t="s">
        <v>3557</v>
      </c>
      <c r="AK3495" s="3" t="s">
        <v>3574</v>
      </c>
      <c r="AL3495" s="3" t="s">
        <v>3575</v>
      </c>
      <c r="AM3495" s="3" t="s">
        <v>3576</v>
      </c>
      <c r="AN3495" s="3" t="s">
        <v>3577</v>
      </c>
      <c r="AO3495" s="3" t="s">
        <v>3578</v>
      </c>
      <c r="AP3495" s="3" t="s">
        <v>3579</v>
      </c>
      <c r="AQ3495" s="3" t="s">
        <v>3580</v>
      </c>
      <c r="AR3495" s="3" t="s">
        <v>3564</v>
      </c>
      <c r="AS3495" s="3" t="s">
        <v>3581</v>
      </c>
      <c r="AT3495" s="3" t="s">
        <v>3557</v>
      </c>
      <c r="AU3495" s="3" t="s">
        <v>3582</v>
      </c>
      <c r="AV3495" s="3" t="s">
        <v>3583</v>
      </c>
      <c r="AW3495" s="3" t="s">
        <v>3584</v>
      </c>
      <c r="AX3495" s="3" t="s">
        <v>3585</v>
      </c>
      <c r="AY3495" s="3" t="s">
        <v>3586</v>
      </c>
      <c r="AZ3495" s="3" t="s">
        <v>3587</v>
      </c>
      <c r="BA3495" s="3" t="s">
        <v>3588</v>
      </c>
      <c r="BB3495" s="3" t="s">
        <v>3563</v>
      </c>
      <c r="BC3495" s="3" t="s">
        <v>3589</v>
      </c>
      <c r="BD3495" s="3" t="s">
        <v>3590</v>
      </c>
      <c r="BE3495" s="3" t="s">
        <v>3591</v>
      </c>
      <c r="BF3495" s="3" t="s">
        <v>3592</v>
      </c>
      <c r="BG3495" s="3" t="s">
        <v>3593</v>
      </c>
      <c r="BH3495" s="3" t="s">
        <v>3594</v>
      </c>
      <c r="BI3495" s="3" t="s">
        <v>3595</v>
      </c>
      <c r="BJ3495" s="3" t="s">
        <v>3596</v>
      </c>
      <c r="BK3495" s="3" t="s">
        <v>3597</v>
      </c>
      <c r="BL3495" s="3" t="s">
        <v>3598</v>
      </c>
      <c r="BM3495" s="3" t="s">
        <v>3599</v>
      </c>
      <c r="BN3495" s="3" t="s">
        <v>3600</v>
      </c>
    </row>
    <row r="3496">
      <c r="A3496" s="3">
        <v>948.0</v>
      </c>
      <c r="B3496" s="3" t="s">
        <v>6738</v>
      </c>
      <c r="C3496" s="3" t="s">
        <v>190</v>
      </c>
      <c r="D3496" s="3" t="s">
        <v>3601</v>
      </c>
      <c r="E3496" s="3" t="s">
        <v>3518</v>
      </c>
      <c r="F3496" s="3" t="s">
        <v>3519</v>
      </c>
      <c r="G3496" s="3" t="str">
        <f>IFERROR(__xludf.DUMMYFUNCTION("GOOGLETRANSLATE(D3496,""fr"",""es"")"),"masa")</f>
        <v>masa</v>
      </c>
    </row>
    <row r="3497">
      <c r="A3497" s="3">
        <v>949.0</v>
      </c>
      <c r="B3497" s="3" t="s">
        <v>6738</v>
      </c>
      <c r="C3497" s="3" t="s">
        <v>190</v>
      </c>
      <c r="D3497" s="3" t="s">
        <v>3570</v>
      </c>
      <c r="E3497" s="3" t="s">
        <v>3518</v>
      </c>
      <c r="F3497" s="3" t="s">
        <v>3519</v>
      </c>
      <c r="G3497" s="3" t="str">
        <f>IFERROR(__xludf.DUMMYFUNCTION("GOOGLETRANSLATE(D3497,""fr"",""es"")"),"masas")</f>
        <v>masas</v>
      </c>
    </row>
    <row r="3498">
      <c r="A3498" s="3">
        <v>950.0</v>
      </c>
      <c r="B3498" s="3" t="s">
        <v>6738</v>
      </c>
      <c r="C3498" s="3" t="s">
        <v>190</v>
      </c>
      <c r="D3498" s="3" t="s">
        <v>3602</v>
      </c>
      <c r="E3498" s="3" t="s">
        <v>7320</v>
      </c>
      <c r="F3498" s="3" t="s">
        <v>3604</v>
      </c>
      <c r="G3498" s="3" t="str">
        <f>IFERROR(__xludf.DUMMYFUNCTION("GOOGLETRANSLATE(D3498,""fr"",""es"")"),"masa")</f>
        <v>masa</v>
      </c>
      <c r="H3498" s="3" t="s">
        <v>3605</v>
      </c>
      <c r="I3498" s="3" t="s">
        <v>3606</v>
      </c>
    </row>
    <row r="3499">
      <c r="A3499" s="3">
        <v>951.0</v>
      </c>
      <c r="B3499" s="3" t="s">
        <v>6738</v>
      </c>
      <c r="C3499" s="3" t="s">
        <v>190</v>
      </c>
      <c r="D3499" s="3" t="s">
        <v>3607</v>
      </c>
      <c r="E3499" s="3" t="s">
        <v>7320</v>
      </c>
      <c r="F3499" s="3" t="s">
        <v>3604</v>
      </c>
      <c r="G3499" s="3" t="str">
        <f>IFERROR(__xludf.DUMMYFUNCTION("GOOGLETRANSLATE(D3499,""fr"",""es"")"),"masa")</f>
        <v>masa</v>
      </c>
    </row>
    <row r="3500">
      <c r="A3500" s="3">
        <v>952.0</v>
      </c>
      <c r="B3500" s="3" t="s">
        <v>6738</v>
      </c>
      <c r="C3500" s="3" t="s">
        <v>190</v>
      </c>
      <c r="D3500" s="3" t="s">
        <v>7321</v>
      </c>
      <c r="E3500" s="3" t="s">
        <v>3137</v>
      </c>
      <c r="F3500" s="3" t="s">
        <v>136</v>
      </c>
      <c r="G3500" s="3" t="str">
        <f>IFERROR(__xludf.DUMMYFUNCTION("GOOGLETRANSLATE(D3500,""fr"",""es"")"),"mástil")</f>
        <v>mástil</v>
      </c>
      <c r="H3500" s="3" t="s">
        <v>7322</v>
      </c>
      <c r="I3500" s="3" t="s">
        <v>7323</v>
      </c>
      <c r="J3500" s="3" t="s">
        <v>7324</v>
      </c>
      <c r="K3500" s="3" t="s">
        <v>7324</v>
      </c>
      <c r="L3500" s="3" t="s">
        <v>7324</v>
      </c>
      <c r="M3500" s="3" t="s">
        <v>7325</v>
      </c>
      <c r="N3500" s="3" t="s">
        <v>7324</v>
      </c>
    </row>
    <row r="3501">
      <c r="A3501" s="3">
        <v>953.0</v>
      </c>
      <c r="B3501" s="3" t="s">
        <v>6738</v>
      </c>
      <c r="C3501" s="3" t="s">
        <v>190</v>
      </c>
      <c r="D3501" s="3" t="s">
        <v>3610</v>
      </c>
      <c r="E3501" s="3" t="s">
        <v>3609</v>
      </c>
      <c r="F3501" s="3" t="s">
        <v>3610</v>
      </c>
      <c r="G3501" s="3" t="str">
        <f>IFERROR(__xludf.DUMMYFUNCTION("GOOGLETRANSLATE(D3501,""fr"",""es"")"),"mata")</f>
        <v>mata</v>
      </c>
    </row>
    <row r="3502">
      <c r="A3502" s="3">
        <v>954.0</v>
      </c>
      <c r="B3502" s="3" t="s">
        <v>6738</v>
      </c>
      <c r="C3502" s="3" t="s">
        <v>190</v>
      </c>
      <c r="D3502" s="3" t="s">
        <v>7326</v>
      </c>
      <c r="E3502" s="3" t="s">
        <v>3609</v>
      </c>
      <c r="F3502" s="3" t="s">
        <v>3610</v>
      </c>
      <c r="G3502" s="3" t="str">
        <f>IFERROR(__xludf.DUMMYFUNCTION("GOOGLETRANSLATE(D3502,""fr"",""es"")"),"masta")</f>
        <v>masta</v>
      </c>
    </row>
    <row r="3503">
      <c r="A3503" s="3">
        <v>955.0</v>
      </c>
      <c r="B3503" s="3" t="s">
        <v>6738</v>
      </c>
      <c r="C3503" s="3" t="s">
        <v>190</v>
      </c>
      <c r="D3503" s="3" t="s">
        <v>3618</v>
      </c>
      <c r="E3503" s="3" t="s">
        <v>3619</v>
      </c>
      <c r="F3503" s="3" t="s">
        <v>3620</v>
      </c>
      <c r="G3503" s="3" t="str">
        <f>IFERROR(__xludf.DUMMYFUNCTION("GOOGLETRANSLATE(D3503,""fr"",""es"")"),"partidos")</f>
        <v>partidos</v>
      </c>
    </row>
    <row r="3504">
      <c r="A3504" s="3">
        <v>956.0</v>
      </c>
      <c r="B3504" s="3" t="s">
        <v>6738</v>
      </c>
      <c r="C3504" s="3" t="s">
        <v>190</v>
      </c>
      <c r="D3504" s="3" t="s">
        <v>3621</v>
      </c>
      <c r="E3504" s="3" t="s">
        <v>3619</v>
      </c>
      <c r="F3504" s="3" t="s">
        <v>3620</v>
      </c>
      <c r="G3504" s="3" t="str">
        <f>IFERROR(__xludf.DUMMYFUNCTION("GOOGLETRANSLATE(D3504,""fr"",""es"")"),"mástil")</f>
        <v>mástil</v>
      </c>
    </row>
    <row r="3505">
      <c r="A3505" s="3">
        <v>957.0</v>
      </c>
      <c r="B3505" s="3" t="s">
        <v>6738</v>
      </c>
      <c r="C3505" s="3" t="s">
        <v>190</v>
      </c>
      <c r="D3505" s="3" t="s">
        <v>3624</v>
      </c>
      <c r="E3505" s="3" t="s">
        <v>3609</v>
      </c>
      <c r="F3505" s="3" t="s">
        <v>3610</v>
      </c>
      <c r="G3505" s="3" t="str">
        <f>IFERROR(__xludf.DUMMYFUNCTION("GOOGLETRANSLATE(D3505,""fr"",""es"")"),"matas")</f>
        <v>matas</v>
      </c>
    </row>
    <row r="3506">
      <c r="A3506" s="3">
        <v>958.0</v>
      </c>
      <c r="B3506" s="3" t="s">
        <v>6738</v>
      </c>
      <c r="C3506" s="3" t="s">
        <v>190</v>
      </c>
      <c r="D3506" s="3" t="s">
        <v>7327</v>
      </c>
      <c r="E3506" s="3" t="s">
        <v>3609</v>
      </c>
      <c r="F3506" s="3" t="s">
        <v>3610</v>
      </c>
      <c r="G3506" s="3" t="str">
        <f>IFERROR(__xludf.DUMMYFUNCTION("GOOGLETRANSLATE(D3506,""fr"",""es"")"),"mastas")</f>
        <v>mastas</v>
      </c>
    </row>
    <row r="3507">
      <c r="A3507" s="3">
        <v>959.0</v>
      </c>
      <c r="B3507" s="3" t="s">
        <v>6738</v>
      </c>
      <c r="C3507" s="3" t="s">
        <v>190</v>
      </c>
      <c r="D3507" s="3" t="s">
        <v>3622</v>
      </c>
      <c r="E3507" s="3" t="s">
        <v>3623</v>
      </c>
      <c r="F3507" s="3" t="s">
        <v>3624</v>
      </c>
      <c r="G3507" s="3" t="str">
        <f>IFERROR(__xludf.DUMMYFUNCTION("GOOGLETRANSLATE(D3507,""fr"",""es"")"),"colchón")</f>
        <v>colchón</v>
      </c>
    </row>
    <row r="3508">
      <c r="A3508" s="3">
        <v>960.0</v>
      </c>
      <c r="B3508" s="3" t="s">
        <v>6738</v>
      </c>
      <c r="C3508" s="3" t="s">
        <v>190</v>
      </c>
      <c r="D3508" s="3" t="s">
        <v>3625</v>
      </c>
      <c r="E3508" s="3" t="s">
        <v>3623</v>
      </c>
      <c r="F3508" s="3" t="s">
        <v>3624</v>
      </c>
      <c r="G3508" s="3" t="str">
        <f>IFERROR(__xludf.DUMMYFUNCTION("GOOGLETRANSLATE(D3508,""fr"",""es"")"),"mastaso")</f>
        <v>mastaso</v>
      </c>
    </row>
    <row r="3509">
      <c r="A3509" s="3">
        <v>961.0</v>
      </c>
      <c r="B3509" s="3" t="s">
        <v>6738</v>
      </c>
      <c r="C3509" s="3" t="s">
        <v>190</v>
      </c>
      <c r="D3509" s="3" t="s">
        <v>3626</v>
      </c>
      <c r="E3509" s="3" t="s">
        <v>3623</v>
      </c>
      <c r="F3509" s="3" t="s">
        <v>3624</v>
      </c>
      <c r="G3509" s="3" t="str">
        <f>IFERROR(__xludf.DUMMYFUNCTION("GOOGLETRANSLATE(D3509,""fr"",""es"")"),"colchón")</f>
        <v>colchón</v>
      </c>
    </row>
    <row r="3510">
      <c r="A3510" s="3">
        <v>962.0</v>
      </c>
      <c r="B3510" s="3" t="s">
        <v>6738</v>
      </c>
      <c r="C3510" s="3" t="s">
        <v>190</v>
      </c>
      <c r="D3510" s="3" t="s">
        <v>3627</v>
      </c>
      <c r="E3510" s="3" t="s">
        <v>3623</v>
      </c>
      <c r="F3510" s="3" t="s">
        <v>3624</v>
      </c>
      <c r="G3510" s="3" t="str">
        <f>IFERROR(__xludf.DUMMYFUNCTION("GOOGLETRANSLATE(D3510,""fr"",""es"")"),"mastés")</f>
        <v>mastés</v>
      </c>
    </row>
    <row r="3511">
      <c r="A3511" s="3">
        <v>963.0</v>
      </c>
      <c r="B3511" s="3" t="s">
        <v>6738</v>
      </c>
      <c r="C3511" s="3" t="s">
        <v>190</v>
      </c>
      <c r="D3511" s="3" t="s">
        <v>3628</v>
      </c>
      <c r="E3511" s="3" t="s">
        <v>3623</v>
      </c>
      <c r="F3511" s="3" t="s">
        <v>3624</v>
      </c>
      <c r="G3511" s="3" t="str">
        <f>IFERROR(__xludf.DUMMYFUNCTION("GOOGLETRANSLATE(D3511,""fr"",""es"")"),"matecito")</f>
        <v>matecito</v>
      </c>
    </row>
    <row r="3512">
      <c r="A3512" s="3">
        <v>964.0</v>
      </c>
      <c r="B3512" s="3" t="s">
        <v>6738</v>
      </c>
      <c r="C3512" s="3" t="s">
        <v>190</v>
      </c>
      <c r="D3512" s="3" t="s">
        <v>3629</v>
      </c>
      <c r="E3512" s="3" t="s">
        <v>3623</v>
      </c>
      <c r="F3512" s="3" t="s">
        <v>3624</v>
      </c>
      <c r="G3512" s="3" t="str">
        <f>IFERROR(__xludf.DUMMYFUNCTION("GOOGLETRANSLATE(D3512,""fr"",""es"")"),"mastaso")</f>
        <v>mastaso</v>
      </c>
    </row>
    <row r="3513">
      <c r="A3513" s="3">
        <v>965.0</v>
      </c>
      <c r="B3513" s="3" t="s">
        <v>6738</v>
      </c>
      <c r="C3513" s="3" t="s">
        <v>190</v>
      </c>
      <c r="D3513" s="3" t="s">
        <v>7328</v>
      </c>
      <c r="E3513" s="3" t="s">
        <v>3609</v>
      </c>
      <c r="F3513" s="3" t="s">
        <v>3610</v>
      </c>
      <c r="G3513" s="3" t="str">
        <f>IFERROR(__xludf.DUMMYFUNCTION("GOOGLETRANSLATE(D3513,""fr"",""es"")"),"estera")</f>
        <v>estera</v>
      </c>
    </row>
    <row r="3514">
      <c r="A3514" s="3">
        <v>966.0</v>
      </c>
      <c r="B3514" s="3" t="s">
        <v>6738</v>
      </c>
      <c r="C3514" s="3" t="s">
        <v>190</v>
      </c>
      <c r="D3514" s="3" t="s">
        <v>7329</v>
      </c>
      <c r="E3514" s="3" t="s">
        <v>3609</v>
      </c>
      <c r="F3514" s="3" t="s">
        <v>3610</v>
      </c>
      <c r="G3514" s="3" t="str">
        <f>IFERROR(__xludf.DUMMYFUNCTION("GOOGLETRANSLATE(D3514,""fr"",""es"")"),"mástil")</f>
        <v>mástil</v>
      </c>
    </row>
    <row r="3515">
      <c r="A3515" s="3">
        <v>967.0</v>
      </c>
      <c r="B3515" s="3" t="s">
        <v>6738</v>
      </c>
      <c r="C3515" s="3" t="s">
        <v>190</v>
      </c>
      <c r="D3515" s="3" t="s">
        <v>7330</v>
      </c>
      <c r="E3515" s="3" t="s">
        <v>7331</v>
      </c>
      <c r="F3515" s="3" t="s">
        <v>7330</v>
      </c>
      <c r="G3515" s="3" t="str">
        <f>IFERROR(__xludf.DUMMYFUNCTION("GOOGLETRANSLATE(D3515,""fr"",""es"")"),"Mati")</f>
        <v>Mati</v>
      </c>
    </row>
    <row r="3516">
      <c r="A3516" s="3">
        <v>968.0</v>
      </c>
      <c r="B3516" s="3" t="s">
        <v>6738</v>
      </c>
      <c r="C3516" s="3" t="s">
        <v>190</v>
      </c>
      <c r="D3516" s="3" t="s">
        <v>7332</v>
      </c>
      <c r="E3516" s="3" t="s">
        <v>7331</v>
      </c>
      <c r="F3516" s="3" t="s">
        <v>7330</v>
      </c>
      <c r="G3516" s="3" t="str">
        <f>IFERROR(__xludf.DUMMYFUNCTION("GOOGLETRANSLATE(D3516,""fr"",""es"")"),"compañero")</f>
        <v>compañero</v>
      </c>
    </row>
    <row r="3517">
      <c r="A3517" s="3">
        <v>969.0</v>
      </c>
      <c r="B3517" s="3" t="s">
        <v>6738</v>
      </c>
      <c r="C3517" s="3" t="s">
        <v>190</v>
      </c>
      <c r="D3517" s="3" t="s">
        <v>7333</v>
      </c>
      <c r="E3517" s="3" t="s">
        <v>7331</v>
      </c>
      <c r="F3517" s="3" t="s">
        <v>7330</v>
      </c>
      <c r="G3517" s="3" t="str">
        <f>IFERROR(__xludf.DUMMYFUNCTION("GOOGLETRANSLATE(D3517,""fr"",""es"")"),"mazas")</f>
        <v>mazas</v>
      </c>
    </row>
    <row r="3518">
      <c r="A3518" s="3">
        <v>970.0</v>
      </c>
      <c r="B3518" s="3" t="s">
        <v>6738</v>
      </c>
      <c r="C3518" s="3" t="s">
        <v>190</v>
      </c>
      <c r="D3518" s="3" t="s">
        <v>7334</v>
      </c>
      <c r="E3518" s="3" t="s">
        <v>7335</v>
      </c>
      <c r="F3518" s="3" t="s">
        <v>7336</v>
      </c>
      <c r="G3518" s="3" t="str">
        <f>IFERROR(__xludf.DUMMYFUNCTION("GOOGLETRANSLATE(D3518,""fr"",""es"")"),"mate")</f>
        <v>mate</v>
      </c>
    </row>
    <row r="3519">
      <c r="A3519" s="3">
        <v>971.0</v>
      </c>
      <c r="B3519" s="3" t="s">
        <v>6738</v>
      </c>
      <c r="C3519" s="3" t="s">
        <v>190</v>
      </c>
      <c r="D3519" s="3" t="s">
        <v>7337</v>
      </c>
      <c r="E3519" s="3" t="s">
        <v>7338</v>
      </c>
      <c r="F3519" s="3" t="s">
        <v>7339</v>
      </c>
      <c r="G3519" s="3" t="str">
        <f>IFERROR(__xludf.DUMMYFUNCTION("GOOGLETRANSLATE(D3519,""fr"",""es"")"),"mastina")</f>
        <v>mastina</v>
      </c>
    </row>
    <row r="3520">
      <c r="A3520" s="3">
        <v>972.0</v>
      </c>
      <c r="B3520" s="3" t="s">
        <v>6738</v>
      </c>
      <c r="C3520" s="3" t="s">
        <v>190</v>
      </c>
      <c r="D3520" s="3" t="s">
        <v>7340</v>
      </c>
      <c r="E3520" s="3" t="s">
        <v>7341</v>
      </c>
      <c r="F3520" s="3" t="s">
        <v>7340</v>
      </c>
      <c r="G3520" s="3" t="str">
        <f>IFERROR(__xludf.DUMMYFUNCTION("GOOGLETRANSLATE(D3520,""fr"",""es"")"),"Mañana")</f>
        <v>Mañana</v>
      </c>
    </row>
    <row r="3521">
      <c r="A3521" s="3">
        <v>973.0</v>
      </c>
      <c r="B3521" s="3" t="s">
        <v>6738</v>
      </c>
      <c r="C3521" s="3" t="s">
        <v>190</v>
      </c>
      <c r="D3521" s="3" t="s">
        <v>7342</v>
      </c>
      <c r="E3521" s="3" t="s">
        <v>7341</v>
      </c>
      <c r="F3521" s="3" t="s">
        <v>7340</v>
      </c>
      <c r="G3521" s="3" t="str">
        <f>IFERROR(__xludf.DUMMYFUNCTION("GOOGLETRANSLATE(D3521,""fr"",""es"")"),"Mañana")</f>
        <v>Mañana</v>
      </c>
    </row>
    <row r="3522">
      <c r="A3522" s="3">
        <v>974.0</v>
      </c>
      <c r="B3522" s="3" t="s">
        <v>6738</v>
      </c>
      <c r="C3522" s="3" t="s">
        <v>190</v>
      </c>
      <c r="D3522" s="3" t="s">
        <v>7343</v>
      </c>
      <c r="E3522" s="3" t="s">
        <v>7341</v>
      </c>
      <c r="F3522" s="3" t="s">
        <v>7340</v>
      </c>
      <c r="G3522" s="3" t="str">
        <f>IFERROR(__xludf.DUMMYFUNCTION("GOOGLETRANSLATE(D3522,""fr"",""es"")"),"Mañana")</f>
        <v>Mañana</v>
      </c>
    </row>
    <row r="3523">
      <c r="A3523" s="3">
        <v>975.0</v>
      </c>
      <c r="B3523" s="3" t="s">
        <v>6738</v>
      </c>
      <c r="C3523" s="3" t="s">
        <v>190</v>
      </c>
      <c r="D3523" s="3" t="s">
        <v>7344</v>
      </c>
      <c r="E3523" s="3" t="s">
        <v>7345</v>
      </c>
      <c r="F3523" s="3" t="s">
        <v>7346</v>
      </c>
      <c r="G3523" s="3" t="str">
        <f>IFERROR(__xludf.DUMMYFUNCTION("GOOGLETRANSLATE(D3523,""fr"",""es"")"),"mascarilla")</f>
        <v>mascarilla</v>
      </c>
    </row>
    <row r="3524">
      <c r="A3524" s="3">
        <v>976.0</v>
      </c>
      <c r="B3524" s="3" t="s">
        <v>6738</v>
      </c>
      <c r="C3524" s="3" t="s">
        <v>190</v>
      </c>
      <c r="D3524" s="3" t="s">
        <v>7347</v>
      </c>
      <c r="E3524" s="3" t="s">
        <v>7338</v>
      </c>
      <c r="F3524" s="3" t="s">
        <v>7339</v>
      </c>
      <c r="G3524" s="3" t="str">
        <f>IFERROR(__xludf.DUMMYFUNCTION("GOOGLETRANSLATE(D3524,""fr"",""es"")"),"mastinas")</f>
        <v>mastinas</v>
      </c>
    </row>
    <row r="3525">
      <c r="A3525" s="3">
        <v>977.0</v>
      </c>
      <c r="B3525" s="3" t="s">
        <v>6738</v>
      </c>
      <c r="C3525" s="3" t="s">
        <v>190</v>
      </c>
      <c r="D3525" s="3" t="s">
        <v>7348</v>
      </c>
      <c r="E3525" s="3" t="s">
        <v>7349</v>
      </c>
      <c r="F3525" s="3" t="s">
        <v>7350</v>
      </c>
      <c r="G3525" s="3" t="str">
        <f>IFERROR(__xludf.DUMMYFUNCTION("GOOGLETRANSLATE(D3525,""fr"",""es"")"),"mastina")</f>
        <v>mastina</v>
      </c>
    </row>
    <row r="3526">
      <c r="A3526" s="3">
        <v>978.0</v>
      </c>
      <c r="B3526" s="3" t="s">
        <v>6738</v>
      </c>
      <c r="C3526" s="3" t="s">
        <v>190</v>
      </c>
      <c r="D3526" s="3" t="s">
        <v>7351</v>
      </c>
      <c r="E3526" s="3" t="s">
        <v>7349</v>
      </c>
      <c r="F3526" s="3" t="s">
        <v>7350</v>
      </c>
      <c r="G3526" s="3" t="str">
        <f>IFERROR(__xludf.DUMMYFUNCTION("GOOGLETRANSLATE(D3526,""fr"",""es"")"),"mástil")</f>
        <v>mástil</v>
      </c>
    </row>
    <row r="3527">
      <c r="A3527" s="3">
        <v>979.0</v>
      </c>
      <c r="B3527" s="3" t="s">
        <v>6738</v>
      </c>
      <c r="C3527" s="3" t="s">
        <v>190</v>
      </c>
      <c r="D3527" s="3" t="s">
        <v>7352</v>
      </c>
      <c r="E3527" s="3" t="s">
        <v>7349</v>
      </c>
      <c r="F3527" s="3" t="s">
        <v>7350</v>
      </c>
      <c r="G3527" s="3" t="str">
        <f>IFERROR(__xludf.DUMMYFUNCTION("GOOGLETRANSLATE(D3527,""fr"",""es"")"),"mastina")</f>
        <v>mastina</v>
      </c>
    </row>
    <row r="3528">
      <c r="A3528" s="3">
        <v>980.0</v>
      </c>
      <c r="B3528" s="3" t="s">
        <v>6738</v>
      </c>
      <c r="C3528" s="3" t="s">
        <v>190</v>
      </c>
      <c r="D3528" s="3" t="s">
        <v>7353</v>
      </c>
      <c r="E3528" s="3" t="s">
        <v>7338</v>
      </c>
      <c r="F3528" s="3" t="s">
        <v>7339</v>
      </c>
      <c r="G3528" s="3" t="str">
        <f>IFERROR(__xludf.DUMMYFUNCTION("GOOGLETRANSLATE(D3528,""fr"",""es"")"),"masta")</f>
        <v>masta</v>
      </c>
    </row>
    <row r="3529">
      <c r="A3529" s="3">
        <v>981.0</v>
      </c>
      <c r="B3529" s="3" t="s">
        <v>6738</v>
      </c>
      <c r="C3529" s="3" t="s">
        <v>190</v>
      </c>
      <c r="D3529" s="3" t="s">
        <v>7354</v>
      </c>
      <c r="E3529" s="3" t="s">
        <v>7355</v>
      </c>
      <c r="F3529" s="3" t="s">
        <v>7356</v>
      </c>
      <c r="G3529" s="3" t="str">
        <f>IFERROR(__xludf.DUMMYFUNCTION("GOOGLETRANSLATE(D3529,""fr"",""es"")"),"mastadura")</f>
        <v>mastadura</v>
      </c>
    </row>
    <row r="3530">
      <c r="A3530" s="3">
        <v>982.0</v>
      </c>
      <c r="B3530" s="3" t="s">
        <v>6738</v>
      </c>
      <c r="C3530" s="3" t="s">
        <v>190</v>
      </c>
      <c r="D3530" s="3" t="s">
        <v>7357</v>
      </c>
      <c r="E3530" s="3" t="s">
        <v>7355</v>
      </c>
      <c r="F3530" s="3" t="s">
        <v>7356</v>
      </c>
      <c r="G3530" s="3" t="str">
        <f>IFERROR(__xludf.DUMMYFUNCTION("GOOGLETRANSLATE(D3530,""fr"",""es"")"),"mastadura")</f>
        <v>mastadura</v>
      </c>
    </row>
    <row r="3531">
      <c r="A3531" s="3">
        <v>983.0</v>
      </c>
      <c r="B3531" s="3" t="s">
        <v>6738</v>
      </c>
      <c r="C3531" s="3" t="s">
        <v>190</v>
      </c>
      <c r="D3531" s="3" t="s">
        <v>7358</v>
      </c>
      <c r="E3531" s="3" t="s">
        <v>7355</v>
      </c>
      <c r="F3531" s="3" t="s">
        <v>7356</v>
      </c>
      <c r="G3531" s="3" t="str">
        <f>IFERROR(__xludf.DUMMYFUNCTION("GOOGLETRANSLATE(D3531,""fr"",""es"")"),"mastino")</f>
        <v>mastino</v>
      </c>
    </row>
    <row r="3532">
      <c r="A3532" s="3">
        <v>984.0</v>
      </c>
      <c r="B3532" s="3" t="s">
        <v>6738</v>
      </c>
      <c r="C3532" s="3" t="s">
        <v>190</v>
      </c>
      <c r="D3532" s="3" t="s">
        <v>7359</v>
      </c>
      <c r="E3532" s="3" t="s">
        <v>7355</v>
      </c>
      <c r="F3532" s="3" t="s">
        <v>7356</v>
      </c>
      <c r="G3532" s="3" t="str">
        <f>IFERROR(__xludf.DUMMYFUNCTION("GOOGLETRANSLATE(D3532,""fr"",""es"")"),"maitines")</f>
        <v>maitines</v>
      </c>
      <c r="H3532" s="3" t="s">
        <v>7360</v>
      </c>
      <c r="I3532" s="3" t="s">
        <v>7361</v>
      </c>
    </row>
    <row r="3533">
      <c r="A3533" s="3">
        <v>985.0</v>
      </c>
      <c r="B3533" s="3" t="s">
        <v>6738</v>
      </c>
      <c r="C3533" s="3" t="s">
        <v>190</v>
      </c>
      <c r="D3533" s="3" t="s">
        <v>7362</v>
      </c>
      <c r="E3533" s="3" t="s">
        <v>7355</v>
      </c>
      <c r="F3533" s="3" t="s">
        <v>7356</v>
      </c>
      <c r="G3533" s="3" t="str">
        <f>IFERROR(__xludf.DUMMYFUNCTION("GOOGLETRANSLATE(D3533,""fr"",""es"")"),"maitines")</f>
        <v>maitines</v>
      </c>
    </row>
    <row r="3534">
      <c r="A3534" s="3">
        <v>986.0</v>
      </c>
      <c r="B3534" s="3" t="s">
        <v>6738</v>
      </c>
      <c r="C3534" s="3" t="s">
        <v>190</v>
      </c>
      <c r="D3534" s="3" t="s">
        <v>7363</v>
      </c>
      <c r="E3534" s="3" t="s">
        <v>7331</v>
      </c>
      <c r="F3534" s="3" t="s">
        <v>7330</v>
      </c>
      <c r="G3534" s="3" t="str">
        <f>IFERROR(__xludf.DUMMYFUNCTION("GOOGLETRANSLATE(D3534,""fr"",""es"")"),"Matis")</f>
        <v>Matis</v>
      </c>
    </row>
    <row r="3535">
      <c r="A3535" s="3">
        <v>987.0</v>
      </c>
      <c r="B3535" s="3" t="s">
        <v>6738</v>
      </c>
      <c r="C3535" s="3" t="s">
        <v>190</v>
      </c>
      <c r="D3535" s="3" t="s">
        <v>7364</v>
      </c>
      <c r="E3535" s="3" t="s">
        <v>7365</v>
      </c>
      <c r="F3535" s="3" t="s">
        <v>7363</v>
      </c>
      <c r="G3535" s="3" t="str">
        <f>IFERROR(__xludf.DUMMYFUNCTION("GOOGLETRANSLATE(D3535,""fr"",""es"")"),"Matisse")</f>
        <v>Matisse</v>
      </c>
    </row>
    <row r="3536">
      <c r="A3536" s="3">
        <v>988.0</v>
      </c>
      <c r="B3536" s="3" t="s">
        <v>6738</v>
      </c>
      <c r="C3536" s="3" t="s">
        <v>190</v>
      </c>
      <c r="D3536" s="3" t="s">
        <v>7366</v>
      </c>
      <c r="E3536" s="3" t="s">
        <v>7365</v>
      </c>
      <c r="F3536" s="3" t="s">
        <v>7363</v>
      </c>
      <c r="G3536" s="3" t="str">
        <f>IFERROR(__xludf.DUMMYFUNCTION("GOOGLETRANSLATE(D3536,""fr"",""es"")"),"Montar")</f>
        <v>Montar</v>
      </c>
    </row>
    <row r="3537">
      <c r="A3537" s="3">
        <v>989.0</v>
      </c>
      <c r="B3537" s="3" t="s">
        <v>6738</v>
      </c>
      <c r="C3537" s="3" t="s">
        <v>190</v>
      </c>
      <c r="D3537" s="3" t="s">
        <v>7367</v>
      </c>
      <c r="E3537" s="3" t="s">
        <v>7365</v>
      </c>
      <c r="F3537" s="3" t="s">
        <v>7363</v>
      </c>
      <c r="G3537" s="3" t="str">
        <f>IFERROR(__xludf.DUMMYFUNCTION("GOOGLETRANSLATE(D3537,""fr"",""es"")"),"Mañana")</f>
        <v>Mañana</v>
      </c>
    </row>
    <row r="3538">
      <c r="A3538" s="3">
        <v>990.0</v>
      </c>
      <c r="B3538" s="3" t="s">
        <v>6738</v>
      </c>
      <c r="C3538" s="3" t="s">
        <v>190</v>
      </c>
      <c r="D3538" s="3" t="s">
        <v>7368</v>
      </c>
      <c r="E3538" s="3" t="s">
        <v>7331</v>
      </c>
      <c r="F3538" s="3" t="s">
        <v>7330</v>
      </c>
      <c r="G3538" s="3" t="str">
        <f>IFERROR(__xludf.DUMMYFUNCTION("GOOGLETRANSLATE(D3538,""fr"",""es"")"),"matit")</f>
        <v>matit</v>
      </c>
    </row>
    <row r="3539">
      <c r="A3539" s="3">
        <v>991.0</v>
      </c>
      <c r="B3539" s="3" t="s">
        <v>6738</v>
      </c>
      <c r="C3539" s="3" t="s">
        <v>190</v>
      </c>
      <c r="D3539" s="3" t="s">
        <v>7369</v>
      </c>
      <c r="E3539" s="3" t="s">
        <v>7331</v>
      </c>
      <c r="F3539" s="3" t="s">
        <v>7330</v>
      </c>
      <c r="G3539" s="3" t="str">
        <f>IFERROR(__xludf.DUMMYFUNCTION("GOOGLETRANSLATE(D3539,""fr"",""es"")"),"juego")</f>
        <v>juego</v>
      </c>
    </row>
    <row r="3540">
      <c r="A3540" s="3">
        <v>992.0</v>
      </c>
      <c r="B3540" s="3" t="s">
        <v>6738</v>
      </c>
      <c r="C3540" s="3" t="s">
        <v>190</v>
      </c>
      <c r="D3540" s="3" t="s">
        <v>3630</v>
      </c>
      <c r="E3540" s="3" t="s">
        <v>3631</v>
      </c>
      <c r="F3540" s="3" t="s">
        <v>3632</v>
      </c>
      <c r="G3540" s="3" t="str">
        <f>IFERROR(__xludf.DUMMYFUNCTION("GOOGLETRANSLATE(D3540,""fr"",""es"")"),"Matou")</f>
        <v>Matou</v>
      </c>
      <c r="H3540" s="3" t="s">
        <v>3633</v>
      </c>
      <c r="I3540" s="3" t="s">
        <v>3634</v>
      </c>
      <c r="J3540" s="3" t="s">
        <v>3635</v>
      </c>
      <c r="K3540" s="3" t="s">
        <v>3636</v>
      </c>
      <c r="L3540" s="3" t="s">
        <v>3635</v>
      </c>
      <c r="M3540" s="3" t="s">
        <v>3637</v>
      </c>
    </row>
    <row r="3541">
      <c r="A3541" s="3">
        <v>993.0</v>
      </c>
      <c r="B3541" s="3" t="s">
        <v>6738</v>
      </c>
      <c r="C3541" s="3" t="s">
        <v>190</v>
      </c>
      <c r="D3541" s="3" t="s">
        <v>3638</v>
      </c>
      <c r="E3541" s="3" t="s">
        <v>3631</v>
      </c>
      <c r="F3541" s="3" t="s">
        <v>3632</v>
      </c>
      <c r="G3541" s="3" t="str">
        <f>IFERROR(__xludf.DUMMYFUNCTION("GOOGLETRANSLATE(D3541,""fr"",""es"")"),"titular")</f>
        <v>titular</v>
      </c>
    </row>
    <row r="3542">
      <c r="A3542" s="3">
        <v>994.0</v>
      </c>
      <c r="B3542" s="3" t="s">
        <v>6738</v>
      </c>
      <c r="C3542" s="3" t="s">
        <v>190</v>
      </c>
      <c r="D3542" s="3" t="s">
        <v>7370</v>
      </c>
      <c r="E3542" s="3" t="s">
        <v>3137</v>
      </c>
      <c r="F3542" s="3" t="s">
        <v>136</v>
      </c>
      <c r="G3542" s="3" t="str">
        <f>IFERROR(__xludf.DUMMYFUNCTION("GOOGLETRANSLATE(D3542,""fr"",""es"")"),"mástiles")</f>
        <v>mástiles</v>
      </c>
    </row>
    <row r="3543">
      <c r="A3543" s="3">
        <v>995.0</v>
      </c>
      <c r="B3543" s="3" t="s">
        <v>6738</v>
      </c>
      <c r="C3543" s="3" t="s">
        <v>190</v>
      </c>
      <c r="D3543" s="3" t="s">
        <v>3275</v>
      </c>
      <c r="E3543" s="3" t="s">
        <v>3274</v>
      </c>
      <c r="F3543" s="3" t="s">
        <v>3275</v>
      </c>
      <c r="G3543" s="3" t="str">
        <f>IFERROR(__xludf.DUMMYFUNCTION("GOOGLETRANSLATE(D3543,""fr"",""es"")"),"maya")</f>
        <v>maya</v>
      </c>
    </row>
    <row r="3544">
      <c r="A3544" s="3">
        <v>996.0</v>
      </c>
      <c r="B3544" s="3" t="s">
        <v>6738</v>
      </c>
      <c r="C3544" s="3" t="s">
        <v>190</v>
      </c>
      <c r="D3544" s="3" t="s">
        <v>7371</v>
      </c>
      <c r="E3544" s="3" t="s">
        <v>3274</v>
      </c>
      <c r="F3544" s="3" t="s">
        <v>3275</v>
      </c>
      <c r="G3544" s="3" t="str">
        <f>IFERROR(__xludf.DUMMYFUNCTION("GOOGLETRANSLATE(D3544,""fr"",""es"")"),"Maya")</f>
        <v>Maya</v>
      </c>
    </row>
    <row r="3545">
      <c r="A3545" s="3">
        <v>997.0</v>
      </c>
      <c r="B3545" s="3" t="s">
        <v>6738</v>
      </c>
      <c r="C3545" s="3" t="s">
        <v>190</v>
      </c>
      <c r="D3545" s="3" t="s">
        <v>149</v>
      </c>
      <c r="E3545" s="3" t="s">
        <v>150</v>
      </c>
      <c r="F3545" s="3" t="s">
        <v>149</v>
      </c>
      <c r="G3545" s="3" t="str">
        <f>IFERROR(__xludf.DUMMYFUNCTION("GOOGLETRANSLATE(D3545,""fr"",""es"")"),"medio")</f>
        <v>medio</v>
      </c>
      <c r="H3545" s="3" t="s">
        <v>149</v>
      </c>
      <c r="I3545" s="3" t="s">
        <v>160</v>
      </c>
      <c r="J3545" s="3" t="s">
        <v>161</v>
      </c>
      <c r="K3545" s="3" t="s">
        <v>162</v>
      </c>
      <c r="L3545" s="3" t="s">
        <v>163</v>
      </c>
      <c r="M3545" s="3" t="s">
        <v>164</v>
      </c>
      <c r="N3545" s="3" t="s">
        <v>149</v>
      </c>
      <c r="O3545" s="3" t="s">
        <v>165</v>
      </c>
      <c r="P3545" s="3" t="s">
        <v>166</v>
      </c>
      <c r="Q3545" s="3" t="s">
        <v>160</v>
      </c>
      <c r="R3545" s="3" t="s">
        <v>149</v>
      </c>
      <c r="S3545" s="3" t="s">
        <v>3701</v>
      </c>
      <c r="T3545" s="3" t="s">
        <v>3702</v>
      </c>
    </row>
    <row r="3546">
      <c r="A3546" s="3">
        <v>998.0</v>
      </c>
      <c r="B3546" s="3" t="s">
        <v>6738</v>
      </c>
      <c r="C3546" s="3" t="s">
        <v>190</v>
      </c>
      <c r="D3546" s="3" t="s">
        <v>3703</v>
      </c>
      <c r="E3546" s="3" t="s">
        <v>150</v>
      </c>
      <c r="F3546" s="3" t="s">
        <v>149</v>
      </c>
      <c r="G3546" s="3" t="str">
        <f>IFERROR(__xludf.DUMMYFUNCTION("GOOGLETRANSLATE(D3546,""fr"",""es"")"),"medio-")</f>
        <v>medio-</v>
      </c>
    </row>
    <row r="3547">
      <c r="A3547" s="3">
        <v>999.0</v>
      </c>
      <c r="B3547" s="3" t="s">
        <v>6738</v>
      </c>
      <c r="C3547" s="3" t="s">
        <v>190</v>
      </c>
      <c r="D3547" s="3" t="s">
        <v>7372</v>
      </c>
      <c r="E3547" s="3" t="s">
        <v>7373</v>
      </c>
      <c r="F3547" s="3" t="s">
        <v>7374</v>
      </c>
      <c r="G3547" s="3" t="str">
        <f>IFERROR(__xludf.DUMMYFUNCTION("GOOGLETRANSLATE(D3547,""fr"",""es"")"),"mica")</f>
        <v>mica</v>
      </c>
      <c r="H3547" s="3" t="s">
        <v>7372</v>
      </c>
      <c r="I3547" s="3" t="s">
        <v>7375</v>
      </c>
    </row>
    <row r="3548">
      <c r="A3548" s="3">
        <v>1000.0</v>
      </c>
      <c r="B3548" s="3" t="s">
        <v>6738</v>
      </c>
      <c r="C3548" s="3" t="s">
        <v>190</v>
      </c>
      <c r="D3548" s="3" t="s">
        <v>7376</v>
      </c>
      <c r="E3548" s="3" t="s">
        <v>7373</v>
      </c>
      <c r="F3548" s="3" t="s">
        <v>7374</v>
      </c>
      <c r="G3548" s="3" t="str">
        <f>IFERROR(__xludf.DUMMYFUNCTION("GOOGLETRANSLATE(D3548,""fr"",""es"")"),"micas")</f>
        <v>micas</v>
      </c>
    </row>
    <row r="3549">
      <c r="A3549" s="3">
        <v>1001.0</v>
      </c>
      <c r="B3549" s="3" t="s">
        <v>6738</v>
      </c>
      <c r="C3549" s="3" t="s">
        <v>190</v>
      </c>
      <c r="D3549" s="3" t="s">
        <v>3704</v>
      </c>
      <c r="E3549" s="3" t="s">
        <v>7377</v>
      </c>
      <c r="F3549" s="3" t="s">
        <v>3706</v>
      </c>
      <c r="G3549" s="3" t="str">
        <f>IFERROR(__xludf.DUMMYFUNCTION("GOOGLETRANSLATE(D3549,""fr"",""es"")"),"Micé")</f>
        <v>Micé</v>
      </c>
      <c r="H3549" s="3" t="s">
        <v>3707</v>
      </c>
      <c r="I3549" s="3" t="s">
        <v>3708</v>
      </c>
    </row>
    <row r="3550">
      <c r="A3550" s="3">
        <v>1002.0</v>
      </c>
      <c r="B3550" s="3" t="s">
        <v>6738</v>
      </c>
      <c r="C3550" s="3" t="s">
        <v>190</v>
      </c>
      <c r="D3550" s="3" t="s">
        <v>3714</v>
      </c>
      <c r="E3550" s="3" t="s">
        <v>7377</v>
      </c>
      <c r="F3550" s="3" t="s">
        <v>3706</v>
      </c>
      <c r="G3550" s="3" t="str">
        <f>IFERROR(__xludf.DUMMYFUNCTION("GOOGLETRANSLATE(D3550,""fr"",""es"")"),"Cerraduras")</f>
        <v>Cerraduras</v>
      </c>
    </row>
    <row r="3551">
      <c r="A3551" s="3">
        <v>1003.0</v>
      </c>
      <c r="B3551" s="3" t="s">
        <v>6738</v>
      </c>
      <c r="C3551" s="3" t="s">
        <v>190</v>
      </c>
      <c r="D3551" s="3" t="s">
        <v>3715</v>
      </c>
      <c r="E3551" s="3" t="s">
        <v>150</v>
      </c>
      <c r="F3551" s="3" t="s">
        <v>149</v>
      </c>
      <c r="G3551" s="3" t="str">
        <f>IFERROR(__xludf.DUMMYFUNCTION("GOOGLETRANSLATE(D3551,""fr"",""es"")"),"miga")</f>
        <v>miga</v>
      </c>
      <c r="H3551" s="3" t="s">
        <v>3716</v>
      </c>
      <c r="I3551" s="3" t="s">
        <v>3716</v>
      </c>
      <c r="J3551" s="3" t="s">
        <v>3716</v>
      </c>
      <c r="K3551" s="3" t="s">
        <v>3716</v>
      </c>
      <c r="L3551" s="3" t="s">
        <v>3716</v>
      </c>
    </row>
    <row r="3552">
      <c r="A3552" s="3">
        <v>1004.0</v>
      </c>
      <c r="B3552" s="3" t="s">
        <v>6738</v>
      </c>
      <c r="C3552" s="3" t="s">
        <v>190</v>
      </c>
      <c r="D3552" s="3" t="s">
        <v>3717</v>
      </c>
      <c r="E3552" s="3" t="s">
        <v>150</v>
      </c>
      <c r="F3552" s="3" t="s">
        <v>149</v>
      </c>
      <c r="G3552" s="3" t="str">
        <f>IFERROR(__xludf.DUMMYFUNCTION("GOOGLETRANSLATE(D3552,""fr"",""es"")"),"mies")</f>
        <v>mies</v>
      </c>
    </row>
    <row r="3553">
      <c r="A3553" s="3">
        <v>1005.0</v>
      </c>
      <c r="B3553" s="3" t="s">
        <v>6738</v>
      </c>
      <c r="C3553" s="3" t="s">
        <v>190</v>
      </c>
      <c r="D3553" s="3" t="s">
        <v>159</v>
      </c>
      <c r="E3553" s="3" t="s">
        <v>7378</v>
      </c>
      <c r="F3553" s="3" t="s">
        <v>159</v>
      </c>
      <c r="G3553" s="3" t="str">
        <f>IFERROR(__xludf.DUMMYFUNCTION("GOOGLETRANSLATE(D3553,""fr"",""es"")"),"mijo")</f>
        <v>mijo</v>
      </c>
    </row>
    <row r="3554">
      <c r="A3554" s="3">
        <v>1006.0</v>
      </c>
      <c r="B3554" s="3" t="s">
        <v>6738</v>
      </c>
      <c r="C3554" s="3" t="s">
        <v>190</v>
      </c>
      <c r="D3554" s="3" t="s">
        <v>3723</v>
      </c>
      <c r="E3554" s="3" t="s">
        <v>7379</v>
      </c>
      <c r="F3554" s="3" t="s">
        <v>3725</v>
      </c>
      <c r="G3554" s="3" t="str">
        <f>IFERROR(__xludf.DUMMYFUNCTION("GOOGLETRANSLATE(D3554,""fr"",""es"")"),"milicia")</f>
        <v>milicia</v>
      </c>
      <c r="H3554" s="3" t="s">
        <v>3726</v>
      </c>
      <c r="I3554" s="3" t="s">
        <v>3727</v>
      </c>
      <c r="J3554" s="3" t="s">
        <v>3726</v>
      </c>
    </row>
    <row r="3555">
      <c r="A3555" s="3">
        <v>1007.0</v>
      </c>
      <c r="B3555" s="3" t="s">
        <v>6738</v>
      </c>
      <c r="C3555" s="3" t="s">
        <v>190</v>
      </c>
      <c r="D3555" s="3" t="s">
        <v>3728</v>
      </c>
      <c r="E3555" s="3" t="s">
        <v>7379</v>
      </c>
      <c r="F3555" s="3" t="s">
        <v>3725</v>
      </c>
      <c r="G3555" s="3" t="str">
        <f>IFERROR(__xludf.DUMMYFUNCTION("GOOGLETRANSLATE(D3555,""fr"",""es"")"),"milicias")</f>
        <v>milicias</v>
      </c>
    </row>
    <row r="3556">
      <c r="A3556" s="3">
        <v>1008.0</v>
      </c>
      <c r="B3556" s="3" t="s">
        <v>6738</v>
      </c>
      <c r="C3556" s="3" t="s">
        <v>190</v>
      </c>
      <c r="D3556" s="3" t="s">
        <v>3731</v>
      </c>
      <c r="E3556" s="3" t="s">
        <v>7380</v>
      </c>
      <c r="F3556" s="3" t="s">
        <v>3731</v>
      </c>
      <c r="G3556" s="3" t="str">
        <f>IFERROR(__xludf.DUMMYFUNCTION("GOOGLETRANSLATE(D3556,""fr"",""es"")"),"Milita")</f>
        <v>Milita</v>
      </c>
    </row>
    <row r="3557">
      <c r="A3557" s="3">
        <v>1009.0</v>
      </c>
      <c r="B3557" s="3" t="s">
        <v>6738</v>
      </c>
      <c r="C3557" s="3" t="s">
        <v>190</v>
      </c>
      <c r="D3557" s="3" t="s">
        <v>3735</v>
      </c>
      <c r="E3557" s="3" t="s">
        <v>7381</v>
      </c>
      <c r="F3557" s="3" t="s">
        <v>3737</v>
      </c>
      <c r="G3557" s="3" t="str">
        <f>IFERROR(__xludf.DUMMYFUNCTION("GOOGLETRANSLATE(D3557,""fr"",""es"")"),"Milita")</f>
        <v>Milita</v>
      </c>
    </row>
    <row r="3558">
      <c r="A3558" s="3">
        <v>1010.0</v>
      </c>
      <c r="B3558" s="3" t="s">
        <v>6738</v>
      </c>
      <c r="C3558" s="3" t="s">
        <v>190</v>
      </c>
      <c r="D3558" s="3" t="s">
        <v>3740</v>
      </c>
      <c r="E3558" s="3" t="s">
        <v>7380</v>
      </c>
      <c r="F3558" s="3" t="s">
        <v>3731</v>
      </c>
      <c r="G3558" s="3" t="str">
        <f>IFERROR(__xludf.DUMMYFUNCTION("GOOGLETRANSLATE(D3558,""fr"",""es"")"),"militas")</f>
        <v>militas</v>
      </c>
    </row>
    <row r="3559">
      <c r="A3559" s="3">
        <v>1011.0</v>
      </c>
      <c r="B3559" s="3" t="s">
        <v>6738</v>
      </c>
      <c r="C3559" s="3" t="s">
        <v>190</v>
      </c>
      <c r="D3559" s="3" t="s">
        <v>3738</v>
      </c>
      <c r="E3559" s="3" t="s">
        <v>7382</v>
      </c>
      <c r="F3559" s="3" t="s">
        <v>3740</v>
      </c>
      <c r="G3559" s="3" t="str">
        <f>IFERROR(__xludf.DUMMYFUNCTION("GOOGLETRANSLATE(D3559,""fr"",""es"")"),"militas a")</f>
        <v>militas a</v>
      </c>
    </row>
    <row r="3560">
      <c r="A3560" s="3">
        <v>1012.0</v>
      </c>
      <c r="B3560" s="3" t="s">
        <v>6738</v>
      </c>
      <c r="C3560" s="3" t="s">
        <v>190</v>
      </c>
      <c r="D3560" s="3" t="s">
        <v>3741</v>
      </c>
      <c r="E3560" s="3" t="s">
        <v>7382</v>
      </c>
      <c r="F3560" s="3" t="s">
        <v>3740</v>
      </c>
      <c r="G3560" s="3" t="str">
        <f>IFERROR(__xludf.DUMMYFUNCTION("GOOGLETRANSLATE(D3560,""fr"",""es"")"),"militas a")</f>
        <v>militas a</v>
      </c>
    </row>
    <row r="3561">
      <c r="A3561" s="3">
        <v>1013.0</v>
      </c>
      <c r="B3561" s="3" t="s">
        <v>6738</v>
      </c>
      <c r="C3561" s="3" t="s">
        <v>190</v>
      </c>
      <c r="D3561" s="3" t="s">
        <v>3742</v>
      </c>
      <c r="E3561" s="3" t="s">
        <v>7382</v>
      </c>
      <c r="F3561" s="3" t="s">
        <v>3740</v>
      </c>
      <c r="G3561" s="3" t="str">
        <f>IFERROR(__xludf.DUMMYFUNCTION("GOOGLETRANSLATE(D3561,""fr"",""es"")"),"militas a")</f>
        <v>militas a</v>
      </c>
    </row>
    <row r="3562">
      <c r="A3562" s="3">
        <v>1014.0</v>
      </c>
      <c r="B3562" s="3" t="s">
        <v>6738</v>
      </c>
      <c r="C3562" s="3" t="s">
        <v>190</v>
      </c>
      <c r="D3562" s="3" t="s">
        <v>7383</v>
      </c>
      <c r="E3562" s="3" t="s">
        <v>7380</v>
      </c>
      <c r="F3562" s="3" t="s">
        <v>3731</v>
      </c>
      <c r="G3562" s="3" t="str">
        <f>IFERROR(__xludf.DUMMYFUNCTION("GOOGLETRANSLATE(D3562,""fr"",""es"")"),"militât")</f>
        <v>militât</v>
      </c>
    </row>
    <row r="3563">
      <c r="A3563" s="3">
        <v>1015.0</v>
      </c>
      <c r="B3563" s="3" t="s">
        <v>6738</v>
      </c>
      <c r="C3563" s="3" t="s">
        <v>190</v>
      </c>
      <c r="D3563" s="3" t="s">
        <v>3743</v>
      </c>
      <c r="E3563" s="3" t="s">
        <v>7378</v>
      </c>
      <c r="F3563" s="3" t="s">
        <v>159</v>
      </c>
      <c r="G3563" s="3" t="str">
        <f>IFERROR(__xludf.DUMMYFUNCTION("GOOGLETRANSLATE(D3563,""fr"",""es"")"),"mil")</f>
        <v>mil</v>
      </c>
      <c r="H3563" s="3" t="s">
        <v>3744</v>
      </c>
      <c r="I3563" s="3" t="s">
        <v>3745</v>
      </c>
      <c r="J3563" s="3">
        <v>1000.0</v>
      </c>
      <c r="K3563" s="3" t="s">
        <v>3134</v>
      </c>
      <c r="L3563" s="3" t="s">
        <v>3746</v>
      </c>
      <c r="M3563" s="3" t="s">
        <v>160</v>
      </c>
      <c r="N3563" s="3" t="s">
        <v>160</v>
      </c>
      <c r="O3563" s="3" t="s">
        <v>161</v>
      </c>
      <c r="P3563" s="3" t="s">
        <v>162</v>
      </c>
      <c r="Q3563" s="3" t="s">
        <v>163</v>
      </c>
      <c r="R3563" s="3" t="s">
        <v>164</v>
      </c>
      <c r="S3563" s="3" t="s">
        <v>149</v>
      </c>
      <c r="T3563" s="3" t="s">
        <v>160</v>
      </c>
      <c r="U3563" s="3" t="s">
        <v>159</v>
      </c>
      <c r="V3563" s="3" t="s">
        <v>3747</v>
      </c>
      <c r="W3563" s="3" t="s">
        <v>160</v>
      </c>
      <c r="X3563" s="3" t="s">
        <v>3748</v>
      </c>
      <c r="Y3563" s="3" t="s">
        <v>165</v>
      </c>
      <c r="Z3563" s="3" t="s">
        <v>160</v>
      </c>
      <c r="AA3563" s="3" t="s">
        <v>149</v>
      </c>
      <c r="AB3563" s="3" t="s">
        <v>166</v>
      </c>
      <c r="AC3563" s="3" t="s">
        <v>167</v>
      </c>
      <c r="AD3563" s="3" t="s">
        <v>168</v>
      </c>
      <c r="AE3563" s="3" t="s">
        <v>169</v>
      </c>
      <c r="AF3563" s="3" t="s">
        <v>165</v>
      </c>
      <c r="AG3563" s="3" t="s">
        <v>166</v>
      </c>
      <c r="AH3563" s="3" t="s">
        <v>160</v>
      </c>
      <c r="AI3563" s="3" t="s">
        <v>149</v>
      </c>
      <c r="AJ3563" s="3" t="s">
        <v>3701</v>
      </c>
      <c r="AK3563" s="3" t="s">
        <v>3702</v>
      </c>
      <c r="AL3563" s="3" t="s">
        <v>3749</v>
      </c>
      <c r="AM3563" s="3" t="s">
        <v>160</v>
      </c>
      <c r="AN3563" s="3" t="s">
        <v>3744</v>
      </c>
      <c r="AO3563" s="3" t="s">
        <v>3745</v>
      </c>
      <c r="AP3563" s="3">
        <v>1000.0</v>
      </c>
      <c r="AQ3563" s="3" t="s">
        <v>3131</v>
      </c>
      <c r="AR3563" s="3" t="s">
        <v>3750</v>
      </c>
      <c r="AS3563" s="3" t="s">
        <v>3751</v>
      </c>
      <c r="AT3563" s="3" t="s">
        <v>3752</v>
      </c>
      <c r="AU3563" s="3" t="s">
        <v>369</v>
      </c>
      <c r="AV3563" s="3" t="s">
        <v>3753</v>
      </c>
      <c r="AW3563" s="3" t="s">
        <v>3754</v>
      </c>
      <c r="AX3563" s="3" t="s">
        <v>160</v>
      </c>
    </row>
    <row r="3564">
      <c r="A3564" s="3">
        <v>1016.0</v>
      </c>
      <c r="B3564" s="3" t="s">
        <v>6738</v>
      </c>
      <c r="C3564" s="3" t="s">
        <v>190</v>
      </c>
      <c r="D3564" s="3" t="s">
        <v>3755</v>
      </c>
      <c r="E3564" s="3" t="s">
        <v>7378</v>
      </c>
      <c r="F3564" s="3" t="s">
        <v>159</v>
      </c>
      <c r="G3564" s="3" t="str">
        <f>IFERROR(__xludf.DUMMYFUNCTION("GOOGLETRANSLATE(D3564,""fr"",""es"")"),"millas")</f>
        <v>millas</v>
      </c>
    </row>
    <row r="3565">
      <c r="A3565" s="3">
        <v>1017.0</v>
      </c>
      <c r="B3565" s="3" t="s">
        <v>6738</v>
      </c>
      <c r="C3565" s="3" t="s">
        <v>190</v>
      </c>
      <c r="D3565" s="3" t="s">
        <v>3762</v>
      </c>
      <c r="E3565" s="3" t="s">
        <v>7378</v>
      </c>
      <c r="F3565" s="3" t="s">
        <v>159</v>
      </c>
      <c r="G3565" s="3" t="str">
        <f>IFERROR(__xludf.DUMMYFUNCTION("GOOGLETRANSLATE(D3565,""fr"",""es"")"),"mils")</f>
        <v>mils</v>
      </c>
    </row>
    <row r="3566">
      <c r="A3566" s="3">
        <v>1018.0</v>
      </c>
      <c r="B3566" s="3" t="s">
        <v>6738</v>
      </c>
      <c r="C3566" s="3" t="s">
        <v>190</v>
      </c>
      <c r="D3566" s="3" t="s">
        <v>3765</v>
      </c>
      <c r="E3566" s="3" t="s">
        <v>7384</v>
      </c>
      <c r="F3566" s="3" t="s">
        <v>3765</v>
      </c>
      <c r="G3566" s="3" t="str">
        <f>IFERROR(__xludf.DUMMYFUNCTION("GOOGLETRANSLATE(D3566,""fr"",""es"")"),"mima")</f>
        <v>mima</v>
      </c>
    </row>
    <row r="3567">
      <c r="A3567" s="3">
        <v>1019.0</v>
      </c>
      <c r="B3567" s="3" t="s">
        <v>6738</v>
      </c>
      <c r="C3567" s="3" t="s">
        <v>190</v>
      </c>
      <c r="D3567" s="3" t="s">
        <v>3769</v>
      </c>
      <c r="E3567" s="3" t="s">
        <v>7385</v>
      </c>
      <c r="F3567" s="3" t="s">
        <v>3771</v>
      </c>
      <c r="G3567" s="3" t="str">
        <f>IFERROR(__xludf.DUMMYFUNCTION("GOOGLETRANSLATE(D3567,""fr"",""es"")"),"imitar")</f>
        <v>imitar</v>
      </c>
    </row>
    <row r="3568">
      <c r="A3568" s="3">
        <v>1020.0</v>
      </c>
      <c r="B3568" s="3" t="s">
        <v>6738</v>
      </c>
      <c r="C3568" s="3" t="s">
        <v>190</v>
      </c>
      <c r="D3568" s="3" t="s">
        <v>3774</v>
      </c>
      <c r="E3568" s="3" t="s">
        <v>7384</v>
      </c>
      <c r="F3568" s="3" t="s">
        <v>3765</v>
      </c>
      <c r="G3568" s="3" t="str">
        <f>IFERROR(__xludf.DUMMYFUNCTION("GOOGLETRANSLATE(D3568,""fr"",""es"")"),"mimas")</f>
        <v>mimas</v>
      </c>
    </row>
    <row r="3569">
      <c r="A3569" s="3">
        <v>1021.0</v>
      </c>
      <c r="B3569" s="3" t="s">
        <v>6738</v>
      </c>
      <c r="C3569" s="3" t="s">
        <v>190</v>
      </c>
      <c r="D3569" s="3" t="s">
        <v>3772</v>
      </c>
      <c r="E3569" s="3" t="s">
        <v>7386</v>
      </c>
      <c r="F3569" s="3" t="s">
        <v>3774</v>
      </c>
      <c r="G3569" s="3" t="str">
        <f>IFERROR(__xludf.DUMMYFUNCTION("GOOGLETRANSLATE(D3569,""fr"",""es"")"),"mimasse")</f>
        <v>mimasse</v>
      </c>
    </row>
    <row r="3570">
      <c r="A3570" s="3">
        <v>1022.0</v>
      </c>
      <c r="B3570" s="3" t="s">
        <v>6738</v>
      </c>
      <c r="C3570" s="3" t="s">
        <v>190</v>
      </c>
      <c r="D3570" s="3" t="s">
        <v>3775</v>
      </c>
      <c r="E3570" s="3" t="s">
        <v>7386</v>
      </c>
      <c r="F3570" s="3" t="s">
        <v>3774</v>
      </c>
      <c r="G3570" s="3" t="str">
        <f>IFERROR(__xludf.DUMMYFUNCTION("GOOGLETRANSLATE(D3570,""fr"",""es"")"),"mimache")</f>
        <v>mimache</v>
      </c>
    </row>
    <row r="3571">
      <c r="A3571" s="3">
        <v>1023.0</v>
      </c>
      <c r="B3571" s="3" t="s">
        <v>6738</v>
      </c>
      <c r="C3571" s="3" t="s">
        <v>190</v>
      </c>
      <c r="D3571" s="3" t="s">
        <v>3776</v>
      </c>
      <c r="E3571" s="3" t="s">
        <v>7386</v>
      </c>
      <c r="F3571" s="3" t="s">
        <v>3774</v>
      </c>
      <c r="G3571" s="3" t="str">
        <f>IFERROR(__xludf.DUMMYFUNCTION("GOOGLETRANSLATE(D3571,""fr"",""es"")"),"mimas")</f>
        <v>mimas</v>
      </c>
    </row>
    <row r="3572">
      <c r="A3572" s="3">
        <v>1024.0</v>
      </c>
      <c r="B3572" s="3" t="s">
        <v>6738</v>
      </c>
      <c r="C3572" s="3" t="s">
        <v>190</v>
      </c>
      <c r="D3572" s="3" t="s">
        <v>7387</v>
      </c>
      <c r="E3572" s="3" t="s">
        <v>7384</v>
      </c>
      <c r="F3572" s="3" t="s">
        <v>3765</v>
      </c>
      <c r="G3572" s="3" t="str">
        <f>IFERROR(__xludf.DUMMYFUNCTION("GOOGLETRANSLATE(D3572,""fr"",""es"")"),"mimât")</f>
        <v>mimât</v>
      </c>
    </row>
    <row r="3573">
      <c r="A3573" s="3">
        <v>1025.0</v>
      </c>
      <c r="B3573" s="3" t="s">
        <v>6738</v>
      </c>
      <c r="C3573" s="3" t="s">
        <v>190</v>
      </c>
      <c r="D3573" s="3" t="s">
        <v>3777</v>
      </c>
      <c r="E3573" s="3" t="s">
        <v>7388</v>
      </c>
      <c r="F3573" s="3" t="s">
        <v>3779</v>
      </c>
      <c r="G3573" s="3" t="str">
        <f>IFERROR(__xludf.DUMMYFUNCTION("GOOGLETRANSLATE(D3573,""fr"",""es"")"),"mímica")</f>
        <v>mímica</v>
      </c>
      <c r="H3573" s="3" t="s">
        <v>3777</v>
      </c>
      <c r="I3573" s="3" t="s">
        <v>3780</v>
      </c>
      <c r="J3573" s="3" t="s">
        <v>3781</v>
      </c>
      <c r="K3573" s="3" t="s">
        <v>3777</v>
      </c>
      <c r="L3573" s="3" t="s">
        <v>3780</v>
      </c>
      <c r="M3573" s="3" t="s">
        <v>3782</v>
      </c>
      <c r="N3573" s="3" t="s">
        <v>3777</v>
      </c>
      <c r="O3573" s="3" t="s">
        <v>3777</v>
      </c>
      <c r="P3573" s="3" t="s">
        <v>3783</v>
      </c>
      <c r="Q3573" s="3" t="s">
        <v>3784</v>
      </c>
      <c r="R3573" s="3" t="s">
        <v>3785</v>
      </c>
      <c r="S3573" s="3" t="s">
        <v>3786</v>
      </c>
    </row>
    <row r="3574">
      <c r="A3574" s="3">
        <v>1026.0</v>
      </c>
      <c r="B3574" s="3" t="s">
        <v>6738</v>
      </c>
      <c r="C3574" s="3" t="s">
        <v>190</v>
      </c>
      <c r="D3574" s="3" t="s">
        <v>3787</v>
      </c>
      <c r="E3574" s="3" t="s">
        <v>7388</v>
      </c>
      <c r="F3574" s="3" t="s">
        <v>3779</v>
      </c>
      <c r="G3574" s="3" t="str">
        <f>IFERROR(__xludf.DUMMYFUNCTION("GOOGLETRANSLATE(D3574,""fr"",""es"")"),"molino")</f>
        <v>molino</v>
      </c>
    </row>
    <row r="3575">
      <c r="A3575" s="3">
        <v>1027.0</v>
      </c>
      <c r="B3575" s="3" t="s">
        <v>6738</v>
      </c>
      <c r="C3575" s="3" t="s">
        <v>190</v>
      </c>
      <c r="D3575" s="3" t="s">
        <v>3788</v>
      </c>
      <c r="E3575" s="3" t="s">
        <v>7388</v>
      </c>
      <c r="F3575" s="3" t="s">
        <v>3779</v>
      </c>
      <c r="G3575" s="3" t="str">
        <f>IFERROR(__xludf.DUMMYFUNCTION("GOOGLETRANSLATE(D3575,""fr"",""es"")"),"mimes")</f>
        <v>mimes</v>
      </c>
    </row>
    <row r="3576">
      <c r="A3576" s="3">
        <v>1028.0</v>
      </c>
      <c r="B3576" s="3" t="s">
        <v>6738</v>
      </c>
      <c r="C3576" s="3" t="s">
        <v>190</v>
      </c>
      <c r="D3576" s="3" t="s">
        <v>3789</v>
      </c>
      <c r="E3576" s="3" t="s">
        <v>7388</v>
      </c>
      <c r="F3576" s="3" t="s">
        <v>3779</v>
      </c>
      <c r="G3576" s="3" t="str">
        <f>IFERROR(__xludf.DUMMYFUNCTION("GOOGLETRANSLATE(D3576,""fr"",""es"")"),"mefmes")</f>
        <v>mefmes</v>
      </c>
    </row>
    <row r="3577">
      <c r="A3577" s="3">
        <v>1029.0</v>
      </c>
      <c r="B3577" s="3" t="s">
        <v>6738</v>
      </c>
      <c r="C3577" s="3" t="s">
        <v>190</v>
      </c>
      <c r="D3577" s="3" t="s">
        <v>3790</v>
      </c>
      <c r="E3577" s="3" t="s">
        <v>7389</v>
      </c>
      <c r="F3577" s="3" t="s">
        <v>3790</v>
      </c>
      <c r="G3577" s="3" t="str">
        <f>IFERROR(__xludf.DUMMYFUNCTION("GOOGLETRANSLATE(D3577,""fr"",""es"")"),"mimi")</f>
        <v>mimi</v>
      </c>
    </row>
    <row r="3578">
      <c r="A3578" s="3">
        <v>1030.0</v>
      </c>
      <c r="B3578" s="3" t="s">
        <v>6738</v>
      </c>
      <c r="C3578" s="3" t="s">
        <v>190</v>
      </c>
      <c r="D3578" s="3" t="s">
        <v>3792</v>
      </c>
      <c r="E3578" s="3" t="s">
        <v>7390</v>
      </c>
      <c r="F3578" s="3" t="s">
        <v>3794</v>
      </c>
      <c r="G3578" s="3" t="str">
        <f>IFERROR(__xludf.DUMMYFUNCTION("GOOGLETRANSLATE(D3578,""fr"",""es"")"),"imitar")</f>
        <v>imitar</v>
      </c>
    </row>
    <row r="3579">
      <c r="A3579" s="3">
        <v>1031.0</v>
      </c>
      <c r="B3579" s="3" t="s">
        <v>6738</v>
      </c>
      <c r="C3579" s="3" t="s">
        <v>190</v>
      </c>
      <c r="D3579" s="3" t="s">
        <v>3795</v>
      </c>
      <c r="E3579" s="3" t="s">
        <v>7390</v>
      </c>
      <c r="F3579" s="3" t="s">
        <v>3794</v>
      </c>
      <c r="G3579" s="3" t="str">
        <f>IFERROR(__xludf.DUMMYFUNCTION("GOOGLETRANSLATE(D3579,""fr"",""es"")"),"imitar")</f>
        <v>imitar</v>
      </c>
    </row>
    <row r="3580">
      <c r="A3580" s="3">
        <v>1032.0</v>
      </c>
      <c r="B3580" s="3" t="s">
        <v>6738</v>
      </c>
      <c r="C3580" s="3" t="s">
        <v>190</v>
      </c>
      <c r="D3580" s="3" t="s">
        <v>3796</v>
      </c>
      <c r="E3580" s="3" t="s">
        <v>7389</v>
      </c>
      <c r="F3580" s="3" t="s">
        <v>3790</v>
      </c>
      <c r="G3580" s="3" t="str">
        <f>IFERROR(__xludf.DUMMYFUNCTION("GOOGLETRANSLATE(D3580,""fr"",""es"")"),"miim")</f>
        <v>miim</v>
      </c>
    </row>
    <row r="3581">
      <c r="A3581" s="3">
        <v>1033.0</v>
      </c>
      <c r="B3581" s="3" t="s">
        <v>6738</v>
      </c>
      <c r="C3581" s="3" t="s">
        <v>190</v>
      </c>
      <c r="D3581" s="3" t="s">
        <v>3799</v>
      </c>
      <c r="E3581" s="3" t="s">
        <v>7391</v>
      </c>
      <c r="F3581" s="3" t="s">
        <v>3799</v>
      </c>
      <c r="G3581" s="3" t="str">
        <f>IFERROR(__xludf.DUMMYFUNCTION("GOOGLETRANSLATE(D3581,""fr"",""es"")"),"mina")</f>
        <v>mina</v>
      </c>
    </row>
    <row r="3582">
      <c r="A3582" s="3">
        <v>1034.0</v>
      </c>
      <c r="B3582" s="3" t="s">
        <v>6738</v>
      </c>
      <c r="C3582" s="3" t="s">
        <v>190</v>
      </c>
      <c r="D3582" s="3" t="s">
        <v>3803</v>
      </c>
      <c r="E3582" s="3" t="s">
        <v>7392</v>
      </c>
      <c r="F3582" s="3" t="s">
        <v>3805</v>
      </c>
      <c r="G3582" s="3" t="str">
        <f>IFERROR(__xludf.DUMMYFUNCTION("GOOGLETRANSLATE(D3582,""fr"",""es"")"),"mi nombre")</f>
        <v>mi nombre</v>
      </c>
    </row>
    <row r="3583">
      <c r="A3583" s="3">
        <v>1035.0</v>
      </c>
      <c r="B3583" s="3" t="s">
        <v>6738</v>
      </c>
      <c r="C3583" s="3" t="s">
        <v>190</v>
      </c>
      <c r="D3583" s="3" t="s">
        <v>3808</v>
      </c>
      <c r="E3583" s="3" t="s">
        <v>7391</v>
      </c>
      <c r="F3583" s="3" t="s">
        <v>3799</v>
      </c>
      <c r="G3583" s="3" t="str">
        <f>IFERROR(__xludf.DUMMYFUNCTION("GOOGLETRANSLATE(D3583,""fr"",""es"")"),"minas")</f>
        <v>minas</v>
      </c>
    </row>
    <row r="3584">
      <c r="A3584" s="3">
        <v>1036.0</v>
      </c>
      <c r="B3584" s="3" t="s">
        <v>6738</v>
      </c>
      <c r="C3584" s="3" t="s">
        <v>190</v>
      </c>
      <c r="D3584" s="3" t="s">
        <v>3806</v>
      </c>
      <c r="E3584" s="3" t="s">
        <v>7393</v>
      </c>
      <c r="F3584" s="3" t="s">
        <v>3808</v>
      </c>
      <c r="G3584" s="3" t="str">
        <f>IFERROR(__xludf.DUMMYFUNCTION("GOOGLETRANSLATE(D3584,""fr"",""es"")"),"Minassus")</f>
        <v>Minassus</v>
      </c>
    </row>
    <row r="3585">
      <c r="A3585" s="3">
        <v>1037.0</v>
      </c>
      <c r="B3585" s="3" t="s">
        <v>6738</v>
      </c>
      <c r="C3585" s="3" t="s">
        <v>190</v>
      </c>
      <c r="D3585" s="3" t="s">
        <v>3809</v>
      </c>
      <c r="E3585" s="3" t="s">
        <v>7393</v>
      </c>
      <c r="F3585" s="3" t="s">
        <v>3808</v>
      </c>
      <c r="G3585" s="3" t="str">
        <f>IFERROR(__xludf.DUMMYFUNCTION("GOOGLETRANSLATE(D3585,""fr"",""es"")"),"minuto")</f>
        <v>minuto</v>
      </c>
    </row>
    <row r="3586">
      <c r="A3586" s="3">
        <v>1038.0</v>
      </c>
      <c r="B3586" s="3" t="s">
        <v>6738</v>
      </c>
      <c r="C3586" s="3" t="s">
        <v>190</v>
      </c>
      <c r="D3586" s="3" t="s">
        <v>3810</v>
      </c>
      <c r="E3586" s="3" t="s">
        <v>7393</v>
      </c>
      <c r="F3586" s="3" t="s">
        <v>3808</v>
      </c>
      <c r="G3586" s="3" t="str">
        <f>IFERROR(__xludf.DUMMYFUNCTION("GOOGLETRANSLATE(D3586,""fr"",""es"")"),"Minassus")</f>
        <v>Minassus</v>
      </c>
    </row>
    <row r="3587">
      <c r="A3587" s="3">
        <v>1039.0</v>
      </c>
      <c r="B3587" s="3" t="s">
        <v>6738</v>
      </c>
      <c r="C3587" s="3" t="s">
        <v>190</v>
      </c>
      <c r="D3587" s="3" t="s">
        <v>7394</v>
      </c>
      <c r="E3587" s="3" t="s">
        <v>7391</v>
      </c>
      <c r="F3587" s="3" t="s">
        <v>3799</v>
      </c>
      <c r="G3587" s="3" t="str">
        <f>IFERROR(__xludf.DUMMYFUNCTION("GOOGLETRANSLATE(D3587,""fr"",""es"")"),"minatista")</f>
        <v>minatista</v>
      </c>
    </row>
    <row r="3588">
      <c r="A3588" s="3">
        <v>1040.0</v>
      </c>
      <c r="B3588" s="3" t="s">
        <v>6738</v>
      </c>
      <c r="C3588" s="3" t="s">
        <v>190</v>
      </c>
      <c r="D3588" s="3" t="s">
        <v>3811</v>
      </c>
      <c r="E3588" s="3" t="s">
        <v>7395</v>
      </c>
      <c r="F3588" s="3" t="s">
        <v>3813</v>
      </c>
      <c r="G3588" s="3" t="str">
        <f>IFERROR(__xludf.DUMMYFUNCTION("GOOGLETRANSLATE(D3588,""fr"",""es"")"),"mía")</f>
        <v>mía</v>
      </c>
      <c r="H3588" s="3" t="s">
        <v>3814</v>
      </c>
      <c r="I3588" s="3" t="s">
        <v>3815</v>
      </c>
      <c r="J3588" s="3" t="s">
        <v>3814</v>
      </c>
      <c r="K3588" s="3" t="s">
        <v>3816</v>
      </c>
      <c r="L3588" s="3" t="s">
        <v>3811</v>
      </c>
      <c r="M3588" s="3" t="s">
        <v>3811</v>
      </c>
      <c r="N3588" s="3" t="s">
        <v>3817</v>
      </c>
      <c r="O3588" s="3" t="s">
        <v>3818</v>
      </c>
      <c r="P3588" s="3" t="s">
        <v>3819</v>
      </c>
      <c r="Q3588" s="3" t="s">
        <v>3820</v>
      </c>
      <c r="R3588" s="3" t="s">
        <v>3821</v>
      </c>
      <c r="S3588" s="3" t="s">
        <v>3822</v>
      </c>
    </row>
    <row r="3589">
      <c r="A3589" s="3">
        <v>1041.0</v>
      </c>
      <c r="B3589" s="3" t="s">
        <v>6738</v>
      </c>
      <c r="C3589" s="3" t="s">
        <v>190</v>
      </c>
      <c r="D3589" s="3" t="s">
        <v>3823</v>
      </c>
      <c r="E3589" s="3" t="s">
        <v>7395</v>
      </c>
      <c r="F3589" s="3" t="s">
        <v>3813</v>
      </c>
      <c r="G3589" s="3" t="str">
        <f>IFERROR(__xludf.DUMMYFUNCTION("GOOGLETRANSLATE(D3589,""fr"",""es"")"),"mía")</f>
        <v>mía</v>
      </c>
    </row>
    <row r="3590">
      <c r="A3590" s="3">
        <v>1042.0</v>
      </c>
      <c r="B3590" s="3" t="s">
        <v>6738</v>
      </c>
      <c r="C3590" s="3" t="s">
        <v>190</v>
      </c>
      <c r="D3590" s="3" t="s">
        <v>3824</v>
      </c>
      <c r="E3590" s="3" t="s">
        <v>7395</v>
      </c>
      <c r="F3590" s="3" t="s">
        <v>3813</v>
      </c>
      <c r="G3590" s="3" t="str">
        <f>IFERROR(__xludf.DUMMYFUNCTION("GOOGLETRANSLATE(D3590,""fr"",""es"")"),"minas")</f>
        <v>minas</v>
      </c>
    </row>
    <row r="3591">
      <c r="A3591" s="3">
        <v>1043.0</v>
      </c>
      <c r="B3591" s="3" t="s">
        <v>6738</v>
      </c>
      <c r="C3591" s="3" t="s">
        <v>190</v>
      </c>
      <c r="D3591" s="3" t="s">
        <v>3827</v>
      </c>
      <c r="E3591" s="3" t="s">
        <v>7396</v>
      </c>
      <c r="F3591" s="3" t="s">
        <v>3827</v>
      </c>
      <c r="G3591" s="3" t="str">
        <f>IFERROR(__xludf.DUMMYFUNCTION("GOOGLETRANSLATE(D3591,""fr"",""es"")"),"mini")</f>
        <v>mini</v>
      </c>
    </row>
    <row r="3592">
      <c r="A3592" s="3">
        <v>1044.0</v>
      </c>
      <c r="B3592" s="3" t="s">
        <v>6738</v>
      </c>
      <c r="C3592" s="3" t="s">
        <v>190</v>
      </c>
      <c r="D3592" s="3" t="s">
        <v>3829</v>
      </c>
      <c r="E3592" s="3" t="s">
        <v>7396</v>
      </c>
      <c r="F3592" s="3" t="s">
        <v>3827</v>
      </c>
      <c r="G3592" s="3" t="str">
        <f>IFERROR(__xludf.DUMMYFUNCTION("GOOGLETRANSLATE(D3592,""fr"",""es"")"),"mini-")</f>
        <v>mini-</v>
      </c>
    </row>
    <row r="3593">
      <c r="A3593" s="3">
        <v>1045.0</v>
      </c>
      <c r="B3593" s="3" t="s">
        <v>6738</v>
      </c>
      <c r="C3593" s="3" t="s">
        <v>190</v>
      </c>
      <c r="D3593" s="3" t="s">
        <v>3833</v>
      </c>
      <c r="E3593" s="3" t="s">
        <v>7397</v>
      </c>
      <c r="F3593" s="3" t="s">
        <v>3833</v>
      </c>
      <c r="G3593" s="3" t="str">
        <f>IFERROR(__xludf.DUMMYFUNCTION("GOOGLETRANSLATE(D3593,""fr"",""es"")"),"mínimo")</f>
        <v>mínimo</v>
      </c>
      <c r="H3593" s="3" t="s">
        <v>3833</v>
      </c>
      <c r="I3593" s="3" t="s">
        <v>3835</v>
      </c>
    </row>
    <row r="3594">
      <c r="A3594" s="3">
        <v>1046.0</v>
      </c>
      <c r="B3594" s="3" t="s">
        <v>6738</v>
      </c>
      <c r="C3594" s="3" t="s">
        <v>190</v>
      </c>
      <c r="D3594" s="3" t="s">
        <v>3836</v>
      </c>
      <c r="E3594" s="3" t="s">
        <v>7397</v>
      </c>
      <c r="F3594" s="3" t="s">
        <v>3833</v>
      </c>
      <c r="G3594" s="3" t="str">
        <f>IFERROR(__xludf.DUMMYFUNCTION("GOOGLETRANSLATE(D3594,""fr"",""es"")"),"mínimo")</f>
        <v>mínimo</v>
      </c>
    </row>
    <row r="3595">
      <c r="A3595" s="3">
        <v>1047.0</v>
      </c>
      <c r="B3595" s="3" t="s">
        <v>6738</v>
      </c>
      <c r="C3595" s="3" t="s">
        <v>190</v>
      </c>
      <c r="D3595" s="3" t="s">
        <v>3837</v>
      </c>
      <c r="E3595" s="3" t="s">
        <v>7397</v>
      </c>
      <c r="F3595" s="3" t="s">
        <v>3833</v>
      </c>
      <c r="G3595" s="3" t="str">
        <f>IFERROR(__xludf.DUMMYFUNCTION("GOOGLETRANSLATE(D3595,""fr"",""es"")"),"mínimo")</f>
        <v>mínimo</v>
      </c>
    </row>
    <row r="3596">
      <c r="A3596" s="3">
        <v>1048.0</v>
      </c>
      <c r="B3596" s="3" t="s">
        <v>6738</v>
      </c>
      <c r="C3596" s="3" t="s">
        <v>190</v>
      </c>
      <c r="D3596" s="3" t="s">
        <v>3846</v>
      </c>
      <c r="E3596" s="3" t="s">
        <v>7398</v>
      </c>
      <c r="F3596" s="3" t="s">
        <v>3848</v>
      </c>
      <c r="G3596" s="3" t="str">
        <f>IFERROR(__xludf.DUMMYFUNCTION("GOOGLETRANSLATE(D3596,""fr"",""es"")"),"mínimo")</f>
        <v>mínimo</v>
      </c>
      <c r="H3596" s="3" t="s">
        <v>3849</v>
      </c>
      <c r="I3596" s="3" t="s">
        <v>3850</v>
      </c>
      <c r="J3596" s="3" t="s">
        <v>3851</v>
      </c>
      <c r="K3596" s="3" t="s">
        <v>3852</v>
      </c>
      <c r="L3596" s="3" t="s">
        <v>3853</v>
      </c>
      <c r="M3596" s="3" t="s">
        <v>3854</v>
      </c>
      <c r="N3596" s="3" t="s">
        <v>3855</v>
      </c>
      <c r="O3596" s="3" t="s">
        <v>3856</v>
      </c>
      <c r="P3596" s="3" t="s">
        <v>3857</v>
      </c>
      <c r="Q3596" s="3" t="s">
        <v>3858</v>
      </c>
      <c r="R3596" s="3" t="s">
        <v>3833</v>
      </c>
      <c r="S3596" s="3" t="s">
        <v>3835</v>
      </c>
      <c r="T3596" s="3" t="s">
        <v>3852</v>
      </c>
      <c r="U3596" s="3" t="s">
        <v>3859</v>
      </c>
      <c r="V3596" s="3" t="s">
        <v>3860</v>
      </c>
      <c r="W3596" s="3" t="s">
        <v>3861</v>
      </c>
    </row>
    <row r="3597">
      <c r="A3597" s="3">
        <v>1049.0</v>
      </c>
      <c r="B3597" s="3" t="s">
        <v>6738</v>
      </c>
      <c r="C3597" s="3" t="s">
        <v>190</v>
      </c>
      <c r="D3597" s="3" t="s">
        <v>3862</v>
      </c>
      <c r="E3597" s="3" t="s">
        <v>7398</v>
      </c>
      <c r="F3597" s="3" t="s">
        <v>3848</v>
      </c>
      <c r="G3597" s="3" t="str">
        <f>IFERROR(__xludf.DUMMYFUNCTION("GOOGLETRANSLATE(D3597,""fr"",""es"")"),"mínimo")</f>
        <v>mínimo</v>
      </c>
    </row>
    <row r="3598">
      <c r="A3598" s="3">
        <v>1050.0</v>
      </c>
      <c r="B3598" s="3" t="s">
        <v>6738</v>
      </c>
      <c r="C3598" s="3" t="s">
        <v>190</v>
      </c>
      <c r="D3598" s="3" t="s">
        <v>3863</v>
      </c>
      <c r="E3598" s="3" t="s">
        <v>7396</v>
      </c>
      <c r="F3598" s="3" t="s">
        <v>3827</v>
      </c>
      <c r="G3598" s="3" t="str">
        <f>IFERROR(__xludf.DUMMYFUNCTION("GOOGLETRANSLATE(D3598,""fr"",""es"")"),"mini")</f>
        <v>mini</v>
      </c>
    </row>
    <row r="3599">
      <c r="A3599" s="3">
        <v>1051.0</v>
      </c>
      <c r="B3599" s="3" t="s">
        <v>6738</v>
      </c>
      <c r="C3599" s="3" t="s">
        <v>190</v>
      </c>
      <c r="D3599" s="3" t="s">
        <v>3883</v>
      </c>
      <c r="E3599" s="3" t="s">
        <v>7396</v>
      </c>
      <c r="F3599" s="3" t="s">
        <v>3827</v>
      </c>
      <c r="G3599" s="3" t="str">
        <f>IFERROR(__xludf.DUMMYFUNCTION("GOOGLETRANSLATE(D3599,""fr"",""es"")"),"Minnie")</f>
        <v>Minnie</v>
      </c>
    </row>
    <row r="3600">
      <c r="A3600" s="3">
        <v>1052.0</v>
      </c>
      <c r="B3600" s="3" t="s">
        <v>6738</v>
      </c>
      <c r="C3600" s="3" t="s">
        <v>190</v>
      </c>
      <c r="D3600" s="3" t="s">
        <v>3884</v>
      </c>
      <c r="E3600" s="3" t="s">
        <v>7399</v>
      </c>
      <c r="F3600" s="3" t="s">
        <v>3886</v>
      </c>
      <c r="G3600" s="3" t="str">
        <f>IFERROR(__xludf.DUMMYFUNCTION("GOOGLETRANSLATE(D3600,""fr"",""es"")"),"gatito")</f>
        <v>gatito</v>
      </c>
      <c r="H3600" s="3" t="s">
        <v>3887</v>
      </c>
      <c r="I3600" s="3" t="s">
        <v>3888</v>
      </c>
      <c r="J3600" s="3" t="s">
        <v>3889</v>
      </c>
      <c r="K3600" s="3" t="s">
        <v>3890</v>
      </c>
      <c r="L3600" s="3" t="s">
        <v>3891</v>
      </c>
      <c r="M3600" s="3" t="s">
        <v>3892</v>
      </c>
      <c r="N3600" s="3" t="s">
        <v>3887</v>
      </c>
      <c r="O3600" s="3" t="s">
        <v>1826</v>
      </c>
      <c r="P3600" s="3" t="s">
        <v>3889</v>
      </c>
      <c r="Q3600" s="3" t="s">
        <v>3890</v>
      </c>
      <c r="R3600" s="3" t="s">
        <v>3893</v>
      </c>
      <c r="S3600" s="3" t="s">
        <v>3894</v>
      </c>
      <c r="T3600" s="3" t="s">
        <v>2055</v>
      </c>
      <c r="U3600" s="3" t="s">
        <v>3895</v>
      </c>
      <c r="V3600" s="3" t="s">
        <v>3896</v>
      </c>
      <c r="W3600" s="3" t="s">
        <v>3897</v>
      </c>
      <c r="X3600" s="3" t="s">
        <v>3898</v>
      </c>
    </row>
    <row r="3601">
      <c r="A3601" s="3">
        <v>1053.0</v>
      </c>
      <c r="B3601" s="3" t="s">
        <v>6738</v>
      </c>
      <c r="C3601" s="3" t="s">
        <v>190</v>
      </c>
      <c r="D3601" s="3" t="s">
        <v>3899</v>
      </c>
      <c r="E3601" s="3" t="s">
        <v>7399</v>
      </c>
      <c r="F3601" s="3" t="s">
        <v>3886</v>
      </c>
      <c r="G3601" s="3" t="str">
        <f>IFERROR(__xludf.DUMMYFUNCTION("GOOGLETRANSLATE(D3601,""fr"",""es"")"),"gatito")</f>
        <v>gatito</v>
      </c>
    </row>
    <row r="3602">
      <c r="A3602" s="3">
        <v>1054.0</v>
      </c>
      <c r="B3602" s="3" t="s">
        <v>6738</v>
      </c>
      <c r="C3602" s="3" t="s">
        <v>190</v>
      </c>
      <c r="D3602" s="3" t="s">
        <v>3900</v>
      </c>
      <c r="E3602" s="3" t="s">
        <v>150</v>
      </c>
      <c r="F3602" s="3" t="s">
        <v>149</v>
      </c>
      <c r="G3602" s="3" t="str">
        <f>IFERROR(__xludf.DUMMYFUNCTION("GOOGLETRANSLATE(D3602,""fr"",""es"")"),"poner")</f>
        <v>poner</v>
      </c>
    </row>
    <row r="3603">
      <c r="A3603" s="3">
        <v>1055.0</v>
      </c>
      <c r="B3603" s="3" t="s">
        <v>6738</v>
      </c>
      <c r="C3603" s="3" t="s">
        <v>190</v>
      </c>
      <c r="D3603" s="3" t="s">
        <v>3901</v>
      </c>
      <c r="E3603" s="3" t="s">
        <v>7400</v>
      </c>
      <c r="F3603" s="3" t="s">
        <v>3900</v>
      </c>
      <c r="G3603" s="3" t="str">
        <f>IFERROR(__xludf.DUMMYFUNCTION("GOOGLETRANSLATE(D3603,""fr"",""es"")"),"señorita")</f>
        <v>señorita</v>
      </c>
    </row>
    <row r="3604">
      <c r="A3604" s="3">
        <v>1056.0</v>
      </c>
      <c r="B3604" s="3" t="s">
        <v>6738</v>
      </c>
      <c r="C3604" s="3" t="s">
        <v>190</v>
      </c>
      <c r="D3604" s="3" t="s">
        <v>3903</v>
      </c>
      <c r="E3604" s="3" t="s">
        <v>7400</v>
      </c>
      <c r="F3604" s="3" t="s">
        <v>3900</v>
      </c>
      <c r="G3604" s="3" t="str">
        <f>IFERROR(__xludf.DUMMYFUNCTION("GOOGLETRANSLATE(D3604,""fr"",""es"")"),"señorita")</f>
        <v>señorita</v>
      </c>
    </row>
    <row r="3605">
      <c r="A3605" s="3">
        <v>1057.0</v>
      </c>
      <c r="B3605" s="3" t="s">
        <v>6738</v>
      </c>
      <c r="C3605" s="3" t="s">
        <v>190</v>
      </c>
      <c r="D3605" s="3" t="s">
        <v>3909</v>
      </c>
      <c r="E3605" s="3" t="s">
        <v>7400</v>
      </c>
      <c r="F3605" s="3" t="s">
        <v>3900</v>
      </c>
      <c r="G3605" s="3" t="str">
        <f>IFERROR(__xludf.DUMMYFUNCTION("GOOGLETRANSLATE(D3605,""fr"",""es"")"),"suelte")</f>
        <v>suelte</v>
      </c>
    </row>
    <row r="3606">
      <c r="A3606" s="3">
        <v>1058.0</v>
      </c>
      <c r="B3606" s="3" t="s">
        <v>6738</v>
      </c>
      <c r="C3606" s="3" t="s">
        <v>190</v>
      </c>
      <c r="D3606" s="3" t="s">
        <v>3910</v>
      </c>
      <c r="E3606" s="3" t="s">
        <v>7400</v>
      </c>
      <c r="F3606" s="3" t="s">
        <v>3900</v>
      </c>
      <c r="G3606" s="3" t="str">
        <f>IFERROR(__xludf.DUMMYFUNCTION("GOOGLETRANSLATE(D3606,""fr"",""es"")"),"desorden")</f>
        <v>desorden</v>
      </c>
    </row>
    <row r="3607">
      <c r="A3607" s="3">
        <v>1059.0</v>
      </c>
      <c r="B3607" s="3" t="s">
        <v>6738</v>
      </c>
      <c r="C3607" s="3" t="s">
        <v>190</v>
      </c>
      <c r="D3607" s="3" t="s">
        <v>3911</v>
      </c>
      <c r="E3607" s="3" t="s">
        <v>7401</v>
      </c>
      <c r="F3607" s="3" t="s">
        <v>3913</v>
      </c>
      <c r="G3607" s="3" t="str">
        <f>IFERROR(__xludf.DUMMYFUNCTION("GOOGLETRANSLATE(D3607,""fr"",""es"")"),"misil")</f>
        <v>misil</v>
      </c>
      <c r="H3607" s="3" t="s">
        <v>3911</v>
      </c>
      <c r="I3607" s="3" t="s">
        <v>3914</v>
      </c>
      <c r="J3607" s="3" t="s">
        <v>3915</v>
      </c>
    </row>
    <row r="3608">
      <c r="A3608" s="3">
        <v>1060.0</v>
      </c>
      <c r="B3608" s="3" t="s">
        <v>6738</v>
      </c>
      <c r="C3608" s="3" t="s">
        <v>190</v>
      </c>
      <c r="D3608" s="3" t="s">
        <v>3916</v>
      </c>
      <c r="E3608" s="3" t="s">
        <v>7401</v>
      </c>
      <c r="F3608" s="3" t="s">
        <v>3913</v>
      </c>
      <c r="G3608" s="3" t="str">
        <f>IFERROR(__xludf.DUMMYFUNCTION("GOOGLETRANSLATE(D3608,""fr"",""es"")"),"misiles")</f>
        <v>misiles</v>
      </c>
    </row>
    <row r="3609">
      <c r="A3609" s="3">
        <v>1061.0</v>
      </c>
      <c r="B3609" s="3" t="s">
        <v>6738</v>
      </c>
      <c r="C3609" s="3" t="s">
        <v>190</v>
      </c>
      <c r="D3609" s="3" t="s">
        <v>3917</v>
      </c>
      <c r="E3609" s="3" t="s">
        <v>7402</v>
      </c>
      <c r="F3609" s="3" t="s">
        <v>3919</v>
      </c>
      <c r="G3609" s="3" t="str">
        <f>IFERROR(__xludf.DUMMYFUNCTION("GOOGLETRANSLATE(D3609,""fr"",""es"")"),"Misisipí")</f>
        <v>Misisipí</v>
      </c>
      <c r="H3609" s="3" t="s">
        <v>3917</v>
      </c>
      <c r="I3609" s="3" t="s">
        <v>3920</v>
      </c>
      <c r="J3609" s="3" t="s">
        <v>3921</v>
      </c>
      <c r="K3609" s="3" t="s">
        <v>3917</v>
      </c>
      <c r="L3609" s="3" t="s">
        <v>3922</v>
      </c>
    </row>
    <row r="3610">
      <c r="A3610" s="3">
        <v>1062.0</v>
      </c>
      <c r="B3610" s="3" t="s">
        <v>6738</v>
      </c>
      <c r="C3610" s="3" t="s">
        <v>190</v>
      </c>
      <c r="D3610" s="3" t="s">
        <v>3923</v>
      </c>
      <c r="E3610" s="3" t="s">
        <v>150</v>
      </c>
      <c r="F3610" s="3" t="s">
        <v>149</v>
      </c>
      <c r="G3610" s="3" t="str">
        <f>IFERROR(__xludf.DUMMYFUNCTION("GOOGLETRANSLATE(D3610,""fr"",""es"")"),"poner")</f>
        <v>poner</v>
      </c>
      <c r="H3610" s="3" t="s">
        <v>3924</v>
      </c>
      <c r="I3610" s="3" t="s">
        <v>3925</v>
      </c>
    </row>
    <row r="3611">
      <c r="A3611" s="3">
        <v>1063.0</v>
      </c>
      <c r="B3611" s="3" t="s">
        <v>6738</v>
      </c>
      <c r="C3611" s="3" t="s">
        <v>190</v>
      </c>
      <c r="D3611" s="3" t="s">
        <v>3926</v>
      </c>
      <c r="E3611" s="3" t="s">
        <v>150</v>
      </c>
      <c r="F3611" s="3" t="s">
        <v>149</v>
      </c>
      <c r="G3611" s="3" t="str">
        <f>IFERROR(__xludf.DUMMYFUNCTION("GOOGLETRANSLATE(D3611,""fr"",""es"")"),"mezclarse")</f>
        <v>mezclarse</v>
      </c>
    </row>
    <row r="3612">
      <c r="A3612" s="3">
        <v>1064.0</v>
      </c>
      <c r="B3612" s="3" t="s">
        <v>6738</v>
      </c>
      <c r="C3612" s="3" t="s">
        <v>190</v>
      </c>
      <c r="D3612" s="3" t="s">
        <v>3929</v>
      </c>
      <c r="E3612" s="3" t="s">
        <v>7403</v>
      </c>
      <c r="F3612" s="3" t="s">
        <v>3929</v>
      </c>
      <c r="G3612" s="3" t="str">
        <f>IFERROR(__xludf.DUMMYFUNCTION("GOOGLETRANSLATE(D3612,""fr"",""es"")"),"mita")</f>
        <v>mita</v>
      </c>
    </row>
    <row r="3613">
      <c r="A3613" s="3">
        <v>1065.0</v>
      </c>
      <c r="B3613" s="3" t="s">
        <v>6738</v>
      </c>
      <c r="C3613" s="3" t="s">
        <v>190</v>
      </c>
      <c r="D3613" s="3" t="s">
        <v>3938</v>
      </c>
      <c r="E3613" s="3" t="s">
        <v>7404</v>
      </c>
      <c r="F3613" s="3" t="s">
        <v>3940</v>
      </c>
      <c r="G3613" s="3" t="str">
        <f>IFERROR(__xludf.DUMMYFUNCTION("GOOGLETRANSLATE(D3613,""fr"",""es"")"),"mitées")</f>
        <v>mitées</v>
      </c>
    </row>
    <row r="3614">
      <c r="A3614" s="3">
        <v>1066.0</v>
      </c>
      <c r="B3614" s="3" t="s">
        <v>6738</v>
      </c>
      <c r="C3614" s="3" t="s">
        <v>190</v>
      </c>
      <c r="D3614" s="3" t="s">
        <v>3943</v>
      </c>
      <c r="E3614" s="3" t="s">
        <v>7403</v>
      </c>
      <c r="F3614" s="3" t="s">
        <v>3929</v>
      </c>
      <c r="G3614" s="3" t="str">
        <f>IFERROR(__xludf.DUMMYFUNCTION("GOOGLETRANSLATE(D3614,""fr"",""es"")"),"mitas")</f>
        <v>mitas</v>
      </c>
    </row>
    <row r="3615">
      <c r="A3615" s="3">
        <v>1067.0</v>
      </c>
      <c r="B3615" s="3" t="s">
        <v>6738</v>
      </c>
      <c r="C3615" s="3" t="s">
        <v>190</v>
      </c>
      <c r="D3615" s="3" t="s">
        <v>3941</v>
      </c>
      <c r="E3615" s="3" t="s">
        <v>7405</v>
      </c>
      <c r="F3615" s="3" t="s">
        <v>3943</v>
      </c>
      <c r="G3615" s="3" t="str">
        <f>IFERROR(__xludf.DUMMYFUNCTION("GOOGLETRANSLATE(D3615,""fr"",""es"")"),"mitasse")</f>
        <v>mitasse</v>
      </c>
    </row>
    <row r="3616">
      <c r="A3616" s="3">
        <v>1068.0</v>
      </c>
      <c r="B3616" s="3" t="s">
        <v>6738</v>
      </c>
      <c r="C3616" s="3" t="s">
        <v>190</v>
      </c>
      <c r="D3616" s="3" t="s">
        <v>3944</v>
      </c>
      <c r="E3616" s="3" t="s">
        <v>7405</v>
      </c>
      <c r="F3616" s="3" t="s">
        <v>3943</v>
      </c>
      <c r="G3616" s="3" t="str">
        <f>IFERROR(__xludf.DUMMYFUNCTION("GOOGLETRANSLATE(D3616,""fr"",""es"")"),"mitassent")</f>
        <v>mitassent</v>
      </c>
    </row>
    <row r="3617">
      <c r="A3617" s="3">
        <v>1069.0</v>
      </c>
      <c r="B3617" s="3" t="s">
        <v>6738</v>
      </c>
      <c r="C3617" s="3" t="s">
        <v>190</v>
      </c>
      <c r="D3617" s="3" t="s">
        <v>3945</v>
      </c>
      <c r="E3617" s="3" t="s">
        <v>7405</v>
      </c>
      <c r="F3617" s="3" t="s">
        <v>3943</v>
      </c>
      <c r="G3617" s="3" t="str">
        <f>IFERROR(__xludf.DUMMYFUNCTION("GOOGLETRANSLATE(D3617,""fr"",""es"")"),"mitasse")</f>
        <v>mitasse</v>
      </c>
    </row>
    <row r="3618">
      <c r="A3618" s="3">
        <v>1070.0</v>
      </c>
      <c r="B3618" s="3" t="s">
        <v>6738</v>
      </c>
      <c r="C3618" s="3" t="s">
        <v>190</v>
      </c>
      <c r="D3618" s="3" t="s">
        <v>7406</v>
      </c>
      <c r="E3618" s="3" t="s">
        <v>7403</v>
      </c>
      <c r="F3618" s="3" t="s">
        <v>3929</v>
      </c>
      <c r="G3618" s="3" t="str">
        <f>IFERROR(__xludf.DUMMYFUNCTION("GOOGLETRANSLATE(D3618,""fr"",""es"")"),"mitât")</f>
        <v>mitât</v>
      </c>
    </row>
    <row r="3619">
      <c r="A3619" s="3">
        <v>1071.0</v>
      </c>
      <c r="B3619" s="3" t="s">
        <v>6738</v>
      </c>
      <c r="C3619" s="3" t="s">
        <v>190</v>
      </c>
      <c r="D3619" s="3" t="s">
        <v>3946</v>
      </c>
      <c r="E3619" s="3" t="s">
        <v>3947</v>
      </c>
      <c r="F3619" s="3" t="s">
        <v>3948</v>
      </c>
      <c r="G3619" s="3" t="str">
        <f>IFERROR(__xludf.DUMMYFUNCTION("GOOGLETRANSLATE(D3619,""fr"",""es"")"),"suave")</f>
        <v>suave</v>
      </c>
      <c r="H3619" s="3" t="s">
        <v>3949</v>
      </c>
      <c r="I3619" s="3" t="s">
        <v>3950</v>
      </c>
      <c r="J3619" s="3" t="s">
        <v>3951</v>
      </c>
      <c r="K3619" s="3" t="s">
        <v>3950</v>
      </c>
      <c r="L3619" s="3" t="s">
        <v>3952</v>
      </c>
      <c r="M3619" s="3" t="s">
        <v>3950</v>
      </c>
      <c r="N3619" s="3" t="s">
        <v>3950</v>
      </c>
      <c r="O3619" s="3" t="s">
        <v>3953</v>
      </c>
      <c r="P3619" s="3" t="s">
        <v>3949</v>
      </c>
      <c r="Q3619" s="3" t="s">
        <v>3954</v>
      </c>
      <c r="R3619" s="3" t="s">
        <v>3950</v>
      </c>
      <c r="S3619" s="3" t="s">
        <v>3950</v>
      </c>
      <c r="T3619" s="3" t="s">
        <v>3955</v>
      </c>
      <c r="U3619" s="3" t="s">
        <v>3950</v>
      </c>
      <c r="V3619" s="3" t="s">
        <v>3956</v>
      </c>
      <c r="W3619" s="3" t="s">
        <v>3957</v>
      </c>
      <c r="X3619" s="3" t="s">
        <v>3950</v>
      </c>
      <c r="Y3619" s="3" t="s">
        <v>3958</v>
      </c>
      <c r="Z3619" s="3" t="s">
        <v>3959</v>
      </c>
      <c r="AA3619" s="3" t="s">
        <v>3950</v>
      </c>
      <c r="AB3619" s="3" t="s">
        <v>3960</v>
      </c>
      <c r="AC3619" s="3" t="s">
        <v>3950</v>
      </c>
      <c r="AD3619" s="3" t="s">
        <v>3961</v>
      </c>
      <c r="AE3619" s="3" t="s">
        <v>3962</v>
      </c>
    </row>
    <row r="3620">
      <c r="A3620" s="3">
        <v>1072.0</v>
      </c>
      <c r="B3620" s="3" t="s">
        <v>6738</v>
      </c>
      <c r="C3620" s="3" t="s">
        <v>190</v>
      </c>
      <c r="D3620" s="3" t="s">
        <v>7407</v>
      </c>
      <c r="E3620" s="3" t="s">
        <v>7408</v>
      </c>
      <c r="F3620" s="3" t="s">
        <v>3965</v>
      </c>
      <c r="G3620" s="3" t="str">
        <f>IFERROR(__xludf.DUMMYFUNCTION("GOOGLETRANSLATE(D3620,""fr"",""es"")"),"moucha")</f>
        <v>moucha</v>
      </c>
    </row>
    <row r="3621">
      <c r="A3621" s="3">
        <v>1073.0</v>
      </c>
      <c r="B3621" s="3" t="s">
        <v>6738</v>
      </c>
      <c r="C3621" s="3" t="s">
        <v>190</v>
      </c>
      <c r="D3621" s="3" t="s">
        <v>3969</v>
      </c>
      <c r="E3621" s="3" t="s">
        <v>7409</v>
      </c>
      <c r="F3621" s="3" t="s">
        <v>3971</v>
      </c>
      <c r="G3621" s="3" t="str">
        <f>IFERROR(__xludf.DUMMYFUNCTION("GOOGLETRANSLATE(D3621,""fr"",""es"")"),"moucha")</f>
        <v>moucha</v>
      </c>
    </row>
    <row r="3622">
      <c r="A3622" s="3">
        <v>1074.0</v>
      </c>
      <c r="B3622" s="3" t="s">
        <v>6738</v>
      </c>
      <c r="C3622" s="3" t="s">
        <v>190</v>
      </c>
      <c r="D3622" s="3" t="s">
        <v>7410</v>
      </c>
      <c r="E3622" s="3" t="s">
        <v>7408</v>
      </c>
      <c r="F3622" s="3" t="s">
        <v>3965</v>
      </c>
      <c r="G3622" s="3" t="str">
        <f>IFERROR(__xludf.DUMMYFUNCTION("GOOGLETRANSLATE(D3622,""fr"",""es"")"),"mouchas")</f>
        <v>mouchas</v>
      </c>
    </row>
    <row r="3623">
      <c r="A3623" s="3">
        <v>1075.0</v>
      </c>
      <c r="B3623" s="3" t="s">
        <v>6738</v>
      </c>
      <c r="C3623" s="3" t="s">
        <v>190</v>
      </c>
      <c r="D3623" s="3" t="s">
        <v>3972</v>
      </c>
      <c r="E3623" s="3" t="s">
        <v>7411</v>
      </c>
      <c r="F3623" s="3" t="s">
        <v>3974</v>
      </c>
      <c r="G3623" s="3" t="str">
        <f>IFERROR(__xludf.DUMMYFUNCTION("GOOGLETRANSLATE(D3623,""fr"",""es"")"),"mouchasse")</f>
        <v>mouchasse</v>
      </c>
    </row>
    <row r="3624">
      <c r="A3624" s="3">
        <v>1076.0</v>
      </c>
      <c r="B3624" s="3" t="s">
        <v>6738</v>
      </c>
      <c r="C3624" s="3" t="s">
        <v>190</v>
      </c>
      <c r="D3624" s="3" t="s">
        <v>3975</v>
      </c>
      <c r="E3624" s="3" t="s">
        <v>7411</v>
      </c>
      <c r="F3624" s="3" t="s">
        <v>3974</v>
      </c>
      <c r="G3624" s="3" t="str">
        <f>IFERROR(__xludf.DUMMYFUNCTION("GOOGLETRANSLATE(D3624,""fr"",""es"")"),"falta")</f>
        <v>falta</v>
      </c>
    </row>
    <row r="3625">
      <c r="A3625" s="3">
        <v>1077.0</v>
      </c>
      <c r="B3625" s="3" t="s">
        <v>6738</v>
      </c>
      <c r="C3625" s="3" t="s">
        <v>190</v>
      </c>
      <c r="D3625" s="3" t="s">
        <v>3976</v>
      </c>
      <c r="E3625" s="3" t="s">
        <v>7411</v>
      </c>
      <c r="F3625" s="3" t="s">
        <v>3974</v>
      </c>
      <c r="G3625" s="3" t="str">
        <f>IFERROR(__xludf.DUMMYFUNCTION("GOOGLETRANSLATE(D3625,""fr"",""es"")"),"mouchass")</f>
        <v>mouchass</v>
      </c>
    </row>
    <row r="3626">
      <c r="A3626" s="3">
        <v>1078.0</v>
      </c>
      <c r="B3626" s="3" t="s">
        <v>6738</v>
      </c>
      <c r="C3626" s="3" t="s">
        <v>190</v>
      </c>
      <c r="D3626" s="3" t="s">
        <v>7412</v>
      </c>
      <c r="E3626" s="3" t="s">
        <v>7408</v>
      </c>
      <c r="F3626" s="3" t="s">
        <v>3965</v>
      </c>
      <c r="G3626" s="3" t="str">
        <f>IFERROR(__xludf.DUMMYFUNCTION("GOOGLETRANSLATE(D3626,""fr"",""es"")"),"punto")</f>
        <v>punto</v>
      </c>
    </row>
    <row r="3627">
      <c r="A3627" s="3">
        <v>1079.0</v>
      </c>
      <c r="B3627" s="3" t="s">
        <v>6738</v>
      </c>
      <c r="C3627" s="3" t="s">
        <v>190</v>
      </c>
      <c r="D3627" s="3" t="s">
        <v>3977</v>
      </c>
      <c r="E3627" s="3" t="s">
        <v>7413</v>
      </c>
      <c r="F3627" s="3" t="s">
        <v>3979</v>
      </c>
      <c r="G3627" s="3" t="str">
        <f>IFERROR(__xludf.DUMMYFUNCTION("GOOGLETRANSLATE(D3627,""fr"",""es"")"),"mosca")</f>
        <v>mosca</v>
      </c>
      <c r="H3627" s="3" t="s">
        <v>3980</v>
      </c>
      <c r="I3627" s="3" t="s">
        <v>3980</v>
      </c>
      <c r="J3627" s="3" t="s">
        <v>3981</v>
      </c>
      <c r="K3627" s="3" t="s">
        <v>3982</v>
      </c>
      <c r="L3627" s="3" t="s">
        <v>3980</v>
      </c>
      <c r="M3627" s="3" t="s">
        <v>3983</v>
      </c>
      <c r="N3627" s="3" t="s">
        <v>3980</v>
      </c>
      <c r="O3627" s="3" t="s">
        <v>3980</v>
      </c>
      <c r="P3627" s="3" t="s">
        <v>3980</v>
      </c>
      <c r="Q3627" s="3" t="s">
        <v>3980</v>
      </c>
      <c r="R3627" s="3" t="s">
        <v>3980</v>
      </c>
      <c r="S3627" s="3" t="s">
        <v>3980</v>
      </c>
      <c r="T3627" s="3" t="s">
        <v>3980</v>
      </c>
      <c r="U3627" s="3" t="s">
        <v>3980</v>
      </c>
      <c r="V3627" s="3" t="s">
        <v>3984</v>
      </c>
      <c r="W3627" s="3" t="s">
        <v>3982</v>
      </c>
      <c r="X3627" s="3" t="s">
        <v>3985</v>
      </c>
      <c r="Y3627" s="3" t="s">
        <v>3980</v>
      </c>
      <c r="Z3627" s="3" t="s">
        <v>3986</v>
      </c>
      <c r="AA3627" s="3" t="s">
        <v>3980</v>
      </c>
      <c r="AB3627" s="3" t="s">
        <v>3980</v>
      </c>
      <c r="AC3627" s="3" t="s">
        <v>3987</v>
      </c>
      <c r="AD3627" s="3" t="s">
        <v>3988</v>
      </c>
      <c r="AE3627" s="3" t="s">
        <v>3980</v>
      </c>
      <c r="AF3627" s="3" t="s">
        <v>3989</v>
      </c>
      <c r="AG3627" s="3" t="s">
        <v>3980</v>
      </c>
      <c r="AH3627" s="3" t="s">
        <v>3990</v>
      </c>
      <c r="AI3627" s="3" t="s">
        <v>3991</v>
      </c>
      <c r="AJ3627" s="3" t="s">
        <v>3992</v>
      </c>
      <c r="AK3627" s="3" t="s">
        <v>3980</v>
      </c>
      <c r="AL3627" s="3" t="s">
        <v>3993</v>
      </c>
      <c r="AM3627" s="3" t="s">
        <v>3987</v>
      </c>
    </row>
    <row r="3628">
      <c r="A3628" s="3">
        <v>1080.0</v>
      </c>
      <c r="B3628" s="3" t="s">
        <v>6738</v>
      </c>
      <c r="C3628" s="3" t="s">
        <v>190</v>
      </c>
      <c r="D3628" s="3" t="s">
        <v>3994</v>
      </c>
      <c r="E3628" s="3" t="s">
        <v>7413</v>
      </c>
      <c r="F3628" s="3" t="s">
        <v>3979</v>
      </c>
      <c r="G3628" s="3" t="str">
        <f>IFERROR(__xludf.DUMMYFUNCTION("GOOGLETRANSLATE(D3628,""fr"",""es"")"),"volar")</f>
        <v>volar</v>
      </c>
    </row>
    <row r="3629">
      <c r="A3629" s="3">
        <v>1081.0</v>
      </c>
      <c r="B3629" s="3" t="s">
        <v>6738</v>
      </c>
      <c r="C3629" s="3" t="s">
        <v>190</v>
      </c>
      <c r="D3629" s="3" t="s">
        <v>3995</v>
      </c>
      <c r="E3629" s="3" t="s">
        <v>7413</v>
      </c>
      <c r="F3629" s="3" t="s">
        <v>3979</v>
      </c>
      <c r="G3629" s="3" t="str">
        <f>IFERROR(__xludf.DUMMYFUNCTION("GOOGLETRANSLATE(D3629,""fr"",""es"")"),"moscas")</f>
        <v>moscas</v>
      </c>
    </row>
    <row r="3630">
      <c r="A3630" s="3">
        <v>1082.0</v>
      </c>
      <c r="B3630" s="3" t="s">
        <v>6738</v>
      </c>
      <c r="C3630" s="3" t="s">
        <v>190</v>
      </c>
      <c r="D3630" s="3" t="s">
        <v>3996</v>
      </c>
      <c r="E3630" s="3" t="s">
        <v>3947</v>
      </c>
      <c r="F3630" s="3" t="s">
        <v>3948</v>
      </c>
      <c r="G3630" s="3" t="str">
        <f>IFERROR(__xludf.DUMMYFUNCTION("GOOGLETRANSLATE(D3630,""fr"",""es"")"),"abadejo")</f>
        <v>abadejo</v>
      </c>
      <c r="H3630" s="3" t="s">
        <v>3997</v>
      </c>
      <c r="I3630" s="3" t="s">
        <v>3996</v>
      </c>
      <c r="J3630" s="3" t="s">
        <v>3998</v>
      </c>
    </row>
    <row r="3631">
      <c r="A3631" s="3">
        <v>1083.0</v>
      </c>
      <c r="B3631" s="3" t="s">
        <v>6738</v>
      </c>
      <c r="C3631" s="3" t="s">
        <v>190</v>
      </c>
      <c r="D3631" s="3" t="s">
        <v>3999</v>
      </c>
      <c r="E3631" s="3" t="s">
        <v>3947</v>
      </c>
      <c r="F3631" s="3" t="s">
        <v>3948</v>
      </c>
      <c r="G3631" s="3" t="str">
        <f>IFERROR(__xludf.DUMMYFUNCTION("GOOGLETRANSLATE(D3631,""fr"",""es"")"),"abadejo")</f>
        <v>abadejo</v>
      </c>
    </row>
    <row r="3632">
      <c r="A3632" s="3">
        <v>1084.0</v>
      </c>
      <c r="B3632" s="3" t="s">
        <v>6738</v>
      </c>
      <c r="C3632" s="3" t="s">
        <v>190</v>
      </c>
      <c r="D3632" s="3" t="s">
        <v>7414</v>
      </c>
      <c r="E3632" s="3" t="s">
        <v>7415</v>
      </c>
      <c r="F3632" s="3" t="s">
        <v>4002</v>
      </c>
      <c r="G3632" s="3" t="str">
        <f>IFERROR(__xludf.DUMMYFUNCTION("GOOGLETRANSLATE(D3632,""fr"",""es"")"),"mojado")</f>
        <v>mojado</v>
      </c>
    </row>
    <row r="3633">
      <c r="A3633" s="3">
        <v>1085.0</v>
      </c>
      <c r="B3633" s="3" t="s">
        <v>6738</v>
      </c>
      <c r="C3633" s="3" t="s">
        <v>190</v>
      </c>
      <c r="D3633" s="3" t="s">
        <v>4006</v>
      </c>
      <c r="E3633" s="3" t="s">
        <v>7416</v>
      </c>
      <c r="F3633" s="3" t="s">
        <v>4008</v>
      </c>
      <c r="G3633" s="3" t="str">
        <f>IFERROR(__xludf.DUMMYFUNCTION("GOOGLETRANSLATE(D3633,""fr"",""es"")"),"mojado")</f>
        <v>mojado</v>
      </c>
    </row>
    <row r="3634">
      <c r="A3634" s="3">
        <v>1086.0</v>
      </c>
      <c r="B3634" s="3" t="s">
        <v>6738</v>
      </c>
      <c r="C3634" s="3" t="s">
        <v>190</v>
      </c>
      <c r="D3634" s="3" t="s">
        <v>7417</v>
      </c>
      <c r="E3634" s="3" t="s">
        <v>7415</v>
      </c>
      <c r="F3634" s="3" t="s">
        <v>4002</v>
      </c>
      <c r="G3634" s="3" t="str">
        <f>IFERROR(__xludf.DUMMYFUNCTION("GOOGLETRANSLATE(D3634,""fr"",""es"")"),"mojado")</f>
        <v>mojado</v>
      </c>
    </row>
    <row r="3635">
      <c r="A3635" s="3">
        <v>1087.0</v>
      </c>
      <c r="B3635" s="3" t="s">
        <v>6738</v>
      </c>
      <c r="C3635" s="3" t="s">
        <v>190</v>
      </c>
      <c r="D3635" s="3" t="s">
        <v>4009</v>
      </c>
      <c r="E3635" s="3" t="s">
        <v>7418</v>
      </c>
      <c r="F3635" s="3" t="s">
        <v>4011</v>
      </c>
      <c r="G3635" s="3" t="str">
        <f>IFERROR(__xludf.DUMMYFUNCTION("GOOGLETRANSLATE(D3635,""fr"",""es"")"),"mojado")</f>
        <v>mojado</v>
      </c>
    </row>
    <row r="3636">
      <c r="A3636" s="3">
        <v>1088.0</v>
      </c>
      <c r="B3636" s="3" t="s">
        <v>6738</v>
      </c>
      <c r="C3636" s="3" t="s">
        <v>190</v>
      </c>
      <c r="D3636" s="3" t="s">
        <v>4012</v>
      </c>
      <c r="E3636" s="3" t="s">
        <v>7418</v>
      </c>
      <c r="F3636" s="3" t="s">
        <v>4011</v>
      </c>
      <c r="G3636" s="3" t="str">
        <f>IFERROR(__xludf.DUMMYFUNCTION("GOOGLETRANSLATE(D3636,""fr"",""es"")"),"mojado")</f>
        <v>mojado</v>
      </c>
    </row>
    <row r="3637">
      <c r="A3637" s="3">
        <v>1089.0</v>
      </c>
      <c r="B3637" s="3" t="s">
        <v>6738</v>
      </c>
      <c r="C3637" s="3" t="s">
        <v>190</v>
      </c>
      <c r="D3637" s="3" t="s">
        <v>4013</v>
      </c>
      <c r="E3637" s="3" t="s">
        <v>7418</v>
      </c>
      <c r="F3637" s="3" t="s">
        <v>4011</v>
      </c>
      <c r="G3637" s="3" t="str">
        <f>IFERROR(__xludf.DUMMYFUNCTION("GOOGLETRANSLATE(D3637,""fr"",""es"")"),"mojado")</f>
        <v>mojado</v>
      </c>
    </row>
    <row r="3638">
      <c r="A3638" s="3">
        <v>1090.0</v>
      </c>
      <c r="B3638" s="3" t="s">
        <v>6738</v>
      </c>
      <c r="C3638" s="3" t="s">
        <v>190</v>
      </c>
      <c r="D3638" s="3" t="s">
        <v>7419</v>
      </c>
      <c r="E3638" s="3" t="s">
        <v>7415</v>
      </c>
      <c r="F3638" s="3" t="s">
        <v>4002</v>
      </c>
      <c r="G3638" s="3" t="str">
        <f>IFERROR(__xludf.DUMMYFUNCTION("GOOGLETRANSLATE(D3638,""fr"",""es"")"),"mojado")</f>
        <v>mojado</v>
      </c>
    </row>
    <row r="3639">
      <c r="A3639" s="3">
        <v>1091.0</v>
      </c>
      <c r="B3639" s="3" t="s">
        <v>6738</v>
      </c>
      <c r="C3639" s="3" t="s">
        <v>190</v>
      </c>
      <c r="D3639" s="3" t="s">
        <v>4014</v>
      </c>
      <c r="E3639" s="3" t="s">
        <v>7420</v>
      </c>
      <c r="F3639" s="3" t="s">
        <v>4016</v>
      </c>
      <c r="G3639" s="3" t="str">
        <f>IFERROR(__xludf.DUMMYFUNCTION("GOOGLETRANSLATE(D3639,""fr"",""es"")"),"mojado")</f>
        <v>mojado</v>
      </c>
    </row>
    <row r="3640">
      <c r="A3640" s="3">
        <v>1092.0</v>
      </c>
      <c r="B3640" s="3" t="s">
        <v>6738</v>
      </c>
      <c r="C3640" s="3" t="s">
        <v>190</v>
      </c>
      <c r="D3640" s="3" t="s">
        <v>4017</v>
      </c>
      <c r="E3640" s="3" t="s">
        <v>7420</v>
      </c>
      <c r="F3640" s="3" t="s">
        <v>4016</v>
      </c>
      <c r="G3640" s="3" t="str">
        <f>IFERROR(__xludf.DUMMYFUNCTION("GOOGLETRANSLATE(D3640,""fr"",""es"")"),"mojado")</f>
        <v>mojado</v>
      </c>
    </row>
    <row r="3641">
      <c r="A3641" s="3">
        <v>1093.0</v>
      </c>
      <c r="B3641" s="3" t="s">
        <v>6738</v>
      </c>
      <c r="C3641" s="3" t="s">
        <v>190</v>
      </c>
      <c r="D3641" s="3" t="s">
        <v>4018</v>
      </c>
      <c r="E3641" s="3" t="s">
        <v>7420</v>
      </c>
      <c r="F3641" s="3" t="s">
        <v>4016</v>
      </c>
      <c r="G3641" s="3" t="str">
        <f>IFERROR(__xludf.DUMMYFUNCTION("GOOGLETRANSLATE(D3641,""fr"",""es"")"),"mojado")</f>
        <v>mojado</v>
      </c>
    </row>
    <row r="3642">
      <c r="A3642" s="3">
        <v>1094.0</v>
      </c>
      <c r="B3642" s="3" t="s">
        <v>6738</v>
      </c>
      <c r="C3642" s="3" t="s">
        <v>190</v>
      </c>
      <c r="D3642" s="3" t="s">
        <v>7421</v>
      </c>
      <c r="E3642" s="3" t="s">
        <v>7422</v>
      </c>
      <c r="F3642" s="3" t="s">
        <v>4021</v>
      </c>
      <c r="G3642" s="3" t="str">
        <f>IFERROR(__xludf.DUMMYFUNCTION("GOOGLETRANSLATE(D3642,""fr"",""es"")"),"moula")</f>
        <v>moula</v>
      </c>
    </row>
    <row r="3643">
      <c r="A3643" s="3">
        <v>1095.0</v>
      </c>
      <c r="B3643" s="3" t="s">
        <v>6738</v>
      </c>
      <c r="C3643" s="3" t="s">
        <v>190</v>
      </c>
      <c r="D3643" s="3" t="s">
        <v>4025</v>
      </c>
      <c r="E3643" s="3" t="s">
        <v>7423</v>
      </c>
      <c r="F3643" s="3" t="s">
        <v>4027</v>
      </c>
      <c r="G3643" s="3" t="str">
        <f>IFERROR(__xludf.DUMMYFUNCTION("GOOGLETRANSLATE(D3643,""fr"",""es"")"),"apretado")</f>
        <v>apretado</v>
      </c>
    </row>
    <row r="3644">
      <c r="A3644" s="3">
        <v>1096.0</v>
      </c>
      <c r="B3644" s="3" t="s">
        <v>6738</v>
      </c>
      <c r="C3644" s="3" t="s">
        <v>190</v>
      </c>
      <c r="D3644" s="3" t="s">
        <v>7424</v>
      </c>
      <c r="E3644" s="3" t="s">
        <v>7422</v>
      </c>
      <c r="F3644" s="3" t="s">
        <v>4021</v>
      </c>
      <c r="G3644" s="3" t="str">
        <f>IFERROR(__xludf.DUMMYFUNCTION("GOOGLETRANSLATE(D3644,""fr"",""es"")"),"Moulas")</f>
        <v>Moulas</v>
      </c>
    </row>
    <row r="3645">
      <c r="A3645" s="3">
        <v>1097.0</v>
      </c>
      <c r="B3645" s="3" t="s">
        <v>6738</v>
      </c>
      <c r="C3645" s="3" t="s">
        <v>190</v>
      </c>
      <c r="D3645" s="3" t="s">
        <v>4028</v>
      </c>
      <c r="E3645" s="3" t="s">
        <v>7425</v>
      </c>
      <c r="F3645" s="3" t="s">
        <v>4030</v>
      </c>
      <c r="G3645" s="3" t="str">
        <f>IFERROR(__xludf.DUMMYFUNCTION("GOOGLETRANSLATE(D3645,""fr"",""es"")"),"moldura")</f>
        <v>moldura</v>
      </c>
    </row>
    <row r="3646">
      <c r="A3646" s="3">
        <v>1098.0</v>
      </c>
      <c r="B3646" s="3" t="s">
        <v>6738</v>
      </c>
      <c r="C3646" s="3" t="s">
        <v>190</v>
      </c>
      <c r="D3646" s="3" t="s">
        <v>4031</v>
      </c>
      <c r="E3646" s="3" t="s">
        <v>7425</v>
      </c>
      <c r="F3646" s="3" t="s">
        <v>4030</v>
      </c>
      <c r="G3646" s="3" t="str">
        <f>IFERROR(__xludf.DUMMYFUNCTION("GOOGLETRANSLATE(D3646,""fr"",""es"")"),"moho")</f>
        <v>moho</v>
      </c>
    </row>
    <row r="3647">
      <c r="A3647" s="3">
        <v>1099.0</v>
      </c>
      <c r="B3647" s="3" t="s">
        <v>6738</v>
      </c>
      <c r="C3647" s="3" t="s">
        <v>190</v>
      </c>
      <c r="D3647" s="3" t="s">
        <v>4032</v>
      </c>
      <c r="E3647" s="3" t="s">
        <v>7425</v>
      </c>
      <c r="F3647" s="3" t="s">
        <v>4030</v>
      </c>
      <c r="G3647" s="3" t="str">
        <f>IFERROR(__xludf.DUMMYFUNCTION("GOOGLETRANSLATE(D3647,""fr"",""es"")"),"muda")</f>
        <v>muda</v>
      </c>
    </row>
    <row r="3648">
      <c r="A3648" s="3">
        <v>1100.0</v>
      </c>
      <c r="B3648" s="3" t="s">
        <v>6738</v>
      </c>
      <c r="C3648" s="3" t="s">
        <v>190</v>
      </c>
      <c r="D3648" s="3" t="s">
        <v>7426</v>
      </c>
      <c r="E3648" s="3" t="s">
        <v>7422</v>
      </c>
      <c r="F3648" s="3" t="s">
        <v>4021</v>
      </c>
      <c r="G3648" s="3" t="str">
        <f>IFERROR(__xludf.DUMMYFUNCTION("GOOGLETRANSLATE(D3648,""fr"",""es"")"),"apretado")</f>
        <v>apretado</v>
      </c>
    </row>
    <row r="3649">
      <c r="A3649" s="3">
        <v>1101.0</v>
      </c>
      <c r="B3649" s="3" t="s">
        <v>6738</v>
      </c>
      <c r="C3649" s="3" t="s">
        <v>190</v>
      </c>
      <c r="D3649" s="3" t="s">
        <v>4033</v>
      </c>
      <c r="E3649" s="3" t="s">
        <v>7427</v>
      </c>
      <c r="F3649" s="3" t="s">
        <v>4035</v>
      </c>
      <c r="G3649" s="3" t="str">
        <f>IFERROR(__xludf.DUMMYFUNCTION("GOOGLETRANSLATE(D3649,""fr"",""es"")"),"mejillón")</f>
        <v>mejillón</v>
      </c>
      <c r="H3649" s="3" t="s">
        <v>4036</v>
      </c>
      <c r="I3649" s="3" t="s">
        <v>4037</v>
      </c>
      <c r="J3649" s="3" t="s">
        <v>4038</v>
      </c>
      <c r="K3649" s="3" t="s">
        <v>4039</v>
      </c>
      <c r="L3649" s="3" t="s">
        <v>4037</v>
      </c>
      <c r="M3649" s="3" t="s">
        <v>4038</v>
      </c>
      <c r="N3649" s="3" t="s">
        <v>4040</v>
      </c>
      <c r="O3649" s="3" t="s">
        <v>4041</v>
      </c>
      <c r="P3649" s="3" t="s">
        <v>4042</v>
      </c>
      <c r="Q3649" s="3" t="s">
        <v>4043</v>
      </c>
      <c r="R3649" s="3" t="s">
        <v>4044</v>
      </c>
      <c r="S3649" s="3" t="s">
        <v>4045</v>
      </c>
      <c r="T3649" s="3" t="s">
        <v>4036</v>
      </c>
    </row>
    <row r="3650">
      <c r="A3650" s="3">
        <v>1102.0</v>
      </c>
      <c r="B3650" s="3" t="s">
        <v>6738</v>
      </c>
      <c r="C3650" s="3" t="s">
        <v>190</v>
      </c>
      <c r="D3650" s="3" t="s">
        <v>4046</v>
      </c>
      <c r="E3650" s="3" t="s">
        <v>7427</v>
      </c>
      <c r="F3650" s="3" t="s">
        <v>4035</v>
      </c>
      <c r="G3650" s="3" t="str">
        <f>IFERROR(__xludf.DUMMYFUNCTION("GOOGLETRANSLATE(D3650,""fr"",""es"")"),"moho")</f>
        <v>moho</v>
      </c>
    </row>
    <row r="3651">
      <c r="A3651" s="3">
        <v>1103.0</v>
      </c>
      <c r="B3651" s="3" t="s">
        <v>6738</v>
      </c>
      <c r="C3651" s="3" t="s">
        <v>190</v>
      </c>
      <c r="D3651" s="3" t="s">
        <v>4047</v>
      </c>
      <c r="E3651" s="3" t="s">
        <v>7427</v>
      </c>
      <c r="F3651" s="3" t="s">
        <v>4035</v>
      </c>
      <c r="G3651" s="3" t="str">
        <f>IFERROR(__xludf.DUMMYFUNCTION("GOOGLETRANSLATE(D3651,""fr"",""es"")"),"mejillones")</f>
        <v>mejillones</v>
      </c>
    </row>
    <row r="3652">
      <c r="A3652" s="3">
        <v>1104.0</v>
      </c>
      <c r="B3652" s="3" t="s">
        <v>6738</v>
      </c>
      <c r="C3652" s="3" t="s">
        <v>190</v>
      </c>
      <c r="D3652" s="3" t="s">
        <v>7428</v>
      </c>
      <c r="E3652" s="3" t="s">
        <v>7429</v>
      </c>
      <c r="F3652" s="3" t="s">
        <v>4050</v>
      </c>
      <c r="G3652" s="3" t="str">
        <f>IFERROR(__xludf.DUMMYFUNCTION("GOOGLETRANSLATE(D3652,""fr"",""es"")"),"molino")</f>
        <v>molino</v>
      </c>
    </row>
    <row r="3653">
      <c r="A3653" s="3">
        <v>1105.0</v>
      </c>
      <c r="B3653" s="3" t="s">
        <v>6738</v>
      </c>
      <c r="C3653" s="3" t="s">
        <v>190</v>
      </c>
      <c r="D3653" s="3" t="s">
        <v>4054</v>
      </c>
      <c r="E3653" s="3" t="s">
        <v>7430</v>
      </c>
      <c r="F3653" s="3" t="s">
        <v>4056</v>
      </c>
      <c r="G3653" s="3" t="str">
        <f>IFERROR(__xludf.DUMMYFUNCTION("GOOGLETRANSLATE(D3653,""fr"",""es"")"),"molino")</f>
        <v>molino</v>
      </c>
    </row>
    <row r="3654">
      <c r="A3654" s="3">
        <v>1106.0</v>
      </c>
      <c r="B3654" s="3" t="s">
        <v>6738</v>
      </c>
      <c r="C3654" s="3" t="s">
        <v>190</v>
      </c>
      <c r="D3654" s="3" t="s">
        <v>7431</v>
      </c>
      <c r="E3654" s="3" t="s">
        <v>7429</v>
      </c>
      <c r="F3654" s="3" t="s">
        <v>4050</v>
      </c>
      <c r="G3654" s="3" t="str">
        <f>IFERROR(__xludf.DUMMYFUNCTION("GOOGLETRANSLATE(D3654,""fr"",""es"")"),"molino")</f>
        <v>molino</v>
      </c>
    </row>
    <row r="3655">
      <c r="A3655" s="3">
        <v>1107.0</v>
      </c>
      <c r="B3655" s="3" t="s">
        <v>6738</v>
      </c>
      <c r="C3655" s="3" t="s">
        <v>190</v>
      </c>
      <c r="D3655" s="3" t="s">
        <v>4057</v>
      </c>
      <c r="E3655" s="3" t="s">
        <v>7432</v>
      </c>
      <c r="F3655" s="3" t="s">
        <v>4059</v>
      </c>
      <c r="G3655" s="3" t="str">
        <f>IFERROR(__xludf.DUMMYFUNCTION("GOOGLETRANSLATE(D3655,""fr"",""es"")"),"molino")</f>
        <v>molino</v>
      </c>
    </row>
    <row r="3656">
      <c r="A3656" s="3">
        <v>1108.0</v>
      </c>
      <c r="B3656" s="3" t="s">
        <v>6738</v>
      </c>
      <c r="C3656" s="3" t="s">
        <v>190</v>
      </c>
      <c r="D3656" s="3" t="s">
        <v>4060</v>
      </c>
      <c r="E3656" s="3" t="s">
        <v>7432</v>
      </c>
      <c r="F3656" s="3" t="s">
        <v>4059</v>
      </c>
      <c r="G3656" s="3" t="str">
        <f>IFERROR(__xludf.DUMMYFUNCTION("GOOGLETRANSLATE(D3656,""fr"",""es"")"),"molino")</f>
        <v>molino</v>
      </c>
    </row>
    <row r="3657">
      <c r="A3657" s="3">
        <v>1109.0</v>
      </c>
      <c r="B3657" s="3" t="s">
        <v>6738</v>
      </c>
      <c r="C3657" s="3" t="s">
        <v>190</v>
      </c>
      <c r="D3657" s="3" t="s">
        <v>4061</v>
      </c>
      <c r="E3657" s="3" t="s">
        <v>7432</v>
      </c>
      <c r="F3657" s="3" t="s">
        <v>4059</v>
      </c>
      <c r="G3657" s="3" t="str">
        <f>IFERROR(__xludf.DUMMYFUNCTION("GOOGLETRANSLATE(D3657,""fr"",""es"")"),"molino")</f>
        <v>molino</v>
      </c>
    </row>
    <row r="3658">
      <c r="A3658" s="3">
        <v>1110.0</v>
      </c>
      <c r="B3658" s="3" t="s">
        <v>6738</v>
      </c>
      <c r="C3658" s="3" t="s">
        <v>190</v>
      </c>
      <c r="D3658" s="3" t="s">
        <v>7433</v>
      </c>
      <c r="E3658" s="3" t="s">
        <v>7429</v>
      </c>
      <c r="F3658" s="3" t="s">
        <v>4050</v>
      </c>
      <c r="G3658" s="3" t="str">
        <f>IFERROR(__xludf.DUMMYFUNCTION("GOOGLETRANSLATE(D3658,""fr"",""es"")"),"molino")</f>
        <v>molino</v>
      </c>
    </row>
    <row r="3659">
      <c r="A3659" s="3">
        <v>1111.0</v>
      </c>
      <c r="B3659" s="3" t="s">
        <v>6738</v>
      </c>
      <c r="C3659" s="3" t="s">
        <v>190</v>
      </c>
      <c r="D3659" s="3" t="s">
        <v>4062</v>
      </c>
      <c r="E3659" s="3" t="s">
        <v>7434</v>
      </c>
      <c r="F3659" s="3" t="s">
        <v>4064</v>
      </c>
      <c r="G3659" s="3" t="str">
        <f>IFERROR(__xludf.DUMMYFUNCTION("GOOGLETRANSLATE(D3659,""fr"",""es"")"),"moumlina")</f>
        <v>moumlina</v>
      </c>
    </row>
    <row r="3660">
      <c r="A3660" s="3">
        <v>1112.0</v>
      </c>
      <c r="B3660" s="3" t="s">
        <v>6738</v>
      </c>
      <c r="C3660" s="3" t="s">
        <v>190</v>
      </c>
      <c r="D3660" s="3" t="s">
        <v>4065</v>
      </c>
      <c r="E3660" s="3" t="s">
        <v>7434</v>
      </c>
      <c r="F3660" s="3" t="s">
        <v>4064</v>
      </c>
      <c r="G3660" s="3" t="str">
        <f>IFERROR(__xludf.DUMMYFUNCTION("GOOGLETRANSLATE(D3660,""fr"",""es"")"),"hierba")</f>
        <v>hierba</v>
      </c>
    </row>
    <row r="3661">
      <c r="A3661" s="3">
        <v>1113.0</v>
      </c>
      <c r="B3661" s="3" t="s">
        <v>6738</v>
      </c>
      <c r="C3661" s="3" t="s">
        <v>190</v>
      </c>
      <c r="D3661" s="3" t="s">
        <v>4066</v>
      </c>
      <c r="E3661" s="3" t="s">
        <v>7434</v>
      </c>
      <c r="F3661" s="3" t="s">
        <v>4064</v>
      </c>
      <c r="G3661" s="3" t="str">
        <f>IFERROR(__xludf.DUMMYFUNCTION("GOOGLETRANSLATE(D3661,""fr"",""es"")"),"molinas")</f>
        <v>molinas</v>
      </c>
    </row>
    <row r="3662">
      <c r="A3662" s="3">
        <v>1114.0</v>
      </c>
      <c r="B3662" s="3" t="s">
        <v>6738</v>
      </c>
      <c r="C3662" s="3" t="s">
        <v>190</v>
      </c>
      <c r="D3662" s="3" t="s">
        <v>4069</v>
      </c>
      <c r="E3662" s="3" t="s">
        <v>3947</v>
      </c>
      <c r="F3662" s="3" t="s">
        <v>3948</v>
      </c>
      <c r="G3662" s="3" t="str">
        <f>IFERROR(__xludf.DUMMYFUNCTION("GOOGLETRANSLATE(D3662,""fr"",""es"")"),"suave")</f>
        <v>suave</v>
      </c>
    </row>
    <row r="3663">
      <c r="A3663" s="3">
        <v>1115.0</v>
      </c>
      <c r="B3663" s="3" t="s">
        <v>6738</v>
      </c>
      <c r="C3663" s="3" t="s">
        <v>190</v>
      </c>
      <c r="D3663" s="3" t="s">
        <v>7435</v>
      </c>
      <c r="E3663" s="3" t="s">
        <v>7436</v>
      </c>
      <c r="F3663" s="3" t="s">
        <v>4072</v>
      </c>
      <c r="G3663" s="3" t="str">
        <f>IFERROR(__xludf.DUMMYFUNCTION("GOOGLETRANSLATE(D3663,""fr"",""es"")"),"moussa")</f>
        <v>moussa</v>
      </c>
    </row>
    <row r="3664">
      <c r="A3664" s="3">
        <v>1116.0</v>
      </c>
      <c r="B3664" s="3" t="s">
        <v>6738</v>
      </c>
      <c r="C3664" s="3" t="s">
        <v>190</v>
      </c>
      <c r="D3664" s="3" t="s">
        <v>7437</v>
      </c>
      <c r="E3664" s="3" t="s">
        <v>7438</v>
      </c>
      <c r="F3664" s="3" t="s">
        <v>7439</v>
      </c>
      <c r="G3664" s="3" t="str">
        <f>IFERROR(__xludf.DUMMYFUNCTION("GOOGLETRANSLATE(D3664,""fr"",""es"")"),"Musaca")</f>
        <v>Musaca</v>
      </c>
      <c r="H3664" s="3" t="s">
        <v>7437</v>
      </c>
    </row>
    <row r="3665">
      <c r="A3665" s="3">
        <v>1117.0</v>
      </c>
      <c r="B3665" s="3" t="s">
        <v>6738</v>
      </c>
      <c r="C3665" s="3" t="s">
        <v>190</v>
      </c>
      <c r="D3665" s="3" t="s">
        <v>4076</v>
      </c>
      <c r="E3665" s="3" t="s">
        <v>7440</v>
      </c>
      <c r="F3665" s="3" t="s">
        <v>4078</v>
      </c>
      <c r="G3665" s="3" t="str">
        <f>IFERROR(__xludf.DUMMYFUNCTION("GOOGLETRANSLATE(D3665,""fr"",""es"")"),"moussâme")</f>
        <v>moussâme</v>
      </c>
    </row>
    <row r="3666">
      <c r="A3666" s="3">
        <v>1118.0</v>
      </c>
      <c r="B3666" s="3" t="s">
        <v>6738</v>
      </c>
      <c r="C3666" s="3" t="s">
        <v>190</v>
      </c>
      <c r="D3666" s="3" t="s">
        <v>7441</v>
      </c>
      <c r="E3666" s="3" t="s">
        <v>7436</v>
      </c>
      <c r="F3666" s="3" t="s">
        <v>4072</v>
      </c>
      <c r="G3666" s="3" t="str">
        <f>IFERROR(__xludf.DUMMYFUNCTION("GOOGLETRANSLATE(D3666,""fr"",""es"")"),"Moussas")</f>
        <v>Moussas</v>
      </c>
    </row>
    <row r="3667">
      <c r="A3667" s="3">
        <v>1119.0</v>
      </c>
      <c r="B3667" s="3" t="s">
        <v>6738</v>
      </c>
      <c r="C3667" s="3" t="s">
        <v>190</v>
      </c>
      <c r="D3667" s="3" t="s">
        <v>4079</v>
      </c>
      <c r="E3667" s="3" t="s">
        <v>7442</v>
      </c>
      <c r="F3667" s="3" t="s">
        <v>4081</v>
      </c>
      <c r="G3667" s="3" t="str">
        <f>IFERROR(__xludf.DUMMYFUNCTION("GOOGLETRANSLATE(D3667,""fr"",""es"")"),"musgo")</f>
        <v>musgo</v>
      </c>
    </row>
    <row r="3668">
      <c r="A3668" s="3">
        <v>1120.0</v>
      </c>
      <c r="B3668" s="3" t="s">
        <v>6738</v>
      </c>
      <c r="C3668" s="3" t="s">
        <v>190</v>
      </c>
      <c r="D3668" s="3" t="s">
        <v>4082</v>
      </c>
      <c r="E3668" s="3" t="s">
        <v>7442</v>
      </c>
      <c r="F3668" s="3" t="s">
        <v>4081</v>
      </c>
      <c r="G3668" s="3" t="str">
        <f>IFERROR(__xludf.DUMMYFUNCTION("GOOGLETRANSLATE(D3668,""fr"",""es"")"),"Mossasse")</f>
        <v>Mossasse</v>
      </c>
    </row>
    <row r="3669">
      <c r="A3669" s="3">
        <v>1121.0</v>
      </c>
      <c r="B3669" s="3" t="s">
        <v>6738</v>
      </c>
      <c r="C3669" s="3" t="s">
        <v>190</v>
      </c>
      <c r="D3669" s="3" t="s">
        <v>4083</v>
      </c>
      <c r="E3669" s="3" t="s">
        <v>7442</v>
      </c>
      <c r="F3669" s="3" t="s">
        <v>4081</v>
      </c>
      <c r="G3669" s="3" t="str">
        <f>IFERROR(__xludf.DUMMYFUNCTION("GOOGLETRANSLATE(D3669,""fr"",""es"")"),"musgo")</f>
        <v>musgo</v>
      </c>
    </row>
    <row r="3670">
      <c r="A3670" s="3">
        <v>1122.0</v>
      </c>
      <c r="B3670" s="3" t="s">
        <v>6738</v>
      </c>
      <c r="C3670" s="3" t="s">
        <v>190</v>
      </c>
      <c r="D3670" s="3" t="s">
        <v>7443</v>
      </c>
      <c r="E3670" s="3" t="s">
        <v>7436</v>
      </c>
      <c r="F3670" s="3" t="s">
        <v>4072</v>
      </c>
      <c r="G3670" s="3" t="str">
        <f>IFERROR(__xludf.DUMMYFUNCTION("GOOGLETRANSLATE(D3670,""fr"",""es"")"),"moussât")</f>
        <v>moussât</v>
      </c>
    </row>
    <row r="3671">
      <c r="A3671" s="3">
        <v>1123.0</v>
      </c>
      <c r="B3671" s="3" t="s">
        <v>6738</v>
      </c>
      <c r="C3671" s="3" t="s">
        <v>190</v>
      </c>
      <c r="D3671" s="3" t="s">
        <v>4084</v>
      </c>
      <c r="E3671" s="3" t="s">
        <v>7444</v>
      </c>
      <c r="F3671" s="3" t="s">
        <v>4086</v>
      </c>
      <c r="G3671" s="3" t="str">
        <f>IFERROR(__xludf.DUMMYFUNCTION("GOOGLETRANSLATE(D3671,""fr"",""es"")"),"espuma")</f>
        <v>espuma</v>
      </c>
      <c r="H3671" s="3" t="s">
        <v>4087</v>
      </c>
      <c r="I3671" s="3" t="s">
        <v>4088</v>
      </c>
      <c r="J3671" s="3" t="s">
        <v>4089</v>
      </c>
      <c r="K3671" s="3" t="s">
        <v>4090</v>
      </c>
      <c r="L3671" s="3" t="s">
        <v>4087</v>
      </c>
      <c r="M3671" s="3" t="s">
        <v>4091</v>
      </c>
      <c r="N3671" s="3" t="s">
        <v>4092</v>
      </c>
      <c r="O3671" s="3" t="s">
        <v>4093</v>
      </c>
      <c r="P3671" s="3" t="s">
        <v>4094</v>
      </c>
      <c r="Q3671" s="3" t="s">
        <v>4090</v>
      </c>
      <c r="R3671" s="3" t="s">
        <v>4087</v>
      </c>
      <c r="S3671" s="3" t="s">
        <v>4095</v>
      </c>
      <c r="T3671" s="3" t="s">
        <v>4089</v>
      </c>
      <c r="U3671" s="3" t="s">
        <v>4096</v>
      </c>
      <c r="V3671" s="3" t="s">
        <v>4097</v>
      </c>
      <c r="W3671" s="3" t="s">
        <v>4098</v>
      </c>
      <c r="X3671" s="3" t="s">
        <v>4099</v>
      </c>
      <c r="Y3671" s="3" t="s">
        <v>4100</v>
      </c>
      <c r="Z3671" s="3" t="s">
        <v>4090</v>
      </c>
    </row>
    <row r="3672">
      <c r="A3672" s="3">
        <v>1124.0</v>
      </c>
      <c r="B3672" s="3" t="s">
        <v>6738</v>
      </c>
      <c r="C3672" s="3" t="s">
        <v>190</v>
      </c>
      <c r="D3672" s="3" t="s">
        <v>4101</v>
      </c>
      <c r="E3672" s="3" t="s">
        <v>7444</v>
      </c>
      <c r="F3672" s="3" t="s">
        <v>4086</v>
      </c>
      <c r="G3672" s="3" t="str">
        <f>IFERROR(__xludf.DUMMYFUNCTION("GOOGLETRANSLATE(D3672,""fr"",""es"")"),"látigo")</f>
        <v>látigo</v>
      </c>
    </row>
    <row r="3673">
      <c r="A3673" s="3">
        <v>1125.0</v>
      </c>
      <c r="B3673" s="3" t="s">
        <v>6738</v>
      </c>
      <c r="C3673" s="3" t="s">
        <v>190</v>
      </c>
      <c r="D3673" s="3" t="s">
        <v>4102</v>
      </c>
      <c r="E3673" s="3" t="s">
        <v>7444</v>
      </c>
      <c r="F3673" s="3" t="s">
        <v>4086</v>
      </c>
      <c r="G3673" s="3" t="str">
        <f>IFERROR(__xludf.DUMMYFUNCTION("GOOGLETRANSLATE(D3673,""fr"",""es"")"),"musgo")</f>
        <v>musgo</v>
      </c>
    </row>
    <row r="3674">
      <c r="A3674" s="3">
        <v>1126.0</v>
      </c>
      <c r="B3674" s="3" t="s">
        <v>6738</v>
      </c>
      <c r="C3674" s="3" t="s">
        <v>190</v>
      </c>
      <c r="D3674" s="3" t="s">
        <v>4103</v>
      </c>
      <c r="E3674" s="3" t="s">
        <v>3947</v>
      </c>
      <c r="F3674" s="3" t="s">
        <v>3948</v>
      </c>
      <c r="G3674" s="3" t="str">
        <f>IFERROR(__xludf.DUMMYFUNCTION("GOOGLETRANSLATE(D3674,""fr"",""es"")"),"deber")</f>
        <v>deber</v>
      </c>
      <c r="H3674" s="3" t="s">
        <v>4104</v>
      </c>
      <c r="I3674" s="3" t="s">
        <v>4105</v>
      </c>
      <c r="J3674" s="3" t="s">
        <v>4104</v>
      </c>
      <c r="K3674" s="3" t="s">
        <v>4106</v>
      </c>
      <c r="L3674" s="3" t="s">
        <v>4104</v>
      </c>
      <c r="M3674" s="3" t="s">
        <v>4104</v>
      </c>
    </row>
    <row r="3675">
      <c r="A3675" s="3">
        <v>1127.0</v>
      </c>
      <c r="B3675" s="3" t="s">
        <v>6738</v>
      </c>
      <c r="C3675" s="3" t="s">
        <v>190</v>
      </c>
      <c r="D3675" s="3" t="s">
        <v>4107</v>
      </c>
      <c r="E3675" s="3" t="s">
        <v>3947</v>
      </c>
      <c r="F3675" s="3" t="s">
        <v>3948</v>
      </c>
      <c r="G3675" s="3" t="str">
        <f>IFERROR(__xludf.DUMMYFUNCTION("GOOGLETRANSLATE(D3675,""fr"",""es"")"),"movimientos")</f>
        <v>movimientos</v>
      </c>
    </row>
    <row r="3676">
      <c r="A3676" s="3">
        <v>1128.0</v>
      </c>
      <c r="B3676" s="3" t="s">
        <v>6738</v>
      </c>
      <c r="C3676" s="3" t="s">
        <v>190</v>
      </c>
      <c r="D3676" s="3" t="s">
        <v>7445</v>
      </c>
      <c r="E3676" s="3" t="s">
        <v>7446</v>
      </c>
      <c r="F3676" s="3" t="s">
        <v>7447</v>
      </c>
      <c r="G3676" s="3" t="str">
        <f>IFERROR(__xludf.DUMMYFUNCTION("GOOGLETRANSLATE(D3676,""fr"",""es"")"),"mítico")</f>
        <v>mítico</v>
      </c>
      <c r="H3676" s="3" t="s">
        <v>7448</v>
      </c>
      <c r="I3676" s="3" t="s">
        <v>7449</v>
      </c>
      <c r="J3676" s="3" t="s">
        <v>7450</v>
      </c>
      <c r="K3676" s="3" t="s">
        <v>7451</v>
      </c>
      <c r="L3676" s="3" t="s">
        <v>7452</v>
      </c>
    </row>
    <row r="3677">
      <c r="A3677" s="3">
        <v>1129.0</v>
      </c>
      <c r="B3677" s="3" t="s">
        <v>6738</v>
      </c>
      <c r="C3677" s="3" t="s">
        <v>190</v>
      </c>
      <c r="D3677" s="3" t="s">
        <v>7453</v>
      </c>
      <c r="E3677" s="3" t="s">
        <v>7446</v>
      </c>
      <c r="F3677" s="3" t="s">
        <v>7447</v>
      </c>
      <c r="G3677" s="3" t="str">
        <f>IFERROR(__xludf.DUMMYFUNCTION("GOOGLETRANSLATE(D3677,""fr"",""es"")"),"mítico")</f>
        <v>mítico</v>
      </c>
    </row>
    <row r="3678">
      <c r="A3678" s="3">
        <v>1130.0</v>
      </c>
      <c r="B3678" s="3" t="s">
        <v>6738</v>
      </c>
      <c r="C3678" s="3" t="s">
        <v>190</v>
      </c>
      <c r="D3678" s="3" t="s">
        <v>4114</v>
      </c>
      <c r="E3678" s="3" t="s">
        <v>4115</v>
      </c>
      <c r="F3678" s="3" t="s">
        <v>4116</v>
      </c>
      <c r="G3678" s="3" t="str">
        <f>IFERROR(__xludf.DUMMYFUNCTION("GOOGLETRANSLATE(D3678,""fr"",""es"")"),"no'")</f>
        <v>no'</v>
      </c>
    </row>
    <row r="3679">
      <c r="A3679" s="3">
        <v>1131.0</v>
      </c>
      <c r="B3679" s="3" t="s">
        <v>6738</v>
      </c>
      <c r="C3679" s="3" t="s">
        <v>190</v>
      </c>
      <c r="D3679" s="3" t="s">
        <v>7454</v>
      </c>
      <c r="E3679" s="3" t="s">
        <v>7455</v>
      </c>
      <c r="F3679" s="3" t="s">
        <v>7454</v>
      </c>
      <c r="G3679" s="3" t="str">
        <f>IFERROR(__xludf.DUMMYFUNCTION("GOOGLETRANSLATE(D3679,""fr"",""es"")"),"n / A")</f>
        <v>n / A</v>
      </c>
      <c r="H3679" s="3" t="s">
        <v>7456</v>
      </c>
      <c r="I3679" s="3" t="s">
        <v>7457</v>
      </c>
      <c r="J3679" s="3" t="s">
        <v>7458</v>
      </c>
    </row>
    <row r="3680">
      <c r="A3680" s="3">
        <v>1132.0</v>
      </c>
      <c r="B3680" s="3" t="s">
        <v>6738</v>
      </c>
      <c r="C3680" s="3" t="s">
        <v>190</v>
      </c>
      <c r="D3680" s="3" t="s">
        <v>7459</v>
      </c>
      <c r="E3680" s="3" t="s">
        <v>7460</v>
      </c>
      <c r="F3680" s="3" t="s">
        <v>7459</v>
      </c>
      <c r="G3680" s="3" t="str">
        <f>IFERROR(__xludf.DUMMYFUNCTION("GOOGLETRANSLATE(D3680,""fr"",""es"")"),"chica")</f>
        <v>chica</v>
      </c>
      <c r="H3680" s="3" t="s">
        <v>7461</v>
      </c>
      <c r="I3680" s="3" t="s">
        <v>5251</v>
      </c>
      <c r="J3680" s="3" t="s">
        <v>7462</v>
      </c>
      <c r="K3680" s="3" t="s">
        <v>7463</v>
      </c>
      <c r="L3680" s="3" t="s">
        <v>7464</v>
      </c>
      <c r="M3680" s="3" t="s">
        <v>7465</v>
      </c>
      <c r="N3680" s="3" t="s">
        <v>7461</v>
      </c>
      <c r="O3680" s="3" t="s">
        <v>7466</v>
      </c>
    </row>
    <row r="3681">
      <c r="A3681" s="3">
        <v>1133.0</v>
      </c>
      <c r="B3681" s="3" t="s">
        <v>6738</v>
      </c>
      <c r="C3681" s="3" t="s">
        <v>190</v>
      </c>
      <c r="D3681" s="3" t="s">
        <v>7467</v>
      </c>
      <c r="E3681" s="3" t="s">
        <v>7460</v>
      </c>
      <c r="F3681" s="3" t="s">
        <v>7459</v>
      </c>
      <c r="G3681" s="3" t="str">
        <f>IFERROR(__xludf.DUMMYFUNCTION("GOOGLETRANSLATE(D3681,""fr"",""es"")"),"nanas")</f>
        <v>nanas</v>
      </c>
    </row>
    <row r="3682">
      <c r="A3682" s="3">
        <v>1134.0</v>
      </c>
      <c r="B3682" s="3" t="s">
        <v>6738</v>
      </c>
      <c r="C3682" s="3" t="s">
        <v>190</v>
      </c>
      <c r="D3682" s="3" t="s">
        <v>4137</v>
      </c>
      <c r="E3682" s="3" t="s">
        <v>4138</v>
      </c>
      <c r="F3682" s="3" t="s">
        <v>4139</v>
      </c>
      <c r="G3682" s="3" t="str">
        <f>IFERROR(__xludf.DUMMYFUNCTION("GOOGLETRANSLATE(D3682,""fr"",""es"")"),"Siesta")</f>
        <v>Siesta</v>
      </c>
    </row>
    <row r="3683">
      <c r="A3683" s="3">
        <v>1135.0</v>
      </c>
      <c r="B3683" s="3" t="s">
        <v>6738</v>
      </c>
      <c r="C3683" s="3" t="s">
        <v>190</v>
      </c>
      <c r="D3683" s="3" t="s">
        <v>7468</v>
      </c>
      <c r="E3683" s="3" t="s">
        <v>4141</v>
      </c>
      <c r="F3683" s="3" t="s">
        <v>4142</v>
      </c>
      <c r="G3683" s="3" t="str">
        <f>IFERROR(__xludf.DUMMYFUNCTION("GOOGLETRANSLATE(D3683,""fr"",""es"")"),"nappa")</f>
        <v>nappa</v>
      </c>
    </row>
    <row r="3684">
      <c r="A3684" s="3">
        <v>1136.0</v>
      </c>
      <c r="B3684" s="3" t="s">
        <v>6738</v>
      </c>
      <c r="C3684" s="3" t="s">
        <v>190</v>
      </c>
      <c r="D3684" s="3" t="s">
        <v>4146</v>
      </c>
      <c r="E3684" s="3" t="s">
        <v>4147</v>
      </c>
      <c r="F3684" s="3" t="s">
        <v>4148</v>
      </c>
      <c r="G3684" s="3" t="str">
        <f>IFERROR(__xludf.DUMMYFUNCTION("GOOGLETRANSLATE(D3684,""fr"",""es"")"),"siesta")</f>
        <v>siesta</v>
      </c>
    </row>
    <row r="3685">
      <c r="A3685" s="3">
        <v>1137.0</v>
      </c>
      <c r="B3685" s="3" t="s">
        <v>6738</v>
      </c>
      <c r="C3685" s="3" t="s">
        <v>190</v>
      </c>
      <c r="D3685" s="3" t="s">
        <v>7469</v>
      </c>
      <c r="E3685" s="3" t="s">
        <v>4141</v>
      </c>
      <c r="F3685" s="3" t="s">
        <v>4142</v>
      </c>
      <c r="G3685" s="3" t="str">
        <f>IFERROR(__xludf.DUMMYFUNCTION("GOOGLETRANSLATE(D3685,""fr"",""es"")"),"pizca")</f>
        <v>pizca</v>
      </c>
    </row>
    <row r="3686">
      <c r="A3686" s="3">
        <v>1138.0</v>
      </c>
      <c r="B3686" s="3" t="s">
        <v>6738</v>
      </c>
      <c r="C3686" s="3" t="s">
        <v>190</v>
      </c>
      <c r="D3686" s="3" t="s">
        <v>4149</v>
      </c>
      <c r="E3686" s="3" t="s">
        <v>4150</v>
      </c>
      <c r="F3686" s="3" t="s">
        <v>4151</v>
      </c>
      <c r="G3686" s="3" t="str">
        <f>IFERROR(__xludf.DUMMYFUNCTION("GOOGLETRANSLATE(D3686,""fr"",""es"")"),"pizca")</f>
        <v>pizca</v>
      </c>
    </row>
    <row r="3687">
      <c r="A3687" s="3">
        <v>1139.0</v>
      </c>
      <c r="B3687" s="3" t="s">
        <v>6738</v>
      </c>
      <c r="C3687" s="3" t="s">
        <v>190</v>
      </c>
      <c r="D3687" s="3" t="s">
        <v>4152</v>
      </c>
      <c r="E3687" s="3" t="s">
        <v>4150</v>
      </c>
      <c r="F3687" s="3" t="s">
        <v>4151</v>
      </c>
      <c r="G3687" s="3" t="str">
        <f>IFERROR(__xludf.DUMMYFUNCTION("GOOGLETRANSLATE(D3687,""fr"",""es"")"),"pizca")</f>
        <v>pizca</v>
      </c>
    </row>
    <row r="3688">
      <c r="A3688" s="3">
        <v>1140.0</v>
      </c>
      <c r="B3688" s="3" t="s">
        <v>6738</v>
      </c>
      <c r="C3688" s="3" t="s">
        <v>190</v>
      </c>
      <c r="D3688" s="3" t="s">
        <v>4153</v>
      </c>
      <c r="E3688" s="3" t="s">
        <v>4150</v>
      </c>
      <c r="F3688" s="3" t="s">
        <v>4151</v>
      </c>
      <c r="G3688" s="3" t="str">
        <f>IFERROR(__xludf.DUMMYFUNCTION("GOOGLETRANSLATE(D3688,""fr"",""es"")"),"trapas")</f>
        <v>trapas</v>
      </c>
    </row>
    <row r="3689">
      <c r="A3689" s="3">
        <v>1141.0</v>
      </c>
      <c r="B3689" s="3" t="s">
        <v>6738</v>
      </c>
      <c r="C3689" s="3" t="s">
        <v>190</v>
      </c>
      <c r="D3689" s="3" t="s">
        <v>7470</v>
      </c>
      <c r="E3689" s="3" t="s">
        <v>4141</v>
      </c>
      <c r="F3689" s="3" t="s">
        <v>4142</v>
      </c>
      <c r="G3689" s="3" t="str">
        <f>IFERROR(__xludf.DUMMYFUNCTION("GOOGLETRANSLATE(D3689,""fr"",""es"")"),"napperas")</f>
        <v>napperas</v>
      </c>
    </row>
    <row r="3690">
      <c r="A3690" s="3">
        <v>1142.0</v>
      </c>
      <c r="B3690" s="3" t="s">
        <v>6738</v>
      </c>
      <c r="C3690" s="3" t="s">
        <v>190</v>
      </c>
      <c r="D3690" s="3" t="s">
        <v>4154</v>
      </c>
      <c r="E3690" s="3" t="s">
        <v>4138</v>
      </c>
      <c r="F3690" s="3" t="s">
        <v>4139</v>
      </c>
      <c r="G3690" s="3" t="str">
        <f>IFERROR(__xludf.DUMMYFUNCTION("GOOGLETRANSLATE(D3690,""fr"",""es"")"),"capa")</f>
        <v>capa</v>
      </c>
      <c r="H3690" s="3" t="s">
        <v>4155</v>
      </c>
      <c r="I3690" s="3" t="s">
        <v>4156</v>
      </c>
      <c r="J3690" s="3" t="s">
        <v>918</v>
      </c>
      <c r="K3690" s="3" t="s">
        <v>4157</v>
      </c>
    </row>
    <row r="3691">
      <c r="A3691" s="3">
        <v>1143.0</v>
      </c>
      <c r="B3691" s="3" t="s">
        <v>6738</v>
      </c>
      <c r="C3691" s="3" t="s">
        <v>190</v>
      </c>
      <c r="D3691" s="3" t="s">
        <v>4158</v>
      </c>
      <c r="E3691" s="3" t="s">
        <v>4138</v>
      </c>
      <c r="F3691" s="3" t="s">
        <v>4139</v>
      </c>
      <c r="G3691" s="3" t="str">
        <f>IFERROR(__xludf.DUMMYFUNCTION("GOOGLETRANSLATE(D3691,""fr"",""es"")"),"Manteles")</f>
        <v>Manteles</v>
      </c>
    </row>
    <row r="3692">
      <c r="A3692" s="3">
        <v>1144.0</v>
      </c>
      <c r="B3692" s="3" t="s">
        <v>6738</v>
      </c>
      <c r="C3692" s="3" t="s">
        <v>190</v>
      </c>
      <c r="D3692" s="3" t="s">
        <v>4159</v>
      </c>
      <c r="E3692" s="3" t="s">
        <v>4138</v>
      </c>
      <c r="F3692" s="3" t="s">
        <v>4139</v>
      </c>
      <c r="G3692" s="3" t="str">
        <f>IFERROR(__xludf.DUMMYFUNCTION("GOOGLETRANSLATE(D3692,""fr"",""es"")"),"buhonde")</f>
        <v>buhonde</v>
      </c>
    </row>
    <row r="3693">
      <c r="A3693" s="3">
        <v>1145.0</v>
      </c>
      <c r="B3693" s="3" t="s">
        <v>6738</v>
      </c>
      <c r="C3693" s="3" t="s">
        <v>190</v>
      </c>
      <c r="D3693" s="3" t="s">
        <v>4160</v>
      </c>
      <c r="E3693" s="3" t="s">
        <v>4161</v>
      </c>
      <c r="F3693" s="3" t="s">
        <v>4162</v>
      </c>
      <c r="G3693" s="3" t="str">
        <f>IFERROR(__xludf.DUMMYFUNCTION("GOOGLETRANSLATE(D3693,""fr"",""es"")"),"siesta")</f>
        <v>siesta</v>
      </c>
    </row>
    <row r="3694">
      <c r="A3694" s="3">
        <v>1146.0</v>
      </c>
      <c r="B3694" s="3" t="s">
        <v>6738</v>
      </c>
      <c r="C3694" s="3" t="s">
        <v>190</v>
      </c>
      <c r="D3694" s="3" t="s">
        <v>4163</v>
      </c>
      <c r="E3694" s="3" t="s">
        <v>4161</v>
      </c>
      <c r="F3694" s="3" t="s">
        <v>4162</v>
      </c>
      <c r="G3694" s="3" t="str">
        <f>IFERROR(__xludf.DUMMYFUNCTION("GOOGLETRANSLATE(D3694,""fr"",""es"")"),"notas")</f>
        <v>notas</v>
      </c>
    </row>
    <row r="3695">
      <c r="A3695" s="3">
        <v>1147.0</v>
      </c>
      <c r="B3695" s="3" t="s">
        <v>6738</v>
      </c>
      <c r="C3695" s="3" t="s">
        <v>190</v>
      </c>
      <c r="D3695" s="3" t="s">
        <v>4164</v>
      </c>
      <c r="E3695" s="3" t="s">
        <v>4165</v>
      </c>
      <c r="F3695" s="3" t="s">
        <v>4164</v>
      </c>
      <c r="G3695" s="3" t="str">
        <f>IFERROR(__xludf.DUMMYFUNCTION("GOOGLETRANSLATE(D3695,""fr"",""es"")"),"nativo")</f>
        <v>nativo</v>
      </c>
    </row>
    <row r="3696">
      <c r="A3696" s="3">
        <v>1148.0</v>
      </c>
      <c r="B3696" s="3" t="s">
        <v>6738</v>
      </c>
      <c r="C3696" s="3" t="s">
        <v>190</v>
      </c>
      <c r="D3696" s="3" t="s">
        <v>4166</v>
      </c>
      <c r="E3696" s="3" t="s">
        <v>4165</v>
      </c>
      <c r="F3696" s="3" t="s">
        <v>4164</v>
      </c>
      <c r="G3696" s="3" t="str">
        <f>IFERROR(__xludf.DUMMYFUNCTION("GOOGLETRANSLATE(D3696,""fr"",""es"")"),"nativo")</f>
        <v>nativo</v>
      </c>
    </row>
    <row r="3697">
      <c r="A3697" s="3">
        <v>1149.0</v>
      </c>
      <c r="B3697" s="3" t="s">
        <v>6738</v>
      </c>
      <c r="C3697" s="3" t="s">
        <v>190</v>
      </c>
      <c r="D3697" s="3" t="s">
        <v>4167</v>
      </c>
      <c r="E3697" s="3" t="s">
        <v>4165</v>
      </c>
      <c r="F3697" s="3" t="s">
        <v>4164</v>
      </c>
      <c r="G3697" s="3" t="str">
        <f>IFERROR(__xludf.DUMMYFUNCTION("GOOGLETRANSLATE(D3697,""fr"",""es"")"),"nativo")</f>
        <v>nativo</v>
      </c>
    </row>
    <row r="3698">
      <c r="A3698" s="3">
        <v>1150.0</v>
      </c>
      <c r="B3698" s="3" t="s">
        <v>6738</v>
      </c>
      <c r="C3698" s="3" t="s">
        <v>190</v>
      </c>
      <c r="D3698" s="3" t="s">
        <v>4172</v>
      </c>
      <c r="E3698" s="3" t="s">
        <v>4165</v>
      </c>
      <c r="F3698" s="3" t="s">
        <v>4164</v>
      </c>
      <c r="G3698" s="3" t="str">
        <f>IFERROR(__xludf.DUMMYFUNCTION("GOOGLETRANSLATE(D3698,""fr"",""es"")"),"nativo")</f>
        <v>nativo</v>
      </c>
    </row>
    <row r="3699">
      <c r="A3699" s="3">
        <v>1151.0</v>
      </c>
      <c r="B3699" s="3" t="s">
        <v>6738</v>
      </c>
      <c r="C3699" s="3" t="s">
        <v>190</v>
      </c>
      <c r="D3699" s="3" t="s">
        <v>7471</v>
      </c>
      <c r="E3699" s="3" t="s">
        <v>4174</v>
      </c>
      <c r="F3699" s="3" t="s">
        <v>4175</v>
      </c>
      <c r="G3699" s="3" t="str">
        <f>IFERROR(__xludf.DUMMYFUNCTION("GOOGLETRANSLATE(D3699,""fr"",""es"")"),"natta")</f>
        <v>natta</v>
      </c>
    </row>
    <row r="3700">
      <c r="A3700" s="3">
        <v>1152.0</v>
      </c>
      <c r="B3700" s="3" t="s">
        <v>6738</v>
      </c>
      <c r="C3700" s="3" t="s">
        <v>190</v>
      </c>
      <c r="D3700" s="3" t="s">
        <v>4179</v>
      </c>
      <c r="E3700" s="3" t="s">
        <v>4180</v>
      </c>
      <c r="F3700" s="3" t="s">
        <v>4181</v>
      </c>
      <c r="G3700" s="3" t="str">
        <f>IFERROR(__xludf.DUMMYFUNCTION("GOOGLETRANSLATE(D3700,""fr"",""es"")"),"nattâme")</f>
        <v>nattâme</v>
      </c>
    </row>
    <row r="3701">
      <c r="A3701" s="3">
        <v>1153.0</v>
      </c>
      <c r="B3701" s="3" t="s">
        <v>6738</v>
      </c>
      <c r="C3701" s="3" t="s">
        <v>190</v>
      </c>
      <c r="D3701" s="3" t="s">
        <v>7472</v>
      </c>
      <c r="E3701" s="3" t="s">
        <v>4174</v>
      </c>
      <c r="F3701" s="3" t="s">
        <v>4175</v>
      </c>
      <c r="G3701" s="3" t="str">
        <f>IFERROR(__xludf.DUMMYFUNCTION("GOOGLETRANSLATE(D3701,""fr"",""es"")"),"nattas")</f>
        <v>nattas</v>
      </c>
    </row>
    <row r="3702">
      <c r="A3702" s="3">
        <v>1154.0</v>
      </c>
      <c r="B3702" s="3" t="s">
        <v>6738</v>
      </c>
      <c r="C3702" s="3" t="s">
        <v>190</v>
      </c>
      <c r="D3702" s="3" t="s">
        <v>4182</v>
      </c>
      <c r="E3702" s="3" t="s">
        <v>4183</v>
      </c>
      <c r="F3702" s="3" t="s">
        <v>4184</v>
      </c>
      <c r="G3702" s="3" t="str">
        <f>IFERROR(__xludf.DUMMYFUNCTION("GOOGLETRANSLATE(D3702,""fr"",""es"")"),"Natticess")</f>
        <v>Natticess</v>
      </c>
    </row>
    <row r="3703">
      <c r="A3703" s="3">
        <v>1155.0</v>
      </c>
      <c r="B3703" s="3" t="s">
        <v>6738</v>
      </c>
      <c r="C3703" s="3" t="s">
        <v>190</v>
      </c>
      <c r="D3703" s="3" t="s">
        <v>4185</v>
      </c>
      <c r="E3703" s="3" t="s">
        <v>4183</v>
      </c>
      <c r="F3703" s="3" t="s">
        <v>4184</v>
      </c>
      <c r="G3703" s="3" t="str">
        <f>IFERROR(__xludf.DUMMYFUNCTION("GOOGLETRANSLATE(D3703,""fr"",""es"")"),"nattesent")</f>
        <v>nattesent</v>
      </c>
    </row>
    <row r="3704">
      <c r="A3704" s="3">
        <v>1156.0</v>
      </c>
      <c r="B3704" s="3" t="s">
        <v>6738</v>
      </c>
      <c r="C3704" s="3" t="s">
        <v>190</v>
      </c>
      <c r="D3704" s="3" t="s">
        <v>4186</v>
      </c>
      <c r="E3704" s="3" t="s">
        <v>4183</v>
      </c>
      <c r="F3704" s="3" t="s">
        <v>4184</v>
      </c>
      <c r="G3704" s="3" t="str">
        <f>IFERROR(__xludf.DUMMYFUNCTION("GOOGLETRANSLATE(D3704,""fr"",""es"")"),"nattasses")</f>
        <v>nattasses</v>
      </c>
    </row>
    <row r="3705">
      <c r="A3705" s="3">
        <v>1157.0</v>
      </c>
      <c r="B3705" s="3" t="s">
        <v>6738</v>
      </c>
      <c r="C3705" s="3" t="s">
        <v>190</v>
      </c>
      <c r="D3705" s="3" t="s">
        <v>7473</v>
      </c>
      <c r="E3705" s="3" t="s">
        <v>4174</v>
      </c>
      <c r="F3705" s="3" t="s">
        <v>4175</v>
      </c>
      <c r="G3705" s="3" t="str">
        <f>IFERROR(__xludf.DUMMYFUNCTION("GOOGLETRANSLATE(D3705,""fr"",""es"")"),"Nattât")</f>
        <v>Nattât</v>
      </c>
    </row>
    <row r="3706">
      <c r="A3706" s="3">
        <v>1158.0</v>
      </c>
      <c r="B3706" s="3" t="s">
        <v>6738</v>
      </c>
      <c r="C3706" s="3" t="s">
        <v>190</v>
      </c>
      <c r="D3706" s="3" t="s">
        <v>4187</v>
      </c>
      <c r="E3706" s="3" t="s">
        <v>4188</v>
      </c>
      <c r="F3706" s="3" t="s">
        <v>4187</v>
      </c>
      <c r="G3706" s="3" t="str">
        <f>IFERROR(__xludf.DUMMYFUNCTION("GOOGLETRANSLATE(D3706,""fr"",""es"")"),"ninguno de los dos")</f>
        <v>ninguno de los dos</v>
      </c>
      <c r="H3706" s="3" t="s">
        <v>4189</v>
      </c>
      <c r="I3706" s="3" t="s">
        <v>4190</v>
      </c>
      <c r="J3706" s="3" t="s">
        <v>4191</v>
      </c>
    </row>
    <row r="3707">
      <c r="A3707" s="3">
        <v>1159.0</v>
      </c>
      <c r="B3707" s="3" t="s">
        <v>6738</v>
      </c>
      <c r="C3707" s="3" t="s">
        <v>190</v>
      </c>
      <c r="D3707" s="3" t="s">
        <v>7474</v>
      </c>
      <c r="E3707" s="3" t="s">
        <v>7475</v>
      </c>
      <c r="F3707" s="3" t="s">
        <v>4194</v>
      </c>
      <c r="G3707" s="3" t="str">
        <f>IFERROR(__xludf.DUMMYFUNCTION("GOOGLETRANSLATE(D3707,""fr"",""es"")"),"nicha")</f>
        <v>nicha</v>
      </c>
    </row>
    <row r="3708">
      <c r="A3708" s="3">
        <v>1160.0</v>
      </c>
      <c r="B3708" s="3" t="s">
        <v>6738</v>
      </c>
      <c r="C3708" s="3" t="s">
        <v>190</v>
      </c>
      <c r="D3708" s="3" t="s">
        <v>4198</v>
      </c>
      <c r="E3708" s="3" t="s">
        <v>7476</v>
      </c>
      <c r="F3708" s="3" t="s">
        <v>4200</v>
      </c>
      <c r="G3708" s="3" t="str">
        <f>IFERROR(__xludf.DUMMYFUNCTION("GOOGLETRANSLATE(D3708,""fr"",""es"")"),"nichâme")</f>
        <v>nichâme</v>
      </c>
    </row>
    <row r="3709">
      <c r="A3709" s="3">
        <v>1161.0</v>
      </c>
      <c r="B3709" s="3" t="s">
        <v>6738</v>
      </c>
      <c r="C3709" s="3" t="s">
        <v>190</v>
      </c>
      <c r="D3709" s="3" t="s">
        <v>7477</v>
      </c>
      <c r="E3709" s="3" t="s">
        <v>7475</v>
      </c>
      <c r="F3709" s="3" t="s">
        <v>4194</v>
      </c>
      <c r="G3709" s="3" t="str">
        <f>IFERROR(__xludf.DUMMYFUNCTION("GOOGLETRANSLATE(D3709,""fr"",""es"")"),"nichas")</f>
        <v>nichas</v>
      </c>
    </row>
    <row r="3710">
      <c r="A3710" s="3">
        <v>1162.0</v>
      </c>
      <c r="B3710" s="3" t="s">
        <v>6738</v>
      </c>
      <c r="C3710" s="3" t="s">
        <v>190</v>
      </c>
      <c r="D3710" s="3" t="s">
        <v>4201</v>
      </c>
      <c r="E3710" s="3" t="s">
        <v>7478</v>
      </c>
      <c r="F3710" s="3" t="s">
        <v>4203</v>
      </c>
      <c r="G3710" s="3" t="str">
        <f>IFERROR(__xludf.DUMMYFUNCTION("GOOGLETRANSLATE(D3710,""fr"",""es"")"),"nichasse")</f>
        <v>nichasse</v>
      </c>
    </row>
    <row r="3711">
      <c r="A3711" s="3">
        <v>1163.0</v>
      </c>
      <c r="B3711" s="3" t="s">
        <v>6738</v>
      </c>
      <c r="C3711" s="3" t="s">
        <v>190</v>
      </c>
      <c r="D3711" s="3" t="s">
        <v>4204</v>
      </c>
      <c r="E3711" s="3" t="s">
        <v>7478</v>
      </c>
      <c r="F3711" s="3" t="s">
        <v>4203</v>
      </c>
      <c r="G3711" s="3" t="str">
        <f>IFERROR(__xludf.DUMMYFUNCTION("GOOGLETRANSLATE(D3711,""fr"",""es"")"),"nichass")</f>
        <v>nichass</v>
      </c>
    </row>
    <row r="3712">
      <c r="A3712" s="3">
        <v>1164.0</v>
      </c>
      <c r="B3712" s="3" t="s">
        <v>6738</v>
      </c>
      <c r="C3712" s="3" t="s">
        <v>190</v>
      </c>
      <c r="D3712" s="3" t="s">
        <v>4205</v>
      </c>
      <c r="E3712" s="3" t="s">
        <v>7478</v>
      </c>
      <c r="F3712" s="3" t="s">
        <v>4203</v>
      </c>
      <c r="G3712" s="3" t="str">
        <f>IFERROR(__xludf.DUMMYFUNCTION("GOOGLETRANSLATE(D3712,""fr"",""es"")"),"nichass")</f>
        <v>nichass</v>
      </c>
    </row>
    <row r="3713">
      <c r="A3713" s="3">
        <v>1165.0</v>
      </c>
      <c r="B3713" s="3" t="s">
        <v>6738</v>
      </c>
      <c r="C3713" s="3" t="s">
        <v>190</v>
      </c>
      <c r="D3713" s="3" t="s">
        <v>7479</v>
      </c>
      <c r="E3713" s="3" t="s">
        <v>7475</v>
      </c>
      <c r="F3713" s="3" t="s">
        <v>4194</v>
      </c>
      <c r="G3713" s="3" t="str">
        <f>IFERROR(__xludf.DUMMYFUNCTION("GOOGLETRANSLATE(D3713,""fr"",""es"")"),"nich.")</f>
        <v>nich.</v>
      </c>
    </row>
    <row r="3714">
      <c r="A3714" s="3">
        <v>1166.0</v>
      </c>
      <c r="B3714" s="3" t="s">
        <v>6738</v>
      </c>
      <c r="C3714" s="3" t="s">
        <v>190</v>
      </c>
      <c r="D3714" s="3" t="s">
        <v>4206</v>
      </c>
      <c r="E3714" s="3" t="s">
        <v>7480</v>
      </c>
      <c r="F3714" s="3" t="s">
        <v>4208</v>
      </c>
      <c r="G3714" s="3" t="str">
        <f>IFERROR(__xludf.DUMMYFUNCTION("GOOGLETRANSLATE(D3714,""fr"",""es"")"),"nicho")</f>
        <v>nicho</v>
      </c>
      <c r="H3714" s="3" t="s">
        <v>4209</v>
      </c>
      <c r="I3714" s="3" t="s">
        <v>4210</v>
      </c>
      <c r="J3714" s="3" t="s">
        <v>4211</v>
      </c>
      <c r="K3714" s="3" t="s">
        <v>4212</v>
      </c>
      <c r="L3714" s="3" t="s">
        <v>4206</v>
      </c>
      <c r="M3714" s="3" t="s">
        <v>4210</v>
      </c>
      <c r="N3714" s="3" t="s">
        <v>4212</v>
      </c>
      <c r="O3714" s="3" t="s">
        <v>4213</v>
      </c>
      <c r="P3714" s="3" t="s">
        <v>4206</v>
      </c>
      <c r="Q3714" s="3" t="s">
        <v>4214</v>
      </c>
    </row>
    <row r="3715">
      <c r="A3715" s="3">
        <v>1167.0</v>
      </c>
      <c r="B3715" s="3" t="s">
        <v>6738</v>
      </c>
      <c r="C3715" s="3" t="s">
        <v>190</v>
      </c>
      <c r="D3715" s="3" t="s">
        <v>4215</v>
      </c>
      <c r="E3715" s="3" t="s">
        <v>7480</v>
      </c>
      <c r="F3715" s="3" t="s">
        <v>4208</v>
      </c>
      <c r="G3715" s="3" t="str">
        <f>IFERROR(__xludf.DUMMYFUNCTION("GOOGLETRANSLATE(D3715,""fr"",""es"")"),"nicho")</f>
        <v>nicho</v>
      </c>
    </row>
    <row r="3716">
      <c r="A3716" s="3">
        <v>1168.0</v>
      </c>
      <c r="B3716" s="3" t="s">
        <v>6738</v>
      </c>
      <c r="C3716" s="3" t="s">
        <v>190</v>
      </c>
      <c r="D3716" s="3" t="s">
        <v>4216</v>
      </c>
      <c r="E3716" s="3" t="s">
        <v>7480</v>
      </c>
      <c r="F3716" s="3" t="s">
        <v>4208</v>
      </c>
      <c r="G3716" s="3" t="str">
        <f>IFERROR(__xludf.DUMMYFUNCTION("GOOGLETRANSLATE(D3716,""fr"",""es"")"),"nichos")</f>
        <v>nichos</v>
      </c>
    </row>
    <row r="3717">
      <c r="A3717" s="3">
        <v>1169.0</v>
      </c>
      <c r="B3717" s="3" t="s">
        <v>6738</v>
      </c>
      <c r="C3717" s="3" t="s">
        <v>190</v>
      </c>
      <c r="D3717" s="3" t="s">
        <v>4234</v>
      </c>
      <c r="E3717" s="3" t="s">
        <v>4188</v>
      </c>
      <c r="F3717" s="3" t="s">
        <v>4187</v>
      </c>
      <c r="G3717" s="3" t="str">
        <f>IFERROR(__xludf.DUMMYFUNCTION("GOOGLETRANSLATE(D3717,""fr"",""es"")"),"nido")</f>
        <v>nido</v>
      </c>
      <c r="H3717" s="3" t="s">
        <v>4235</v>
      </c>
      <c r="I3717" s="3" t="s">
        <v>4236</v>
      </c>
      <c r="J3717" s="3" t="s">
        <v>4237</v>
      </c>
      <c r="K3717" s="3" t="s">
        <v>4238</v>
      </c>
      <c r="L3717" s="3" t="s">
        <v>4235</v>
      </c>
      <c r="M3717" s="3" t="s">
        <v>4239</v>
      </c>
      <c r="N3717" s="3" t="s">
        <v>4240</v>
      </c>
      <c r="O3717" s="3" t="s">
        <v>4235</v>
      </c>
      <c r="P3717" s="3" t="s">
        <v>4235</v>
      </c>
      <c r="Q3717" s="3" t="s">
        <v>4235</v>
      </c>
      <c r="R3717" s="3" t="s">
        <v>4235</v>
      </c>
      <c r="S3717" s="3" t="s">
        <v>4235</v>
      </c>
      <c r="T3717" s="3" t="s">
        <v>4241</v>
      </c>
      <c r="U3717" s="3" t="s">
        <v>998</v>
      </c>
      <c r="V3717" s="3" t="s">
        <v>4235</v>
      </c>
      <c r="W3717" s="3" t="s">
        <v>4235</v>
      </c>
    </row>
    <row r="3718">
      <c r="A3718" s="3">
        <v>1170.0</v>
      </c>
      <c r="B3718" s="3" t="s">
        <v>6738</v>
      </c>
      <c r="C3718" s="3" t="s">
        <v>190</v>
      </c>
      <c r="D3718" s="3" t="s">
        <v>4242</v>
      </c>
      <c r="E3718" s="3" t="s">
        <v>4188</v>
      </c>
      <c r="F3718" s="3" t="s">
        <v>4187</v>
      </c>
      <c r="G3718" s="3" t="str">
        <f>IFERROR(__xludf.DUMMYFUNCTION("GOOGLETRANSLATE(D3718,""fr"",""es"")"),"nidos")</f>
        <v>nidos</v>
      </c>
    </row>
    <row r="3719">
      <c r="A3719" s="3">
        <v>1171.0</v>
      </c>
      <c r="B3719" s="3" t="s">
        <v>6738</v>
      </c>
      <c r="C3719" s="3" t="s">
        <v>190</v>
      </c>
      <c r="D3719" s="3" t="s">
        <v>4243</v>
      </c>
      <c r="E3719" s="3" t="s">
        <v>4188</v>
      </c>
      <c r="F3719" s="3" t="s">
        <v>4187</v>
      </c>
      <c r="G3719" s="3" t="str">
        <f>IFERROR(__xludf.DUMMYFUNCTION("GOOGLETRANSLATE(D3719,""fr"",""es"")"),"nie")</f>
        <v>nie</v>
      </c>
    </row>
    <row r="3720">
      <c r="A3720" s="3">
        <v>1172.0</v>
      </c>
      <c r="B3720" s="3" t="s">
        <v>6738</v>
      </c>
      <c r="C3720" s="3" t="s">
        <v>190</v>
      </c>
      <c r="D3720" s="3" t="s">
        <v>4244</v>
      </c>
      <c r="E3720" s="3" t="s">
        <v>4188</v>
      </c>
      <c r="F3720" s="3" t="s">
        <v>4187</v>
      </c>
      <c r="G3720" s="3" t="str">
        <f>IFERROR(__xludf.DUMMYFUNCTION("GOOGLETRANSLATE(D3720,""fr"",""es"")"),"negar")</f>
        <v>negar</v>
      </c>
    </row>
    <row r="3721">
      <c r="A3721" s="3">
        <v>1173.0</v>
      </c>
      <c r="B3721" s="3" t="s">
        <v>6738</v>
      </c>
      <c r="C3721" s="3" t="s">
        <v>190</v>
      </c>
      <c r="D3721" s="3" t="s">
        <v>4245</v>
      </c>
      <c r="E3721" s="3" t="s">
        <v>4188</v>
      </c>
      <c r="F3721" s="3" t="s">
        <v>4187</v>
      </c>
      <c r="G3721" s="3" t="str">
        <f>IFERROR(__xludf.DUMMYFUNCTION("GOOGLETRANSLATE(D3721,""fr"",""es"")"),"nies")</f>
        <v>nies</v>
      </c>
    </row>
    <row r="3722">
      <c r="A3722" s="3">
        <v>1174.0</v>
      </c>
      <c r="B3722" s="3" t="s">
        <v>6738</v>
      </c>
      <c r="C3722" s="3" t="s">
        <v>190</v>
      </c>
      <c r="D3722" s="3" t="s">
        <v>4246</v>
      </c>
      <c r="E3722" s="3" t="s">
        <v>7481</v>
      </c>
      <c r="F3722" s="3" t="s">
        <v>4248</v>
      </c>
      <c r="G3722" s="3" t="str">
        <f>IFERROR(__xludf.DUMMYFUNCTION("GOOGLETRANSLATE(D3722,""fr"",""es"")"),"Nilo")</f>
        <v>Nilo</v>
      </c>
      <c r="H3722" s="3" t="s">
        <v>4249</v>
      </c>
      <c r="I3722" s="3" t="s">
        <v>4250</v>
      </c>
    </row>
    <row r="3723">
      <c r="A3723" s="3">
        <v>1175.0</v>
      </c>
      <c r="B3723" s="3" t="s">
        <v>6738</v>
      </c>
      <c r="C3723" s="3" t="s">
        <v>190</v>
      </c>
      <c r="D3723" s="3" t="s">
        <v>4251</v>
      </c>
      <c r="E3723" s="3" t="s">
        <v>7482</v>
      </c>
      <c r="F3723" s="3" t="s">
        <v>4251</v>
      </c>
      <c r="G3723" s="3" t="str">
        <f>IFERROR(__xludf.DUMMYFUNCTION("GOOGLETRANSLATE(D3723,""fr"",""es"")"),"Ninos")</f>
        <v>Ninos</v>
      </c>
    </row>
    <row r="3724">
      <c r="A3724" s="3">
        <v>1176.0</v>
      </c>
      <c r="B3724" s="3" t="s">
        <v>6738</v>
      </c>
      <c r="C3724" s="3" t="s">
        <v>190</v>
      </c>
      <c r="D3724" s="3" t="s">
        <v>7483</v>
      </c>
      <c r="E3724" s="3" t="s">
        <v>7484</v>
      </c>
      <c r="F3724" s="3" t="s">
        <v>4255</v>
      </c>
      <c r="G3724" s="3" t="str">
        <f>IFERROR(__xludf.DUMMYFUNCTION("GOOGLETRANSLATE(D3724,""fr"",""es"")"),"Nippa")</f>
        <v>Nippa</v>
      </c>
    </row>
    <row r="3725">
      <c r="A3725" s="3">
        <v>1177.0</v>
      </c>
      <c r="B3725" s="3" t="s">
        <v>6738</v>
      </c>
      <c r="C3725" s="3" t="s">
        <v>190</v>
      </c>
      <c r="D3725" s="3" t="s">
        <v>4259</v>
      </c>
      <c r="E3725" s="3" t="s">
        <v>7485</v>
      </c>
      <c r="F3725" s="3" t="s">
        <v>4261</v>
      </c>
      <c r="G3725" s="3" t="str">
        <f>IFERROR(__xludf.DUMMYFUNCTION("GOOGLETRANSLATE(D3725,""fr"",""es"")"),"nipp")</f>
        <v>nipp</v>
      </c>
    </row>
    <row r="3726">
      <c r="A3726" s="3">
        <v>1178.0</v>
      </c>
      <c r="B3726" s="3" t="s">
        <v>6738</v>
      </c>
      <c r="C3726" s="3" t="s">
        <v>190</v>
      </c>
      <c r="D3726" s="3" t="s">
        <v>7486</v>
      </c>
      <c r="E3726" s="3" t="s">
        <v>7484</v>
      </c>
      <c r="F3726" s="3" t="s">
        <v>4255</v>
      </c>
      <c r="G3726" s="3" t="str">
        <f>IFERROR(__xludf.DUMMYFUNCTION("GOOGLETRANSLATE(D3726,""fr"",""es"")"),"Nippas")</f>
        <v>Nippas</v>
      </c>
    </row>
    <row r="3727">
      <c r="A3727" s="3">
        <v>1179.0</v>
      </c>
      <c r="B3727" s="3" t="s">
        <v>6738</v>
      </c>
      <c r="C3727" s="3" t="s">
        <v>190</v>
      </c>
      <c r="D3727" s="3" t="s">
        <v>4262</v>
      </c>
      <c r="E3727" s="3" t="s">
        <v>7487</v>
      </c>
      <c r="F3727" s="3" t="s">
        <v>4264</v>
      </c>
      <c r="G3727" s="3" t="str">
        <f>IFERROR(__xludf.DUMMYFUNCTION("GOOGLETRANSLATE(D3727,""fr"",""es"")"),"Nippasse")</f>
        <v>Nippasse</v>
      </c>
    </row>
    <row r="3728">
      <c r="A3728" s="3">
        <v>1180.0</v>
      </c>
      <c r="B3728" s="3" t="s">
        <v>6738</v>
      </c>
      <c r="C3728" s="3" t="s">
        <v>190</v>
      </c>
      <c r="D3728" s="3" t="s">
        <v>4265</v>
      </c>
      <c r="E3728" s="3" t="s">
        <v>7487</v>
      </c>
      <c r="F3728" s="3" t="s">
        <v>4264</v>
      </c>
      <c r="G3728" s="3" t="str">
        <f>IFERROR(__xludf.DUMMYFUNCTION("GOOGLETRANSLATE(D3728,""fr"",""es"")"),"nippass")</f>
        <v>nippass</v>
      </c>
    </row>
    <row r="3729">
      <c r="A3729" s="3">
        <v>1181.0</v>
      </c>
      <c r="B3729" s="3" t="s">
        <v>6738</v>
      </c>
      <c r="C3729" s="3" t="s">
        <v>190</v>
      </c>
      <c r="D3729" s="3" t="s">
        <v>4266</v>
      </c>
      <c r="E3729" s="3" t="s">
        <v>7487</v>
      </c>
      <c r="F3729" s="3" t="s">
        <v>4264</v>
      </c>
      <c r="G3729" s="3" t="str">
        <f>IFERROR(__xludf.DUMMYFUNCTION("GOOGLETRANSLATE(D3729,""fr"",""es"")"),"Nippasses")</f>
        <v>Nippasses</v>
      </c>
    </row>
    <row r="3730">
      <c r="A3730" s="3">
        <v>1182.0</v>
      </c>
      <c r="B3730" s="3" t="s">
        <v>6738</v>
      </c>
      <c r="C3730" s="3" t="s">
        <v>190</v>
      </c>
      <c r="D3730" s="3" t="s">
        <v>7488</v>
      </c>
      <c r="E3730" s="3" t="s">
        <v>7484</v>
      </c>
      <c r="F3730" s="3" t="s">
        <v>4255</v>
      </c>
      <c r="G3730" s="3" t="str">
        <f>IFERROR(__xludf.DUMMYFUNCTION("GOOGLETRANSLATE(D3730,""fr"",""es"")"),"nippât")</f>
        <v>nippât</v>
      </c>
    </row>
    <row r="3731">
      <c r="A3731" s="3">
        <v>1183.0</v>
      </c>
      <c r="B3731" s="3" t="s">
        <v>6738</v>
      </c>
      <c r="C3731" s="3" t="s">
        <v>190</v>
      </c>
      <c r="D3731" s="3" t="s">
        <v>4267</v>
      </c>
      <c r="E3731" s="3" t="s">
        <v>7489</v>
      </c>
      <c r="F3731" s="3" t="s">
        <v>4269</v>
      </c>
      <c r="G3731" s="3" t="str">
        <f>IFERROR(__xludf.DUMMYFUNCTION("GOOGLETRANSLATE(D3731,""fr"",""es"")"),"cáscara")</f>
        <v>cáscara</v>
      </c>
    </row>
    <row r="3732">
      <c r="A3732" s="3">
        <v>1184.0</v>
      </c>
      <c r="B3732" s="3" t="s">
        <v>6738</v>
      </c>
      <c r="C3732" s="3" t="s">
        <v>190</v>
      </c>
      <c r="D3732" s="3" t="s">
        <v>4270</v>
      </c>
      <c r="E3732" s="3" t="s">
        <v>7489</v>
      </c>
      <c r="F3732" s="3" t="s">
        <v>4269</v>
      </c>
      <c r="G3732" s="3" t="str">
        <f>IFERROR(__xludf.DUMMYFUNCTION("GOOGLETRANSLATE(D3732,""fr"",""es"")"),"chiquillo")</f>
        <v>chiquillo</v>
      </c>
    </row>
    <row r="3733">
      <c r="A3733" s="3">
        <v>1185.0</v>
      </c>
      <c r="B3733" s="3" t="s">
        <v>6738</v>
      </c>
      <c r="C3733" s="3" t="s">
        <v>190</v>
      </c>
      <c r="D3733" s="3" t="s">
        <v>4271</v>
      </c>
      <c r="E3733" s="3" t="s">
        <v>7489</v>
      </c>
      <c r="F3733" s="3" t="s">
        <v>4269</v>
      </c>
      <c r="G3733" s="3" t="str">
        <f>IFERROR(__xludf.DUMMYFUNCTION("GOOGLETRANSLATE(D3733,""fr"",""es"")"),"madres")</f>
        <v>madres</v>
      </c>
    </row>
    <row r="3734">
      <c r="A3734" s="3">
        <v>1186.0</v>
      </c>
      <c r="B3734" s="3" t="s">
        <v>6738</v>
      </c>
      <c r="C3734" s="3" t="s">
        <v>190</v>
      </c>
      <c r="D3734" s="3" t="s">
        <v>4272</v>
      </c>
      <c r="E3734" s="3" t="s">
        <v>7490</v>
      </c>
      <c r="F3734" s="3" t="s">
        <v>4274</v>
      </c>
      <c r="G3734" s="3" t="str">
        <f>IFERROR(__xludf.DUMMYFUNCTION("GOOGLETRANSLATE(D3734,""fr"",""es"")"),"niñera")</f>
        <v>niñera</v>
      </c>
    </row>
    <row r="3735">
      <c r="A3735" s="3">
        <v>1187.0</v>
      </c>
      <c r="B3735" s="3" t="s">
        <v>6738</v>
      </c>
      <c r="C3735" s="3" t="s">
        <v>190</v>
      </c>
      <c r="D3735" s="3" t="s">
        <v>4275</v>
      </c>
      <c r="E3735" s="3" t="s">
        <v>7490</v>
      </c>
      <c r="F3735" s="3" t="s">
        <v>4274</v>
      </c>
      <c r="G3735" s="3" t="str">
        <f>IFERROR(__xludf.DUMMYFUNCTION("GOOGLETRANSLATE(D3735,""fr"",""es"")"),"mechas")</f>
        <v>mechas</v>
      </c>
    </row>
    <row r="3736">
      <c r="A3736" s="3">
        <v>1188.0</v>
      </c>
      <c r="B3736" s="3" t="s">
        <v>6738</v>
      </c>
      <c r="C3736" s="3" t="s">
        <v>190</v>
      </c>
      <c r="D3736" s="3" t="s">
        <v>4276</v>
      </c>
      <c r="E3736" s="3" t="s">
        <v>4277</v>
      </c>
      <c r="F3736" s="3" t="s">
        <v>4278</v>
      </c>
      <c r="G3736" s="3" t="str">
        <f>IFERROR(__xludf.DUMMYFUNCTION("GOOGLETRANSLATE(D3736,""fr"",""es"")"),"noue")</f>
        <v>noue</v>
      </c>
    </row>
    <row r="3737">
      <c r="A3737" s="3">
        <v>1189.0</v>
      </c>
      <c r="B3737" s="3" t="s">
        <v>6738</v>
      </c>
      <c r="C3737" s="3" t="s">
        <v>190</v>
      </c>
      <c r="D3737" s="3" t="s">
        <v>4279</v>
      </c>
      <c r="E3737" s="3" t="s">
        <v>4277</v>
      </c>
      <c r="F3737" s="3" t="s">
        <v>4278</v>
      </c>
      <c r="G3737" s="3" t="str">
        <f>IFERROR(__xludf.DUMMYFUNCTION("GOOGLETRANSLATE(D3737,""fr"",""es"")"),"Corbata")</f>
        <v>Corbata</v>
      </c>
    </row>
    <row r="3738">
      <c r="A3738" s="3">
        <v>1190.0</v>
      </c>
      <c r="B3738" s="3" t="s">
        <v>6738</v>
      </c>
      <c r="C3738" s="3" t="s">
        <v>190</v>
      </c>
      <c r="D3738" s="3" t="s">
        <v>4280</v>
      </c>
      <c r="E3738" s="3" t="s">
        <v>4277</v>
      </c>
      <c r="F3738" s="3" t="s">
        <v>4278</v>
      </c>
      <c r="G3738" s="3" t="str">
        <f>IFERROR(__xludf.DUMMYFUNCTION("GOOGLETRANSLATE(D3738,""fr"",""es"")"),"toques")</f>
        <v>toques</v>
      </c>
    </row>
    <row r="3739">
      <c r="A3739" s="3">
        <v>1191.0</v>
      </c>
      <c r="B3739" s="3" t="s">
        <v>6738</v>
      </c>
      <c r="C3739" s="3" t="s">
        <v>190</v>
      </c>
      <c r="D3739" s="3" t="s">
        <v>4281</v>
      </c>
      <c r="E3739" s="3" t="s">
        <v>7491</v>
      </c>
      <c r="F3739" s="3" t="s">
        <v>4283</v>
      </c>
      <c r="G3739" s="3" t="str">
        <f>IFERROR(__xludf.DUMMYFUNCTION("GOOGLETRANSLATE(D3739,""fr"",""es"")"),"fideos")</f>
        <v>fideos</v>
      </c>
      <c r="H3739" s="3" t="s">
        <v>4284</v>
      </c>
      <c r="I3739" s="3" t="s">
        <v>4285</v>
      </c>
      <c r="J3739" s="3" t="s">
        <v>4286</v>
      </c>
      <c r="K3739" s="3" t="s">
        <v>4287</v>
      </c>
      <c r="L3739" s="3" t="s">
        <v>4288</v>
      </c>
      <c r="M3739" s="3" t="s">
        <v>4289</v>
      </c>
      <c r="N3739" s="3" t="s">
        <v>4290</v>
      </c>
      <c r="O3739" s="3" t="s">
        <v>4288</v>
      </c>
    </row>
    <row r="3740">
      <c r="A3740" s="3">
        <v>1192.0</v>
      </c>
      <c r="B3740" s="3" t="s">
        <v>6738</v>
      </c>
      <c r="C3740" s="3" t="s">
        <v>190</v>
      </c>
      <c r="D3740" s="3" t="s">
        <v>4291</v>
      </c>
      <c r="E3740" s="3" t="s">
        <v>7491</v>
      </c>
      <c r="F3740" s="3" t="s">
        <v>4283</v>
      </c>
      <c r="G3740" s="3" t="str">
        <f>IFERROR(__xludf.DUMMYFUNCTION("GOOGLETRANSLATE(D3740,""fr"",""es"")"),"fideos")</f>
        <v>fideos</v>
      </c>
      <c r="H3740" s="3" t="s">
        <v>4288</v>
      </c>
    </row>
    <row r="3741">
      <c r="A3741" s="3">
        <v>1193.0</v>
      </c>
      <c r="B3741" s="3" t="s">
        <v>6738</v>
      </c>
      <c r="C3741" s="3" t="s">
        <v>190</v>
      </c>
      <c r="D3741" s="3" t="s">
        <v>4292</v>
      </c>
      <c r="E3741" s="3" t="s">
        <v>7492</v>
      </c>
      <c r="F3741" s="3" t="s">
        <v>4294</v>
      </c>
      <c r="G3741" s="3" t="str">
        <f>IFERROR(__xludf.DUMMYFUNCTION("GOOGLETRANSLATE(D3741,""fr"",""es"")"),"niñera")</f>
        <v>niñera</v>
      </c>
      <c r="H3741" s="3" t="s">
        <v>4295</v>
      </c>
      <c r="I3741" s="3" t="s">
        <v>4296</v>
      </c>
      <c r="J3741" s="3" t="s">
        <v>4297</v>
      </c>
      <c r="K3741" s="3" t="s">
        <v>4295</v>
      </c>
      <c r="L3741" s="3" t="s">
        <v>4298</v>
      </c>
      <c r="M3741" s="3" t="s">
        <v>4299</v>
      </c>
    </row>
    <row r="3742">
      <c r="A3742" s="3">
        <v>1194.0</v>
      </c>
      <c r="B3742" s="3" t="s">
        <v>6738</v>
      </c>
      <c r="C3742" s="3" t="s">
        <v>190</v>
      </c>
      <c r="D3742" s="3" t="s">
        <v>4300</v>
      </c>
      <c r="E3742" s="3" t="s">
        <v>7492</v>
      </c>
      <c r="F3742" s="3" t="s">
        <v>4294</v>
      </c>
      <c r="G3742" s="3" t="str">
        <f>IFERROR(__xludf.DUMMYFUNCTION("GOOGLETRANSLATE(D3742,""fr"",""es"")"),"niñeras")</f>
        <v>niñeras</v>
      </c>
    </row>
    <row r="3743">
      <c r="A3743" s="3">
        <v>1195.0</v>
      </c>
      <c r="B3743" s="3" t="s">
        <v>6738</v>
      </c>
      <c r="C3743" s="3" t="s">
        <v>190</v>
      </c>
      <c r="D3743" s="3" t="s">
        <v>4301</v>
      </c>
      <c r="E3743" s="3" t="s">
        <v>4277</v>
      </c>
      <c r="F3743" s="3" t="s">
        <v>4278</v>
      </c>
      <c r="G3743" s="3" t="str">
        <f>IFERROR(__xludf.DUMMYFUNCTION("GOOGLETRANSLATE(D3743,""fr"",""es"")"),"nosotros")</f>
        <v>nosotros</v>
      </c>
    </row>
    <row r="3744">
      <c r="A3744" s="3">
        <v>1196.0</v>
      </c>
      <c r="B3744" s="3" t="s">
        <v>6738</v>
      </c>
      <c r="C3744" s="3" t="s">
        <v>190</v>
      </c>
      <c r="D3744" s="3" t="s">
        <v>4305</v>
      </c>
      <c r="E3744" s="3" t="s">
        <v>4306</v>
      </c>
      <c r="F3744" s="3" t="s">
        <v>4307</v>
      </c>
      <c r="G3744" s="3" t="str">
        <f>IFERROR(__xludf.DUMMYFUNCTION("GOOGLETRANSLATE(D3744,""fr"",""es"")"),"Dónde")</f>
        <v>Dónde</v>
      </c>
      <c r="H3744" s="3" t="s">
        <v>4308</v>
      </c>
      <c r="I3744" s="3" t="s">
        <v>4309</v>
      </c>
      <c r="J3744" s="3" t="s">
        <v>4310</v>
      </c>
      <c r="K3744" s="3" t="s">
        <v>4311</v>
      </c>
      <c r="L3744" s="3" t="s">
        <v>4312</v>
      </c>
    </row>
    <row r="3745">
      <c r="A3745" s="3">
        <v>1197.0</v>
      </c>
      <c r="B3745" s="3" t="s">
        <v>6738</v>
      </c>
      <c r="C3745" s="3" t="s">
        <v>190</v>
      </c>
      <c r="D3745" s="3" t="s">
        <v>4313</v>
      </c>
      <c r="E3745" s="3" t="s">
        <v>4306</v>
      </c>
      <c r="F3745" s="3" t="s">
        <v>4307</v>
      </c>
      <c r="G3745" s="3" t="str">
        <f>IFERROR(__xludf.DUMMYFUNCTION("GOOGLETRANSLATE(D3745,""fr"",""es"")"),"dónde")</f>
        <v>dónde</v>
      </c>
      <c r="H3745" s="3" t="s">
        <v>2358</v>
      </c>
      <c r="I3745" s="3" t="s">
        <v>4314</v>
      </c>
      <c r="J3745" s="3" t="s">
        <v>4315</v>
      </c>
    </row>
    <row r="3746">
      <c r="A3746" s="3">
        <v>1198.0</v>
      </c>
      <c r="B3746" s="3" t="s">
        <v>6738</v>
      </c>
      <c r="C3746" s="3" t="s">
        <v>190</v>
      </c>
      <c r="D3746" s="3" t="s">
        <v>4316</v>
      </c>
      <c r="E3746" s="3" t="s">
        <v>4317</v>
      </c>
      <c r="F3746" s="3" t="s">
        <v>4318</v>
      </c>
      <c r="G3746" s="3" t="str">
        <f>IFERROR(__xludf.DUMMYFUNCTION("GOOGLETRANSLATE(D3746,""fr"",""es"")"),"tibio")</f>
        <v>tibio</v>
      </c>
    </row>
    <row r="3747">
      <c r="A3747" s="3">
        <v>1199.0</v>
      </c>
      <c r="B3747" s="3" t="s">
        <v>6738</v>
      </c>
      <c r="C3747" s="3" t="s">
        <v>190</v>
      </c>
      <c r="D3747" s="3" t="s">
        <v>4319</v>
      </c>
      <c r="E3747" s="3" t="s">
        <v>4317</v>
      </c>
      <c r="F3747" s="3" t="s">
        <v>4318</v>
      </c>
      <c r="G3747" s="3" t="str">
        <f>IFERROR(__xludf.DUMMYFUNCTION("GOOGLETRANSLATE(D3747,""fr"",""es"")"),"Ouilles")</f>
        <v>Ouilles</v>
      </c>
    </row>
    <row r="3748">
      <c r="A3748" s="3">
        <v>1200.0</v>
      </c>
      <c r="B3748" s="3" t="s">
        <v>6738</v>
      </c>
      <c r="C3748" s="3" t="s">
        <v>190</v>
      </c>
      <c r="D3748" s="3" t="s">
        <v>7493</v>
      </c>
      <c r="E3748" s="3" t="s">
        <v>7494</v>
      </c>
      <c r="F3748" s="3" t="s">
        <v>7495</v>
      </c>
      <c r="G3748" s="3" t="str">
        <f>IFERROR(__xludf.DUMMYFUNCTION("GOOGLETRANSLATE(D3748,""fr"",""es"")"),"herramienta")</f>
        <v>herramienta</v>
      </c>
      <c r="H3748" s="3" t="s">
        <v>7496</v>
      </c>
      <c r="I3748" s="3" t="s">
        <v>7497</v>
      </c>
      <c r="J3748" s="3" t="s">
        <v>7496</v>
      </c>
      <c r="K3748" s="3" t="s">
        <v>7497</v>
      </c>
      <c r="L3748" s="3" t="s">
        <v>7496</v>
      </c>
      <c r="M3748" s="3" t="s">
        <v>7498</v>
      </c>
      <c r="N3748" s="3" t="s">
        <v>7499</v>
      </c>
      <c r="O3748" s="3" t="s">
        <v>7497</v>
      </c>
      <c r="P3748" s="3" t="s">
        <v>7500</v>
      </c>
      <c r="Q3748" s="3" t="s">
        <v>7497</v>
      </c>
      <c r="R3748" s="3" t="s">
        <v>7497</v>
      </c>
      <c r="S3748" s="3" t="s">
        <v>7496</v>
      </c>
      <c r="T3748" s="3" t="s">
        <v>7501</v>
      </c>
      <c r="U3748" s="3" t="s">
        <v>7502</v>
      </c>
      <c r="V3748" s="3" t="s">
        <v>7503</v>
      </c>
      <c r="W3748" s="3" t="s">
        <v>7504</v>
      </c>
      <c r="X3748" s="3" t="s">
        <v>7505</v>
      </c>
      <c r="Y3748" s="3" t="s">
        <v>7506</v>
      </c>
      <c r="Z3748" s="3" t="s">
        <v>7507</v>
      </c>
      <c r="AA3748" s="3" t="s">
        <v>7508</v>
      </c>
      <c r="AB3748" s="3" t="s">
        <v>7509</v>
      </c>
      <c r="AC3748" s="3" t="s">
        <v>7510</v>
      </c>
      <c r="AD3748" s="3" t="s">
        <v>7496</v>
      </c>
      <c r="AE3748" s="3" t="s">
        <v>7497</v>
      </c>
      <c r="AF3748" s="3" t="s">
        <v>7511</v>
      </c>
      <c r="AG3748" s="3" t="s">
        <v>7512</v>
      </c>
      <c r="AH3748" s="3" t="s">
        <v>7513</v>
      </c>
      <c r="AI3748" s="3" t="s">
        <v>7514</v>
      </c>
      <c r="AJ3748" s="3" t="s">
        <v>7515</v>
      </c>
      <c r="AK3748" s="3" t="s">
        <v>4941</v>
      </c>
      <c r="AL3748" s="3" t="s">
        <v>7516</v>
      </c>
      <c r="AM3748" s="3" t="s">
        <v>7497</v>
      </c>
      <c r="AN3748" s="3" t="s">
        <v>7517</v>
      </c>
      <c r="AO3748" s="3" t="s">
        <v>7518</v>
      </c>
      <c r="AP3748" s="3" t="s">
        <v>7496</v>
      </c>
      <c r="AQ3748" s="3" t="s">
        <v>622</v>
      </c>
      <c r="AR3748" s="3" t="s">
        <v>7497</v>
      </c>
      <c r="AS3748" s="3" t="s">
        <v>7519</v>
      </c>
      <c r="AT3748" s="3" t="s">
        <v>7496</v>
      </c>
      <c r="AU3748" s="3" t="s">
        <v>7520</v>
      </c>
      <c r="AV3748" s="3" t="s">
        <v>7521</v>
      </c>
    </row>
    <row r="3749">
      <c r="A3749" s="3">
        <v>1201.0</v>
      </c>
      <c r="B3749" s="3" t="s">
        <v>6738</v>
      </c>
      <c r="C3749" s="3" t="s">
        <v>190</v>
      </c>
      <c r="D3749" s="3" t="s">
        <v>7522</v>
      </c>
      <c r="E3749" s="3" t="s">
        <v>7523</v>
      </c>
      <c r="F3749" s="3" t="s">
        <v>7524</v>
      </c>
      <c r="G3749" s="3" t="str">
        <f>IFERROR(__xludf.DUMMYFUNCTION("GOOGLETRANSLATE(D3749,""fr"",""es"")"),"herramienta")</f>
        <v>herramienta</v>
      </c>
    </row>
    <row r="3750">
      <c r="A3750" s="3">
        <v>1202.0</v>
      </c>
      <c r="B3750" s="3" t="s">
        <v>6738</v>
      </c>
      <c r="C3750" s="3" t="s">
        <v>190</v>
      </c>
      <c r="D3750" s="3" t="s">
        <v>7525</v>
      </c>
      <c r="E3750" s="3" t="s">
        <v>7526</v>
      </c>
      <c r="F3750" s="3" t="s">
        <v>7527</v>
      </c>
      <c r="G3750" s="3" t="str">
        <f>IFERROR(__xludf.DUMMYFUNCTION("GOOGLETRANSLATE(D3750,""fr"",""es"")"),"toma de corriente")</f>
        <v>toma de corriente</v>
      </c>
    </row>
    <row r="3751">
      <c r="A3751" s="3">
        <v>1203.0</v>
      </c>
      <c r="B3751" s="3" t="s">
        <v>6738</v>
      </c>
      <c r="C3751" s="3" t="s">
        <v>190</v>
      </c>
      <c r="D3751" s="3" t="s">
        <v>7528</v>
      </c>
      <c r="E3751" s="3" t="s">
        <v>7523</v>
      </c>
      <c r="F3751" s="3" t="s">
        <v>7524</v>
      </c>
      <c r="G3751" s="3" t="str">
        <f>IFERROR(__xludf.DUMMYFUNCTION("GOOGLETRANSLATE(D3751,""fr"",""es"")"),"instrumentos")</f>
        <v>instrumentos</v>
      </c>
    </row>
    <row r="3752">
      <c r="A3752" s="3">
        <v>1204.0</v>
      </c>
      <c r="B3752" s="3" t="s">
        <v>6738</v>
      </c>
      <c r="C3752" s="3" t="s">
        <v>190</v>
      </c>
      <c r="D3752" s="3" t="s">
        <v>7529</v>
      </c>
      <c r="E3752" s="3" t="s">
        <v>7530</v>
      </c>
      <c r="F3752" s="3" t="s">
        <v>7531</v>
      </c>
      <c r="G3752" s="3" t="str">
        <f>IFERROR(__xludf.DUMMYFUNCTION("GOOGLETRANSLATE(D3752,""fr"",""es"")"),"herramienta")</f>
        <v>herramienta</v>
      </c>
    </row>
    <row r="3753">
      <c r="A3753" s="3">
        <v>1205.0</v>
      </c>
      <c r="B3753" s="3" t="s">
        <v>6738</v>
      </c>
      <c r="C3753" s="3" t="s">
        <v>190</v>
      </c>
      <c r="D3753" s="3" t="s">
        <v>7532</v>
      </c>
      <c r="E3753" s="3" t="s">
        <v>7530</v>
      </c>
      <c r="F3753" s="3" t="s">
        <v>7531</v>
      </c>
      <c r="G3753" s="3" t="str">
        <f>IFERROR(__xludf.DUMMYFUNCTION("GOOGLETRANSLATE(D3753,""fr"",""es"")"),"herramienta")</f>
        <v>herramienta</v>
      </c>
    </row>
    <row r="3754">
      <c r="A3754" s="3">
        <v>1206.0</v>
      </c>
      <c r="B3754" s="3" t="s">
        <v>6738</v>
      </c>
      <c r="C3754" s="3" t="s">
        <v>190</v>
      </c>
      <c r="D3754" s="3" t="s">
        <v>7533</v>
      </c>
      <c r="E3754" s="3" t="s">
        <v>7530</v>
      </c>
      <c r="F3754" s="3" t="s">
        <v>7531</v>
      </c>
      <c r="G3754" s="3" t="str">
        <f>IFERROR(__xludf.DUMMYFUNCTION("GOOGLETRANSLATE(D3754,""fr"",""es"")"),"instrumentos")</f>
        <v>instrumentos</v>
      </c>
    </row>
    <row r="3755">
      <c r="A3755" s="3">
        <v>1207.0</v>
      </c>
      <c r="B3755" s="3" t="s">
        <v>6738</v>
      </c>
      <c r="C3755" s="3" t="s">
        <v>190</v>
      </c>
      <c r="D3755" s="3" t="s">
        <v>7534</v>
      </c>
      <c r="E3755" s="3" t="s">
        <v>7523</v>
      </c>
      <c r="F3755" s="3" t="s">
        <v>7524</v>
      </c>
      <c r="G3755" s="3" t="str">
        <f>IFERROR(__xludf.DUMMYFUNCTION("GOOGLETRANSLATE(D3755,""fr"",""es"")"),"toma de corriente")</f>
        <v>toma de corriente</v>
      </c>
    </row>
    <row r="3756">
      <c r="A3756" s="3">
        <v>1208.0</v>
      </c>
      <c r="B3756" s="3" t="s">
        <v>6738</v>
      </c>
      <c r="C3756" s="3" t="s">
        <v>190</v>
      </c>
      <c r="D3756" s="3" t="s">
        <v>7535</v>
      </c>
      <c r="E3756" s="3" t="s">
        <v>7536</v>
      </c>
      <c r="F3756" s="3" t="s">
        <v>7537</v>
      </c>
      <c r="G3756" s="3" t="str">
        <f>IFERROR(__xludf.DUMMYFUNCTION("GOOGLETRANSLATE(D3756,""fr"",""es"")"),"opresión")</f>
        <v>opresión</v>
      </c>
    </row>
    <row r="3757">
      <c r="A3757" s="3">
        <v>1209.0</v>
      </c>
      <c r="B3757" s="3" t="s">
        <v>6738</v>
      </c>
      <c r="C3757" s="3" t="s">
        <v>190</v>
      </c>
      <c r="D3757" s="3" t="s">
        <v>7538</v>
      </c>
      <c r="E3757" s="3" t="s">
        <v>7536</v>
      </c>
      <c r="F3757" s="3" t="s">
        <v>7537</v>
      </c>
      <c r="G3757" s="3" t="str">
        <f>IFERROR(__xludf.DUMMYFUNCTION("GOOGLETRANSLATE(D3757,""fr"",""es"")"),"adelantar")</f>
        <v>adelantar</v>
      </c>
    </row>
    <row r="3758">
      <c r="A3758" s="3">
        <v>1210.0</v>
      </c>
      <c r="B3758" s="3" t="s">
        <v>6738</v>
      </c>
      <c r="C3758" s="3" t="s">
        <v>190</v>
      </c>
      <c r="D3758" s="3" t="s">
        <v>7539</v>
      </c>
      <c r="E3758" s="3" t="s">
        <v>7536</v>
      </c>
      <c r="F3758" s="3" t="s">
        <v>7537</v>
      </c>
      <c r="G3758" s="3" t="str">
        <f>IFERROR(__xludf.DUMMYFUNCTION("GOOGLETRANSLATE(D3758,""fr"",""es"")"),"escandaloso")</f>
        <v>escandaloso</v>
      </c>
    </row>
    <row r="3759">
      <c r="A3759" s="3">
        <v>1211.0</v>
      </c>
      <c r="B3759" s="3" t="s">
        <v>6738</v>
      </c>
      <c r="C3759" s="3" t="s">
        <v>190</v>
      </c>
      <c r="D3759" s="3" t="s">
        <v>7540</v>
      </c>
      <c r="E3759" s="3" t="s">
        <v>7494</v>
      </c>
      <c r="F3759" s="3" t="s">
        <v>7495</v>
      </c>
      <c r="G3759" s="3" t="str">
        <f>IFERROR(__xludf.DUMMYFUNCTION("GOOGLETRANSLATE(D3759,""fr"",""es"")"),"instrumentos")</f>
        <v>instrumentos</v>
      </c>
    </row>
    <row r="3760">
      <c r="A3760" s="3">
        <v>1212.0</v>
      </c>
      <c r="B3760" s="3" t="s">
        <v>6738</v>
      </c>
      <c r="C3760" s="3" t="s">
        <v>190</v>
      </c>
      <c r="D3760" s="3" t="s">
        <v>4324</v>
      </c>
      <c r="E3760" s="3" t="s">
        <v>4325</v>
      </c>
      <c r="F3760" s="3" t="s">
        <v>4326</v>
      </c>
      <c r="G3760" s="3" t="str">
        <f>IFERROR(__xludf.DUMMYFUNCTION("GOOGLETRANSLATE(D3760,""fr"",""es"")"),"PAC")</f>
        <v>PAC</v>
      </c>
      <c r="H3760" s="3" t="s">
        <v>4327</v>
      </c>
      <c r="I3760" s="3" t="s">
        <v>4324</v>
      </c>
    </row>
    <row r="3761">
      <c r="A3761" s="3">
        <v>1213.0</v>
      </c>
      <c r="B3761" s="3" t="s">
        <v>6738</v>
      </c>
      <c r="C3761" s="3" t="s">
        <v>190</v>
      </c>
      <c r="D3761" s="3" t="s">
        <v>7541</v>
      </c>
      <c r="E3761" s="3" t="s">
        <v>4668</v>
      </c>
      <c r="F3761" s="3" t="s">
        <v>4669</v>
      </c>
      <c r="G3761" s="3" t="str">
        <f>IFERROR(__xludf.DUMMYFUNCTION("GOOGLETRANSLATE(D3761,""fr"",""es"")"),"Paca")</f>
        <v>Paca</v>
      </c>
      <c r="H3761" s="3" t="s">
        <v>7542</v>
      </c>
      <c r="I3761" s="3" t="s">
        <v>7543</v>
      </c>
    </row>
    <row r="3762">
      <c r="A3762" s="3">
        <v>1214.0</v>
      </c>
      <c r="B3762" s="3" t="s">
        <v>6738</v>
      </c>
      <c r="C3762" s="3" t="s">
        <v>190</v>
      </c>
      <c r="D3762" s="3" t="s">
        <v>4328</v>
      </c>
      <c r="E3762" s="3" t="s">
        <v>4329</v>
      </c>
      <c r="F3762" s="3" t="s">
        <v>4330</v>
      </c>
      <c r="G3762" s="3" t="str">
        <f>IFERROR(__xludf.DUMMYFUNCTION("GOOGLETRANSLATE(D3762,""fr"",""es"")"),"pacana")</f>
        <v>pacana</v>
      </c>
    </row>
    <row r="3763">
      <c r="A3763" s="3">
        <v>1215.0</v>
      </c>
      <c r="B3763" s="3" t="s">
        <v>6738</v>
      </c>
      <c r="C3763" s="3" t="s">
        <v>190</v>
      </c>
      <c r="D3763" s="3" t="s">
        <v>7544</v>
      </c>
      <c r="E3763" s="3" t="s">
        <v>4757</v>
      </c>
      <c r="F3763" s="3" t="s">
        <v>4758</v>
      </c>
      <c r="G3763" s="3" t="str">
        <f>IFERROR(__xludf.DUMMYFUNCTION("GOOGLETRANSLATE(D3763,""fr"",""es"")"),"pachá")</f>
        <v>pachá</v>
      </c>
      <c r="H3763" s="3" t="s">
        <v>4758</v>
      </c>
      <c r="I3763" s="3" t="s">
        <v>7544</v>
      </c>
    </row>
    <row r="3764">
      <c r="A3764" s="3">
        <v>1216.0</v>
      </c>
      <c r="B3764" s="3" t="s">
        <v>6738</v>
      </c>
      <c r="C3764" s="3" t="s">
        <v>190</v>
      </c>
      <c r="D3764" s="3" t="s">
        <v>7545</v>
      </c>
      <c r="E3764" s="3" t="s">
        <v>4757</v>
      </c>
      <c r="F3764" s="3" t="s">
        <v>4758</v>
      </c>
      <c r="G3764" s="3" t="str">
        <f>IFERROR(__xludf.DUMMYFUNCTION("GOOGLETRANSLATE(D3764,""fr"",""es"")"),"pachas")</f>
        <v>pachas</v>
      </c>
    </row>
    <row r="3765">
      <c r="A3765" s="3">
        <v>1217.0</v>
      </c>
      <c r="B3765" s="3" t="s">
        <v>6738</v>
      </c>
      <c r="C3765" s="3" t="s">
        <v>190</v>
      </c>
      <c r="D3765" s="3" t="s">
        <v>4331</v>
      </c>
      <c r="E3765" s="3" t="s">
        <v>4325</v>
      </c>
      <c r="F3765" s="3" t="s">
        <v>4326</v>
      </c>
      <c r="G3765" s="3" t="str">
        <f>IFERROR(__xludf.DUMMYFUNCTION("GOOGLETRANSLATE(D3765,""fr"",""es"")"),"paquete")</f>
        <v>paquete</v>
      </c>
      <c r="H3765" s="3" t="s">
        <v>4331</v>
      </c>
    </row>
    <row r="3766">
      <c r="A3766" s="3">
        <v>1218.0</v>
      </c>
      <c r="B3766" s="3" t="s">
        <v>6738</v>
      </c>
      <c r="C3766" s="3" t="s">
        <v>190</v>
      </c>
      <c r="D3766" s="3" t="s">
        <v>4332</v>
      </c>
      <c r="E3766" s="3" t="s">
        <v>4325</v>
      </c>
      <c r="F3766" s="3" t="s">
        <v>4326</v>
      </c>
      <c r="G3766" s="3" t="str">
        <f>IFERROR(__xludf.DUMMYFUNCTION("GOOGLETRANSLATE(D3766,""fr"",""es"")"),"paquete")</f>
        <v>paquete</v>
      </c>
    </row>
    <row r="3767">
      <c r="A3767" s="3">
        <v>1219.0</v>
      </c>
      <c r="B3767" s="3" t="s">
        <v>6738</v>
      </c>
      <c r="C3767" s="3" t="s">
        <v>190</v>
      </c>
      <c r="D3767" s="3" t="s">
        <v>4341</v>
      </c>
      <c r="E3767" s="3" t="s">
        <v>4342</v>
      </c>
      <c r="F3767" s="3" t="s">
        <v>4343</v>
      </c>
      <c r="G3767" s="3" t="str">
        <f>IFERROR(__xludf.DUMMYFUNCTION("GOOGLETRANSLATE(D3767,""fr"",""es"")"),"taparrabo")</f>
        <v>taparrabo</v>
      </c>
      <c r="H3767" s="3" t="s">
        <v>4344</v>
      </c>
      <c r="I3767" s="3" t="s">
        <v>4345</v>
      </c>
      <c r="J3767" s="3" t="s">
        <v>4346</v>
      </c>
      <c r="K3767" s="3" t="s">
        <v>4347</v>
      </c>
    </row>
    <row r="3768">
      <c r="A3768" s="3">
        <v>1220.0</v>
      </c>
      <c r="B3768" s="3" t="s">
        <v>6738</v>
      </c>
      <c r="C3768" s="3" t="s">
        <v>190</v>
      </c>
      <c r="D3768" s="3" t="s">
        <v>4348</v>
      </c>
      <c r="E3768" s="3" t="s">
        <v>4342</v>
      </c>
      <c r="F3768" s="3" t="s">
        <v>4343</v>
      </c>
      <c r="G3768" s="3" t="str">
        <f>IFERROR(__xludf.DUMMYFUNCTION("GOOGLETRANSLATE(D3768,""fr"",""es"")"),"tapa")</f>
        <v>tapa</v>
      </c>
    </row>
    <row r="3769">
      <c r="A3769" s="3">
        <v>1221.0</v>
      </c>
      <c r="B3769" s="3" t="s">
        <v>6738</v>
      </c>
      <c r="C3769" s="3" t="s">
        <v>190</v>
      </c>
      <c r="D3769" s="3" t="s">
        <v>7546</v>
      </c>
      <c r="E3769" s="3" t="s">
        <v>4359</v>
      </c>
      <c r="F3769" s="3" t="s">
        <v>4360</v>
      </c>
      <c r="G3769" s="3" t="str">
        <f>IFERROR(__xludf.DUMMYFUNCTION("GOOGLETRANSLATE(D3769,""fr"",""es"")"),"pailla")</f>
        <v>pailla</v>
      </c>
    </row>
    <row r="3770">
      <c r="A3770" s="3">
        <v>1222.0</v>
      </c>
      <c r="B3770" s="3" t="s">
        <v>6738</v>
      </c>
      <c r="C3770" s="3" t="s">
        <v>190</v>
      </c>
      <c r="D3770" s="3" t="s">
        <v>4364</v>
      </c>
      <c r="E3770" s="3" t="s">
        <v>4365</v>
      </c>
      <c r="F3770" s="3" t="s">
        <v>4366</v>
      </c>
      <c r="G3770" s="3" t="str">
        <f>IFERROR(__xludf.DUMMYFUNCTION("GOOGLETRANSLATE(D3770,""fr"",""es"")"),"paillâme")</f>
        <v>paillâme</v>
      </c>
    </row>
    <row r="3771">
      <c r="A3771" s="3">
        <v>1223.0</v>
      </c>
      <c r="B3771" s="3" t="s">
        <v>6738</v>
      </c>
      <c r="C3771" s="3" t="s">
        <v>190</v>
      </c>
      <c r="D3771" s="3" t="s">
        <v>7547</v>
      </c>
      <c r="E3771" s="3" t="s">
        <v>4359</v>
      </c>
      <c r="F3771" s="3" t="s">
        <v>4360</v>
      </c>
      <c r="G3771" s="3" t="str">
        <f>IFERROR(__xludf.DUMMYFUNCTION("GOOGLETRANSLATE(D3771,""fr"",""es"")"),"paillas")</f>
        <v>paillas</v>
      </c>
    </row>
    <row r="3772">
      <c r="A3772" s="3">
        <v>1224.0</v>
      </c>
      <c r="B3772" s="3" t="s">
        <v>6738</v>
      </c>
      <c r="C3772" s="3" t="s">
        <v>190</v>
      </c>
      <c r="D3772" s="3" t="s">
        <v>4367</v>
      </c>
      <c r="E3772" s="3" t="s">
        <v>4368</v>
      </c>
      <c r="F3772" s="3" t="s">
        <v>4369</v>
      </c>
      <c r="G3772" s="3" t="str">
        <f>IFERROR(__xludf.DUMMYFUNCTION("GOOGLETRANSLATE(D3772,""fr"",""es"")"),"hipoteca")</f>
        <v>hipoteca</v>
      </c>
    </row>
    <row r="3773">
      <c r="A3773" s="3">
        <v>1225.0</v>
      </c>
      <c r="B3773" s="3" t="s">
        <v>6738</v>
      </c>
      <c r="C3773" s="3" t="s">
        <v>190</v>
      </c>
      <c r="D3773" s="3" t="s">
        <v>4370</v>
      </c>
      <c r="E3773" s="3" t="s">
        <v>4368</v>
      </c>
      <c r="F3773" s="3" t="s">
        <v>4369</v>
      </c>
      <c r="G3773" s="3" t="str">
        <f>IFERROR(__xludf.DUMMYFUNCTION("GOOGLETRANSLATE(D3773,""fr"",""es"")"),"afilado")</f>
        <v>afilado</v>
      </c>
    </row>
    <row r="3774">
      <c r="A3774" s="3">
        <v>1226.0</v>
      </c>
      <c r="B3774" s="3" t="s">
        <v>6738</v>
      </c>
      <c r="C3774" s="3" t="s">
        <v>190</v>
      </c>
      <c r="D3774" s="3" t="s">
        <v>4371</v>
      </c>
      <c r="E3774" s="3" t="s">
        <v>4368</v>
      </c>
      <c r="F3774" s="3" t="s">
        <v>4369</v>
      </c>
      <c r="G3774" s="3" t="str">
        <f>IFERROR(__xludf.DUMMYFUNCTION("GOOGLETRANSLATE(D3774,""fr"",""es"")"),"rosario")</f>
        <v>rosario</v>
      </c>
    </row>
    <row r="3775">
      <c r="A3775" s="3">
        <v>1227.0</v>
      </c>
      <c r="B3775" s="3" t="s">
        <v>6738</v>
      </c>
      <c r="C3775" s="3" t="s">
        <v>190</v>
      </c>
      <c r="D3775" s="3" t="s">
        <v>7548</v>
      </c>
      <c r="E3775" s="3" t="s">
        <v>4359</v>
      </c>
      <c r="F3775" s="3" t="s">
        <v>4360</v>
      </c>
      <c r="G3775" s="3" t="str">
        <f>IFERROR(__xludf.DUMMYFUNCTION("GOOGLETRANSLATE(D3775,""fr"",""es"")"),"paillât")</f>
        <v>paillât</v>
      </c>
    </row>
    <row r="3776">
      <c r="A3776" s="3">
        <v>1228.0</v>
      </c>
      <c r="B3776" s="3" t="s">
        <v>6738</v>
      </c>
      <c r="C3776" s="3" t="s">
        <v>190</v>
      </c>
      <c r="D3776" s="3" t="s">
        <v>4372</v>
      </c>
      <c r="E3776" s="3" t="s">
        <v>4373</v>
      </c>
      <c r="F3776" s="3" t="s">
        <v>4374</v>
      </c>
      <c r="G3776" s="3" t="str">
        <f>IFERROR(__xludf.DUMMYFUNCTION("GOOGLETRANSLATE(D3776,""fr"",""es"")"),"Sorbete")</f>
        <v>Sorbete</v>
      </c>
      <c r="H3776" s="3" t="s">
        <v>4375</v>
      </c>
      <c r="I3776" s="3" t="s">
        <v>4376</v>
      </c>
      <c r="J3776" s="3" t="s">
        <v>4375</v>
      </c>
      <c r="K3776" s="3" t="s">
        <v>4375</v>
      </c>
      <c r="L3776" s="3" t="s">
        <v>4375</v>
      </c>
      <c r="M3776" s="3" t="s">
        <v>4377</v>
      </c>
      <c r="N3776" s="3" t="s">
        <v>4378</v>
      </c>
      <c r="O3776" s="3" t="s">
        <v>4375</v>
      </c>
      <c r="P3776" s="3" t="s">
        <v>4379</v>
      </c>
      <c r="Q3776" s="3" t="s">
        <v>4380</v>
      </c>
      <c r="R3776" s="3" t="s">
        <v>4381</v>
      </c>
      <c r="S3776" s="3" t="s">
        <v>4382</v>
      </c>
      <c r="T3776" s="3" t="s">
        <v>4383</v>
      </c>
      <c r="U3776" s="3" t="s">
        <v>4384</v>
      </c>
      <c r="V3776" s="3" t="s">
        <v>4375</v>
      </c>
      <c r="W3776" s="3" t="s">
        <v>4385</v>
      </c>
      <c r="X3776" s="3" t="s">
        <v>4375</v>
      </c>
    </row>
    <row r="3777">
      <c r="A3777" s="3">
        <v>1229.0</v>
      </c>
      <c r="B3777" s="3" t="s">
        <v>6738</v>
      </c>
      <c r="C3777" s="3" t="s">
        <v>190</v>
      </c>
      <c r="D3777" s="3" t="s">
        <v>4386</v>
      </c>
      <c r="E3777" s="3" t="s">
        <v>4373</v>
      </c>
      <c r="F3777" s="3" t="s">
        <v>4374</v>
      </c>
      <c r="G3777" s="3" t="str">
        <f>IFERROR(__xludf.DUMMYFUNCTION("GOOGLETRANSLATE(D3777,""fr"",""es"")"),"Paja")</f>
        <v>Paja</v>
      </c>
    </row>
    <row r="3778">
      <c r="A3778" s="3">
        <v>1230.0</v>
      </c>
      <c r="B3778" s="3" t="s">
        <v>6738</v>
      </c>
      <c r="C3778" s="3" t="s">
        <v>190</v>
      </c>
      <c r="D3778" s="3" t="s">
        <v>4387</v>
      </c>
      <c r="E3778" s="3" t="s">
        <v>4373</v>
      </c>
      <c r="F3778" s="3" t="s">
        <v>4374</v>
      </c>
      <c r="G3778" s="3" t="str">
        <f>IFERROR(__xludf.DUMMYFUNCTION("GOOGLETRANSLATE(D3778,""fr"",""es"")"),"pajita")</f>
        <v>pajita</v>
      </c>
    </row>
    <row r="3779">
      <c r="A3779" s="3">
        <v>1231.0</v>
      </c>
      <c r="B3779" s="3" t="s">
        <v>6738</v>
      </c>
      <c r="C3779" s="3" t="s">
        <v>190</v>
      </c>
      <c r="D3779" s="3" t="s">
        <v>4399</v>
      </c>
      <c r="E3779" s="3" t="s">
        <v>4400</v>
      </c>
      <c r="F3779" s="3" t="s">
        <v>4399</v>
      </c>
      <c r="G3779" s="3" t="str">
        <f>IFERROR(__xludf.DUMMYFUNCTION("GOOGLETRANSLATE(D3779,""fr"",""es"")"),"camarada")</f>
        <v>camarada</v>
      </c>
    </row>
    <row r="3780">
      <c r="A3780" s="3">
        <v>1232.0</v>
      </c>
      <c r="B3780" s="3" t="s">
        <v>6738</v>
      </c>
      <c r="C3780" s="3" t="s">
        <v>190</v>
      </c>
      <c r="D3780" s="3" t="s">
        <v>4401</v>
      </c>
      <c r="E3780" s="3" t="s">
        <v>4400</v>
      </c>
      <c r="F3780" s="3" t="s">
        <v>4399</v>
      </c>
      <c r="G3780" s="3" t="str">
        <f>IFERROR(__xludf.DUMMYFUNCTION("GOOGLETRANSLATE(D3780,""fr"",""es"")"),"Camarada")</f>
        <v>Camarada</v>
      </c>
    </row>
    <row r="3781">
      <c r="A3781" s="3">
        <v>1233.0</v>
      </c>
      <c r="B3781" s="3" t="s">
        <v>6738</v>
      </c>
      <c r="C3781" s="3" t="s">
        <v>190</v>
      </c>
      <c r="D3781" s="3" t="s">
        <v>4402</v>
      </c>
      <c r="E3781" s="3" t="s">
        <v>4400</v>
      </c>
      <c r="F3781" s="3" t="s">
        <v>4399</v>
      </c>
      <c r="G3781" s="3" t="str">
        <f>IFERROR(__xludf.DUMMYFUNCTION("GOOGLETRANSLATE(D3781,""fr"",""es"")"),"Camarada")</f>
        <v>Camarada</v>
      </c>
    </row>
    <row r="3782">
      <c r="A3782" s="3">
        <v>1234.0</v>
      </c>
      <c r="B3782" s="3" t="s">
        <v>6738</v>
      </c>
      <c r="C3782" s="3" t="s">
        <v>190</v>
      </c>
      <c r="D3782" s="3" t="s">
        <v>4403</v>
      </c>
      <c r="E3782" s="3" t="s">
        <v>4404</v>
      </c>
      <c r="F3782" s="3" t="s">
        <v>4405</v>
      </c>
      <c r="G3782" s="3" t="str">
        <f>IFERROR(__xludf.DUMMYFUNCTION("GOOGLETRANSLATE(D3782,""fr"",""es"")"),"palacio")</f>
        <v>palacio</v>
      </c>
    </row>
    <row r="3783">
      <c r="A3783" s="3">
        <v>1235.0</v>
      </c>
      <c r="B3783" s="3" t="s">
        <v>6738</v>
      </c>
      <c r="C3783" s="3" t="s">
        <v>190</v>
      </c>
      <c r="D3783" s="3" t="s">
        <v>4406</v>
      </c>
      <c r="E3783" s="3" t="s">
        <v>4404</v>
      </c>
      <c r="F3783" s="3" t="s">
        <v>4405</v>
      </c>
      <c r="G3783" s="3" t="str">
        <f>IFERROR(__xludf.DUMMYFUNCTION("GOOGLETRANSLATE(D3783,""fr"",""es"")"),"palacios")</f>
        <v>palacios</v>
      </c>
    </row>
    <row r="3784">
      <c r="A3784" s="3">
        <v>1236.0</v>
      </c>
      <c r="B3784" s="3" t="s">
        <v>6738</v>
      </c>
      <c r="C3784" s="3" t="s">
        <v>190</v>
      </c>
      <c r="D3784" s="3" t="s">
        <v>4413</v>
      </c>
      <c r="E3784" s="3" t="s">
        <v>4414</v>
      </c>
      <c r="F3784" s="3" t="s">
        <v>4413</v>
      </c>
      <c r="G3784" s="3" t="str">
        <f>IFERROR(__xludf.DUMMYFUNCTION("GOOGLETRANSLATE(D3784,""fr"",""es"")"),"palatal")</f>
        <v>palatal</v>
      </c>
      <c r="H3784" s="3" t="s">
        <v>4413</v>
      </c>
      <c r="I3784" s="3" t="s">
        <v>4415</v>
      </c>
      <c r="J3784" s="3" t="s">
        <v>4416</v>
      </c>
      <c r="K3784" s="3" t="s">
        <v>4413</v>
      </c>
      <c r="L3784" s="3" t="s">
        <v>4417</v>
      </c>
      <c r="M3784" s="3" t="s">
        <v>4413</v>
      </c>
    </row>
    <row r="3785">
      <c r="A3785" s="3">
        <v>1237.0</v>
      </c>
      <c r="B3785" s="3" t="s">
        <v>6738</v>
      </c>
      <c r="C3785" s="3" t="s">
        <v>190</v>
      </c>
      <c r="D3785" s="3" t="s">
        <v>4418</v>
      </c>
      <c r="E3785" s="3" t="s">
        <v>4414</v>
      </c>
      <c r="F3785" s="3" t="s">
        <v>4413</v>
      </c>
      <c r="G3785" s="3" t="str">
        <f>IFERROR(__xludf.DUMMYFUNCTION("GOOGLETRANSLATE(D3785,""fr"",""es"")"),"palatal")</f>
        <v>palatal</v>
      </c>
    </row>
    <row r="3786">
      <c r="A3786" s="3">
        <v>1238.0</v>
      </c>
      <c r="B3786" s="3" t="s">
        <v>6738</v>
      </c>
      <c r="C3786" s="3" t="s">
        <v>190</v>
      </c>
      <c r="D3786" s="3" t="s">
        <v>4419</v>
      </c>
      <c r="E3786" s="3" t="s">
        <v>4414</v>
      </c>
      <c r="F3786" s="3" t="s">
        <v>4413</v>
      </c>
      <c r="G3786" s="3" t="str">
        <f>IFERROR(__xludf.DUMMYFUNCTION("GOOGLETRANSLATE(D3786,""fr"",""es"")"),"palatal")</f>
        <v>palatal</v>
      </c>
    </row>
    <row r="3787">
      <c r="A3787" s="3">
        <v>1239.0</v>
      </c>
      <c r="B3787" s="3" t="s">
        <v>6738</v>
      </c>
      <c r="C3787" s="3" t="s">
        <v>190</v>
      </c>
      <c r="D3787" s="3" t="s">
        <v>7549</v>
      </c>
      <c r="E3787" s="3" t="s">
        <v>7550</v>
      </c>
      <c r="F3787" s="3" t="s">
        <v>7551</v>
      </c>
      <c r="G3787" s="3" t="str">
        <f>IFERROR(__xludf.DUMMYFUNCTION("GOOGLETRANSLATE(D3787,""fr"",""es"")"),"Palatinado")</f>
        <v>Palatinado</v>
      </c>
      <c r="H3787" s="3" t="s">
        <v>7552</v>
      </c>
      <c r="I3787" s="3" t="s">
        <v>7553</v>
      </c>
    </row>
    <row r="3788">
      <c r="A3788" s="3">
        <v>1240.0</v>
      </c>
      <c r="B3788" s="3" t="s">
        <v>6738</v>
      </c>
      <c r="C3788" s="3" t="s">
        <v>190</v>
      </c>
      <c r="D3788" s="3" t="s">
        <v>4417</v>
      </c>
      <c r="E3788" s="3" t="s">
        <v>7554</v>
      </c>
      <c r="F3788" s="3" t="s">
        <v>7555</v>
      </c>
      <c r="G3788" s="3" t="str">
        <f>IFERROR(__xludf.DUMMYFUNCTION("GOOGLETRANSLATE(D3788,""fr"",""es"")"),"palatal")</f>
        <v>palatal</v>
      </c>
    </row>
    <row r="3789">
      <c r="A3789" s="3">
        <v>1241.0</v>
      </c>
      <c r="B3789" s="3" t="s">
        <v>6738</v>
      </c>
      <c r="C3789" s="3" t="s">
        <v>190</v>
      </c>
      <c r="D3789" s="3" t="s">
        <v>7556</v>
      </c>
      <c r="E3789" s="3" t="s">
        <v>7554</v>
      </c>
      <c r="F3789" s="3" t="s">
        <v>7555</v>
      </c>
      <c r="G3789" s="3" t="str">
        <f>IFERROR(__xludf.DUMMYFUNCTION("GOOGLETRANSLATE(D3789,""fr"",""es"")"),"palatinas")</f>
        <v>palatinas</v>
      </c>
    </row>
    <row r="3790">
      <c r="A3790" s="3">
        <v>1242.0</v>
      </c>
      <c r="B3790" s="3" t="s">
        <v>6738</v>
      </c>
      <c r="C3790" s="3" t="s">
        <v>190</v>
      </c>
      <c r="D3790" s="3" t="s">
        <v>4420</v>
      </c>
      <c r="E3790" s="3" t="s">
        <v>4400</v>
      </c>
      <c r="F3790" s="3" t="s">
        <v>4399</v>
      </c>
      <c r="G3790" s="3" t="str">
        <f>IFERROR(__xludf.DUMMYFUNCTION("GOOGLETRANSLATE(D3790,""fr"",""es"")"),"pálido")</f>
        <v>pálido</v>
      </c>
      <c r="H3790" s="3" t="s">
        <v>2692</v>
      </c>
      <c r="I3790" s="3" t="s">
        <v>4421</v>
      </c>
      <c r="J3790" s="3" t="s">
        <v>4422</v>
      </c>
    </row>
    <row r="3791">
      <c r="A3791" s="3">
        <v>1243.0</v>
      </c>
      <c r="B3791" s="3" t="s">
        <v>6738</v>
      </c>
      <c r="C3791" s="3" t="s">
        <v>190</v>
      </c>
      <c r="D3791" s="3" t="s">
        <v>4423</v>
      </c>
      <c r="E3791" s="3" t="s">
        <v>4400</v>
      </c>
      <c r="F3791" s="3" t="s">
        <v>4399</v>
      </c>
      <c r="G3791" s="3" t="str">
        <f>IFERROR(__xludf.DUMMYFUNCTION("GOOGLETRANSLATE(D3791,""fr"",""es"")"),"pálido")</f>
        <v>pálido</v>
      </c>
      <c r="H3791" s="3" t="s">
        <v>4424</v>
      </c>
      <c r="I3791" s="3" t="s">
        <v>4420</v>
      </c>
      <c r="J3791" s="3" t="s">
        <v>4425</v>
      </c>
      <c r="K3791" s="3" t="s">
        <v>4426</v>
      </c>
      <c r="L3791" s="3" t="s">
        <v>4420</v>
      </c>
      <c r="M3791" s="3" t="s">
        <v>4425</v>
      </c>
      <c r="N3791" s="3" t="s">
        <v>4426</v>
      </c>
      <c r="O3791" s="3" t="s">
        <v>4427</v>
      </c>
    </row>
    <row r="3792">
      <c r="A3792" s="3">
        <v>1244.0</v>
      </c>
      <c r="B3792" s="3" t="s">
        <v>6738</v>
      </c>
      <c r="C3792" s="3" t="s">
        <v>190</v>
      </c>
      <c r="D3792" s="3" t="s">
        <v>4428</v>
      </c>
      <c r="E3792" s="3" t="s">
        <v>4400</v>
      </c>
      <c r="F3792" s="3" t="s">
        <v>4399</v>
      </c>
      <c r="G3792" s="3" t="str">
        <f>IFERROR(__xludf.DUMMYFUNCTION("GOOGLETRANSLATE(D3792,""fr"",""es"")"),"cuchillas")</f>
        <v>cuchillas</v>
      </c>
    </row>
    <row r="3793">
      <c r="A3793" s="3">
        <v>1245.0</v>
      </c>
      <c r="B3793" s="3" t="s">
        <v>6738</v>
      </c>
      <c r="C3793" s="3" t="s">
        <v>190</v>
      </c>
      <c r="D3793" s="3" t="s">
        <v>4429</v>
      </c>
      <c r="E3793" s="3" t="s">
        <v>4400</v>
      </c>
      <c r="F3793" s="3" t="s">
        <v>4399</v>
      </c>
      <c r="G3793" s="3" t="str">
        <f>IFERROR(__xludf.DUMMYFUNCTION("GOOGLETRANSLATE(D3793,""fr"",""es"")"),"pálido")</f>
        <v>pálido</v>
      </c>
    </row>
    <row r="3794">
      <c r="A3794" s="3">
        <v>1246.0</v>
      </c>
      <c r="B3794" s="3" t="s">
        <v>6738</v>
      </c>
      <c r="C3794" s="3" t="s">
        <v>190</v>
      </c>
      <c r="D3794" s="3" t="s">
        <v>4436</v>
      </c>
      <c r="E3794" s="3" t="s">
        <v>4437</v>
      </c>
      <c r="F3794" s="3" t="s">
        <v>4438</v>
      </c>
      <c r="G3794" s="3" t="str">
        <f>IFERROR(__xludf.DUMMYFUNCTION("GOOGLETRANSLATE(D3794,""fr"",""es"")"),"pálido")</f>
        <v>pálido</v>
      </c>
      <c r="H3794" s="3" t="s">
        <v>4439</v>
      </c>
    </row>
    <row r="3795">
      <c r="A3795" s="3">
        <v>1247.0</v>
      </c>
      <c r="B3795" s="3" t="s">
        <v>6738</v>
      </c>
      <c r="C3795" s="3" t="s">
        <v>190</v>
      </c>
      <c r="D3795" s="3" t="s">
        <v>4440</v>
      </c>
      <c r="E3795" s="3" t="s">
        <v>4437</v>
      </c>
      <c r="F3795" s="3" t="s">
        <v>4438</v>
      </c>
      <c r="G3795" s="3" t="str">
        <f>IFERROR(__xludf.DUMMYFUNCTION("GOOGLETRANSLATE(D3795,""fr"",""es"")"),"tirado")</f>
        <v>tirado</v>
      </c>
    </row>
    <row r="3796">
      <c r="A3796" s="3">
        <v>1248.0</v>
      </c>
      <c r="B3796" s="3" t="s">
        <v>6738</v>
      </c>
      <c r="C3796" s="3" t="s">
        <v>190</v>
      </c>
      <c r="D3796" s="3" t="s">
        <v>4441</v>
      </c>
      <c r="E3796" s="3" t="s">
        <v>4437</v>
      </c>
      <c r="F3796" s="3" t="s">
        <v>4438</v>
      </c>
      <c r="G3796" s="3" t="str">
        <f>IFERROR(__xludf.DUMMYFUNCTION("GOOGLETRANSLATE(D3796,""fr"",""es"")"),"pálido")</f>
        <v>pálido</v>
      </c>
    </row>
    <row r="3797">
      <c r="A3797" s="3">
        <v>1249.0</v>
      </c>
      <c r="B3797" s="3" t="s">
        <v>6738</v>
      </c>
      <c r="C3797" s="3" t="s">
        <v>190</v>
      </c>
      <c r="D3797" s="3" t="s">
        <v>4442</v>
      </c>
      <c r="E3797" s="3" t="s">
        <v>7557</v>
      </c>
      <c r="F3797" s="3" t="s">
        <v>4444</v>
      </c>
      <c r="G3797" s="3" t="str">
        <f>IFERROR(__xludf.DUMMYFUNCTION("GOOGLETRANSLATE(D3797,""fr"",""es"")"),"pálido")</f>
        <v>pálido</v>
      </c>
    </row>
    <row r="3798">
      <c r="A3798" s="3">
        <v>1250.0</v>
      </c>
      <c r="B3798" s="3" t="s">
        <v>6738</v>
      </c>
      <c r="C3798" s="3" t="s">
        <v>190</v>
      </c>
      <c r="D3798" s="3" t="s">
        <v>4445</v>
      </c>
      <c r="E3798" s="3" t="s">
        <v>4437</v>
      </c>
      <c r="F3798" s="3" t="s">
        <v>4438</v>
      </c>
      <c r="G3798" s="3" t="str">
        <f>IFERROR(__xludf.DUMMYFUNCTION("GOOGLETRANSLATE(D3798,""fr"",""es"")"),"pálido")</f>
        <v>pálido</v>
      </c>
    </row>
    <row r="3799">
      <c r="A3799" s="3">
        <v>1251.0</v>
      </c>
      <c r="B3799" s="3" t="s">
        <v>6738</v>
      </c>
      <c r="C3799" s="3" t="s">
        <v>190</v>
      </c>
      <c r="D3799" s="3" t="s">
        <v>4451</v>
      </c>
      <c r="E3799" s="3" t="s">
        <v>7558</v>
      </c>
      <c r="F3799" s="3" t="s">
        <v>4453</v>
      </c>
      <c r="G3799" s="3" t="str">
        <f>IFERROR(__xludf.DUMMYFUNCTION("GOOGLETRANSLATE(D3799,""fr"",""es"")"),"pálido")</f>
        <v>pálido</v>
      </c>
    </row>
    <row r="3800">
      <c r="A3800" s="3">
        <v>1252.0</v>
      </c>
      <c r="B3800" s="3" t="s">
        <v>6738</v>
      </c>
      <c r="C3800" s="3" t="s">
        <v>190</v>
      </c>
      <c r="D3800" s="3" t="s">
        <v>4454</v>
      </c>
      <c r="E3800" s="3" t="s">
        <v>7558</v>
      </c>
      <c r="F3800" s="3" t="s">
        <v>4453</v>
      </c>
      <c r="G3800" s="3" t="str">
        <f>IFERROR(__xludf.DUMMYFUNCTION("GOOGLETRANSLATE(D3800,""fr"",""es"")"),"pálido")</f>
        <v>pálido</v>
      </c>
    </row>
    <row r="3801">
      <c r="A3801" s="3">
        <v>1253.0</v>
      </c>
      <c r="B3801" s="3" t="s">
        <v>6738</v>
      </c>
      <c r="C3801" s="3" t="s">
        <v>190</v>
      </c>
      <c r="D3801" s="3" t="s">
        <v>4455</v>
      </c>
      <c r="E3801" s="3" t="s">
        <v>7558</v>
      </c>
      <c r="F3801" s="3" t="s">
        <v>4453</v>
      </c>
      <c r="G3801" s="3" t="str">
        <f>IFERROR(__xludf.DUMMYFUNCTION("GOOGLETRANSLATE(D3801,""fr"",""es"")"),"pálido")</f>
        <v>pálido</v>
      </c>
    </row>
    <row r="3802">
      <c r="A3802" s="3">
        <v>1254.0</v>
      </c>
      <c r="B3802" s="3" t="s">
        <v>6738</v>
      </c>
      <c r="C3802" s="3" t="s">
        <v>190</v>
      </c>
      <c r="D3802" s="3" t="s">
        <v>4456</v>
      </c>
      <c r="E3802" s="3" t="s">
        <v>4437</v>
      </c>
      <c r="F3802" s="3" t="s">
        <v>4438</v>
      </c>
      <c r="G3802" s="3" t="str">
        <f>IFERROR(__xludf.DUMMYFUNCTION("GOOGLETRANSLATE(D3802,""fr"",""es"")"),"pálido")</f>
        <v>pálido</v>
      </c>
    </row>
    <row r="3803">
      <c r="A3803" s="3">
        <v>1255.0</v>
      </c>
      <c r="B3803" s="3" t="s">
        <v>6738</v>
      </c>
      <c r="C3803" s="3" t="s">
        <v>190</v>
      </c>
      <c r="D3803" s="3" t="s">
        <v>4457</v>
      </c>
      <c r="E3803" s="3" t="s">
        <v>4437</v>
      </c>
      <c r="F3803" s="3" t="s">
        <v>4438</v>
      </c>
      <c r="G3803" s="3" t="str">
        <f>IFERROR(__xludf.DUMMYFUNCTION("GOOGLETRANSLATE(D3803,""fr"",""es"")"),"pálido")</f>
        <v>pálido</v>
      </c>
    </row>
    <row r="3804">
      <c r="A3804" s="3">
        <v>1256.0</v>
      </c>
      <c r="B3804" s="3" t="s">
        <v>6738</v>
      </c>
      <c r="C3804" s="3" t="s">
        <v>190</v>
      </c>
      <c r="D3804" s="3" t="s">
        <v>4458</v>
      </c>
      <c r="E3804" s="3" t="s">
        <v>4437</v>
      </c>
      <c r="F3804" s="3" t="s">
        <v>4438</v>
      </c>
      <c r="G3804" s="3" t="str">
        <f>IFERROR(__xludf.DUMMYFUNCTION("GOOGLETRANSLATE(D3804,""fr"",""es"")"),"unidad")</f>
        <v>unidad</v>
      </c>
    </row>
    <row r="3805">
      <c r="A3805" s="3">
        <v>1257.0</v>
      </c>
      <c r="B3805" s="3" t="s">
        <v>6738</v>
      </c>
      <c r="C3805" s="3" t="s">
        <v>190</v>
      </c>
      <c r="D3805" s="3" t="s">
        <v>4459</v>
      </c>
      <c r="E3805" s="3" t="s">
        <v>4437</v>
      </c>
      <c r="F3805" s="3" t="s">
        <v>4438</v>
      </c>
      <c r="G3805" s="3" t="str">
        <f>IFERROR(__xludf.DUMMYFUNCTION("GOOGLETRANSLATE(D3805,""fr"",""es"")"),"unidad")</f>
        <v>unidad</v>
      </c>
    </row>
    <row r="3806">
      <c r="A3806" s="3">
        <v>1258.0</v>
      </c>
      <c r="B3806" s="3" t="s">
        <v>6738</v>
      </c>
      <c r="C3806" s="3" t="s">
        <v>190</v>
      </c>
      <c r="D3806" s="3" t="s">
        <v>4460</v>
      </c>
      <c r="E3806" s="3" t="s">
        <v>4437</v>
      </c>
      <c r="F3806" s="3" t="s">
        <v>4438</v>
      </c>
      <c r="G3806" s="3" t="str">
        <f>IFERROR(__xludf.DUMMYFUNCTION("GOOGLETRANSLATE(D3806,""fr"",""es"")"),"unidad")</f>
        <v>unidad</v>
      </c>
    </row>
    <row r="3807">
      <c r="A3807" s="3">
        <v>1259.0</v>
      </c>
      <c r="B3807" s="3" t="s">
        <v>6738</v>
      </c>
      <c r="C3807" s="3" t="s">
        <v>190</v>
      </c>
      <c r="D3807" s="3" t="s">
        <v>4461</v>
      </c>
      <c r="E3807" s="3" t="s">
        <v>4400</v>
      </c>
      <c r="F3807" s="3" t="s">
        <v>4399</v>
      </c>
      <c r="G3807" s="3" t="str">
        <f>IFERROR(__xludf.DUMMYFUNCTION("GOOGLETRANSLATE(D3807,""fr"",""es"")"),"amigos")</f>
        <v>amigos</v>
      </c>
    </row>
    <row r="3808">
      <c r="A3808" s="3">
        <v>1260.0</v>
      </c>
      <c r="B3808" s="3" t="s">
        <v>6738</v>
      </c>
      <c r="C3808" s="3" t="s">
        <v>190</v>
      </c>
      <c r="D3808" s="3" t="s">
        <v>7559</v>
      </c>
      <c r="E3808" s="3" t="s">
        <v>4463</v>
      </c>
      <c r="F3808" s="3" t="s">
        <v>4464</v>
      </c>
      <c r="G3808" s="3" t="str">
        <f>IFERROR(__xludf.DUMMYFUNCTION("GOOGLETRANSLATE(D3808,""fr"",""es"")"),"Presa")</f>
        <v>Presa</v>
      </c>
    </row>
    <row r="3809">
      <c r="A3809" s="3">
        <v>1261.0</v>
      </c>
      <c r="B3809" s="3" t="s">
        <v>6738</v>
      </c>
      <c r="C3809" s="3" t="s">
        <v>190</v>
      </c>
      <c r="D3809" s="3" t="s">
        <v>4468</v>
      </c>
      <c r="E3809" s="3" t="s">
        <v>4469</v>
      </c>
      <c r="F3809" s="3" t="s">
        <v>4470</v>
      </c>
      <c r="G3809" s="3" t="str">
        <f>IFERROR(__xludf.DUMMYFUNCTION("GOOGLETRANSLATE(D3809,""fr"",""es"")"),"pálido")</f>
        <v>pálido</v>
      </c>
    </row>
    <row r="3810">
      <c r="A3810" s="3">
        <v>1262.0</v>
      </c>
      <c r="B3810" s="3" t="s">
        <v>6738</v>
      </c>
      <c r="C3810" s="3" t="s">
        <v>190</v>
      </c>
      <c r="D3810" s="3" t="s">
        <v>7560</v>
      </c>
      <c r="E3810" s="3" t="s">
        <v>4463</v>
      </c>
      <c r="F3810" s="3" t="s">
        <v>4464</v>
      </c>
      <c r="G3810" s="3" t="str">
        <f>IFERROR(__xludf.DUMMYFUNCTION("GOOGLETRANSLATE(D3810,""fr"",""es"")"),"Patmas")</f>
        <v>Patmas</v>
      </c>
    </row>
    <row r="3811">
      <c r="A3811" s="3">
        <v>1263.0</v>
      </c>
      <c r="B3811" s="3" t="s">
        <v>6738</v>
      </c>
      <c r="C3811" s="3" t="s">
        <v>190</v>
      </c>
      <c r="D3811" s="3" t="s">
        <v>4471</v>
      </c>
      <c r="E3811" s="3" t="s">
        <v>4472</v>
      </c>
      <c r="F3811" s="3" t="s">
        <v>4473</v>
      </c>
      <c r="G3811" s="3" t="str">
        <f>IFERROR(__xludf.DUMMYFUNCTION("GOOGLETRANSLATE(D3811,""fr"",""es"")"),"piscasse")</f>
        <v>piscasse</v>
      </c>
    </row>
    <row r="3812">
      <c r="A3812" s="3">
        <v>1264.0</v>
      </c>
      <c r="B3812" s="3" t="s">
        <v>6738</v>
      </c>
      <c r="C3812" s="3" t="s">
        <v>190</v>
      </c>
      <c r="D3812" s="3" t="s">
        <v>4474</v>
      </c>
      <c r="E3812" s="3" t="s">
        <v>4472</v>
      </c>
      <c r="F3812" s="3" t="s">
        <v>4473</v>
      </c>
      <c r="G3812" s="3" t="str">
        <f>IFERROR(__xludf.DUMMYFUNCTION("GOOGLETRANSLATE(D3812,""fr"",""es"")"),"pasado")</f>
        <v>pasado</v>
      </c>
    </row>
    <row r="3813">
      <c r="A3813" s="3">
        <v>1265.0</v>
      </c>
      <c r="B3813" s="3" t="s">
        <v>6738</v>
      </c>
      <c r="C3813" s="3" t="s">
        <v>190</v>
      </c>
      <c r="D3813" s="3" t="s">
        <v>4475</v>
      </c>
      <c r="E3813" s="3" t="s">
        <v>4472</v>
      </c>
      <c r="F3813" s="3" t="s">
        <v>4473</v>
      </c>
      <c r="G3813" s="3" t="str">
        <f>IFERROR(__xludf.DUMMYFUNCTION("GOOGLETRANSLATE(D3813,""fr"",""es"")"),"masas")</f>
        <v>masas</v>
      </c>
    </row>
    <row r="3814">
      <c r="A3814" s="3">
        <v>1266.0</v>
      </c>
      <c r="B3814" s="3" t="s">
        <v>6738</v>
      </c>
      <c r="C3814" s="3" t="s">
        <v>190</v>
      </c>
      <c r="D3814" s="3" t="s">
        <v>7561</v>
      </c>
      <c r="E3814" s="3" t="s">
        <v>4463</v>
      </c>
      <c r="F3814" s="3" t="s">
        <v>4464</v>
      </c>
      <c r="G3814" s="3" t="str">
        <f>IFERROR(__xludf.DUMMYFUNCTION("GOOGLETRANSLATE(D3814,""fr"",""es"")"),"Pâmât")</f>
        <v>Pâmât</v>
      </c>
    </row>
    <row r="3815">
      <c r="A3815" s="3">
        <v>1267.0</v>
      </c>
      <c r="B3815" s="3" t="s">
        <v>6738</v>
      </c>
      <c r="C3815" s="3" t="s">
        <v>190</v>
      </c>
      <c r="D3815" s="3" t="s">
        <v>4476</v>
      </c>
      <c r="E3815" s="3" t="s">
        <v>4477</v>
      </c>
      <c r="F3815" s="3" t="s">
        <v>4478</v>
      </c>
      <c r="G3815" s="3" t="str">
        <f>IFERROR(__xludf.DUMMYFUNCTION("GOOGLETRANSLATE(D3815,""fr"",""es"")"),"palmadita")</f>
        <v>palmadita</v>
      </c>
    </row>
    <row r="3816">
      <c r="A3816" s="3">
        <v>1268.0</v>
      </c>
      <c r="B3816" s="3" t="s">
        <v>6738</v>
      </c>
      <c r="C3816" s="3" t="s">
        <v>190</v>
      </c>
      <c r="D3816" s="3" t="s">
        <v>4479</v>
      </c>
      <c r="E3816" s="3" t="s">
        <v>4477</v>
      </c>
      <c r="F3816" s="3" t="s">
        <v>4478</v>
      </c>
      <c r="G3816" s="3" t="str">
        <f>IFERROR(__xludf.DUMMYFUNCTION("GOOGLETRANSLATE(D3816,""fr"",""es"")"),"De manera emprendedora")</f>
        <v>De manera emprendedora</v>
      </c>
    </row>
    <row r="3817">
      <c r="A3817" s="3">
        <v>1269.0</v>
      </c>
      <c r="B3817" s="3" t="s">
        <v>6738</v>
      </c>
      <c r="C3817" s="3" t="s">
        <v>190</v>
      </c>
      <c r="D3817" s="3" t="s">
        <v>4480</v>
      </c>
      <c r="E3817" s="3" t="s">
        <v>4477</v>
      </c>
      <c r="F3817" s="3" t="s">
        <v>4478</v>
      </c>
      <c r="G3817" s="3" t="str">
        <f>IFERROR(__xludf.DUMMYFUNCTION("GOOGLETRANSLATE(D3817,""fr"",""es"")"),"Pensilvania.")</f>
        <v>Pensilvania.</v>
      </c>
    </row>
    <row r="3818">
      <c r="A3818" s="3">
        <v>1270.0</v>
      </c>
      <c r="B3818" s="3" t="s">
        <v>6738</v>
      </c>
      <c r="C3818" s="3" t="s">
        <v>190</v>
      </c>
      <c r="D3818" s="3" t="s">
        <v>4506</v>
      </c>
      <c r="E3818" s="3" t="s">
        <v>4505</v>
      </c>
      <c r="F3818" s="3" t="s">
        <v>4506</v>
      </c>
      <c r="G3818" s="3" t="str">
        <f>IFERROR(__xludf.DUMMYFUNCTION("GOOGLETRANSLATE(D3818,""fr"",""es"")"),"Pana")</f>
        <v>Pana</v>
      </c>
    </row>
    <row r="3819">
      <c r="A3819" s="3">
        <v>1271.0</v>
      </c>
      <c r="B3819" s="3" t="s">
        <v>6738</v>
      </c>
      <c r="C3819" s="3" t="s">
        <v>190</v>
      </c>
      <c r="D3819" s="3" t="s">
        <v>7562</v>
      </c>
      <c r="E3819" s="3" t="s">
        <v>4482</v>
      </c>
      <c r="F3819" s="3" t="s">
        <v>4483</v>
      </c>
      <c r="G3819" s="3" t="str">
        <f>IFERROR(__xludf.DUMMYFUNCTION("GOOGLETRANSLATE(D3819,""fr"",""es"")"),"Panacha")</f>
        <v>Panacha</v>
      </c>
    </row>
    <row r="3820">
      <c r="A3820" s="3">
        <v>1272.0</v>
      </c>
      <c r="B3820" s="3" t="s">
        <v>6738</v>
      </c>
      <c r="C3820" s="3" t="s">
        <v>190</v>
      </c>
      <c r="D3820" s="3" t="s">
        <v>4487</v>
      </c>
      <c r="E3820" s="3" t="s">
        <v>4488</v>
      </c>
      <c r="F3820" s="3" t="s">
        <v>4489</v>
      </c>
      <c r="G3820" s="3" t="str">
        <f>IFERROR(__xludf.DUMMYFUNCTION("GOOGLETRANSLATE(D3820,""fr"",""es"")"),"inmersión")</f>
        <v>inmersión</v>
      </c>
    </row>
    <row r="3821">
      <c r="A3821" s="3">
        <v>1273.0</v>
      </c>
      <c r="B3821" s="3" t="s">
        <v>6738</v>
      </c>
      <c r="C3821" s="3" t="s">
        <v>190</v>
      </c>
      <c r="D3821" s="3" t="s">
        <v>7563</v>
      </c>
      <c r="E3821" s="3" t="s">
        <v>4482</v>
      </c>
      <c r="F3821" s="3" t="s">
        <v>4483</v>
      </c>
      <c r="G3821" s="3" t="str">
        <f>IFERROR(__xludf.DUMMYFUNCTION("GOOGLETRANSLATE(D3821,""fr"",""es"")"),"Panachas")</f>
        <v>Panachas</v>
      </c>
    </row>
    <row r="3822">
      <c r="A3822" s="3">
        <v>1274.0</v>
      </c>
      <c r="B3822" s="3" t="s">
        <v>6738</v>
      </c>
      <c r="C3822" s="3" t="s">
        <v>190</v>
      </c>
      <c r="D3822" s="3" t="s">
        <v>4490</v>
      </c>
      <c r="E3822" s="3" t="s">
        <v>4491</v>
      </c>
      <c r="F3822" s="3" t="s">
        <v>4492</v>
      </c>
      <c r="G3822" s="3" t="str">
        <f>IFERROR(__xludf.DUMMYFUNCTION("GOOGLETRANSLATE(D3822,""fr"",""es"")"),"emplomado")</f>
        <v>emplomado</v>
      </c>
    </row>
    <row r="3823">
      <c r="A3823" s="3">
        <v>1275.0</v>
      </c>
      <c r="B3823" s="3" t="s">
        <v>6738</v>
      </c>
      <c r="C3823" s="3" t="s">
        <v>190</v>
      </c>
      <c r="D3823" s="3" t="s">
        <v>4493</v>
      </c>
      <c r="E3823" s="3" t="s">
        <v>4491</v>
      </c>
      <c r="F3823" s="3" t="s">
        <v>4492</v>
      </c>
      <c r="G3823" s="3" t="str">
        <f>IFERROR(__xludf.DUMMYFUNCTION("GOOGLETRANSLATE(D3823,""fr"",""es"")"),"enchufar")</f>
        <v>enchufar</v>
      </c>
    </row>
    <row r="3824">
      <c r="A3824" s="3">
        <v>1276.0</v>
      </c>
      <c r="B3824" s="3" t="s">
        <v>6738</v>
      </c>
      <c r="C3824" s="3" t="s">
        <v>190</v>
      </c>
      <c r="D3824" s="3" t="s">
        <v>4494</v>
      </c>
      <c r="E3824" s="3" t="s">
        <v>4491</v>
      </c>
      <c r="F3824" s="3" t="s">
        <v>4492</v>
      </c>
      <c r="G3824" s="3" t="str">
        <f>IFERROR(__xludf.DUMMYFUNCTION("GOOGLETRANSLATE(D3824,""fr"",""es"")"),"inmersión")</f>
        <v>inmersión</v>
      </c>
    </row>
    <row r="3825">
      <c r="A3825" s="3">
        <v>1277.0</v>
      </c>
      <c r="B3825" s="3" t="s">
        <v>6738</v>
      </c>
      <c r="C3825" s="3" t="s">
        <v>190</v>
      </c>
      <c r="D3825" s="3" t="s">
        <v>7564</v>
      </c>
      <c r="E3825" s="3" t="s">
        <v>4482</v>
      </c>
      <c r="F3825" s="3" t="s">
        <v>4483</v>
      </c>
      <c r="G3825" s="3" t="str">
        <f>IFERROR(__xludf.DUMMYFUNCTION("GOOGLETRANSLATE(D3825,""fr"",""es"")"),"Panachât")</f>
        <v>Panachât</v>
      </c>
    </row>
    <row r="3826">
      <c r="A3826" s="3">
        <v>1278.0</v>
      </c>
      <c r="B3826" s="3" t="s">
        <v>6738</v>
      </c>
      <c r="C3826" s="3" t="s">
        <v>190</v>
      </c>
      <c r="D3826" s="3" t="s">
        <v>4495</v>
      </c>
      <c r="E3826" s="3" t="s">
        <v>4496</v>
      </c>
      <c r="F3826" s="3" t="s">
        <v>4497</v>
      </c>
      <c r="G3826" s="3" t="str">
        <f>IFERROR(__xludf.DUMMYFUNCTION("GOOGLETRANSLATE(D3826,""fr"",""es"")"),"penacho")</f>
        <v>penacho</v>
      </c>
      <c r="H3826" s="3" t="s">
        <v>4498</v>
      </c>
      <c r="I3826" s="3" t="s">
        <v>4499</v>
      </c>
      <c r="J3826" s="3" t="s">
        <v>4500</v>
      </c>
      <c r="K3826" s="3" t="s">
        <v>4495</v>
      </c>
      <c r="L3826" s="3" t="s">
        <v>4501</v>
      </c>
    </row>
    <row r="3827">
      <c r="A3827" s="3">
        <v>1279.0</v>
      </c>
      <c r="B3827" s="3" t="s">
        <v>6738</v>
      </c>
      <c r="C3827" s="3" t="s">
        <v>190</v>
      </c>
      <c r="D3827" s="3" t="s">
        <v>4502</v>
      </c>
      <c r="E3827" s="3" t="s">
        <v>4496</v>
      </c>
      <c r="F3827" s="3" t="s">
        <v>4497</v>
      </c>
      <c r="G3827" s="3" t="str">
        <f>IFERROR(__xludf.DUMMYFUNCTION("GOOGLETRANSLATE(D3827,""fr"",""es"")"),"plumento")</f>
        <v>plumento</v>
      </c>
    </row>
    <row r="3828">
      <c r="A3828" s="3">
        <v>1280.0</v>
      </c>
      <c r="B3828" s="3" t="s">
        <v>6738</v>
      </c>
      <c r="C3828" s="3" t="s">
        <v>190</v>
      </c>
      <c r="D3828" s="3" t="s">
        <v>4503</v>
      </c>
      <c r="E3828" s="3" t="s">
        <v>4496</v>
      </c>
      <c r="F3828" s="3" t="s">
        <v>4497</v>
      </c>
      <c r="G3828" s="3" t="str">
        <f>IFERROR(__xludf.DUMMYFUNCTION("GOOGLETRANSLATE(D3828,""fr"",""es"")"),"inmersión")</f>
        <v>inmersión</v>
      </c>
    </row>
    <row r="3829">
      <c r="A3829" s="3">
        <v>1281.0</v>
      </c>
      <c r="B3829" s="3" t="s">
        <v>6738</v>
      </c>
      <c r="C3829" s="3" t="s">
        <v>190</v>
      </c>
      <c r="D3829" s="3" t="s">
        <v>7565</v>
      </c>
      <c r="E3829" s="3" t="s">
        <v>7566</v>
      </c>
      <c r="F3829" s="3" t="s">
        <v>7565</v>
      </c>
      <c r="G3829" s="3" t="str">
        <f>IFERROR(__xludf.DUMMYFUNCTION("GOOGLETRANSLATE(D3829,""fr"",""es"")"),"Panamá")</f>
        <v>Panamá</v>
      </c>
      <c r="H3829" s="3" t="s">
        <v>7567</v>
      </c>
      <c r="I3829" s="3" t="s">
        <v>7568</v>
      </c>
      <c r="J3829" s="3" t="s">
        <v>7569</v>
      </c>
      <c r="K3829" s="3" t="s">
        <v>7570</v>
      </c>
      <c r="L3829" s="3" t="s">
        <v>7571</v>
      </c>
      <c r="M3829" s="3" t="s">
        <v>7572</v>
      </c>
      <c r="N3829" s="3" t="s">
        <v>7573</v>
      </c>
      <c r="O3829" s="3" t="s">
        <v>7567</v>
      </c>
      <c r="P3829" s="3" t="s">
        <v>7568</v>
      </c>
      <c r="Q3829" s="3" t="s">
        <v>7569</v>
      </c>
      <c r="R3829" s="3" t="s">
        <v>7570</v>
      </c>
      <c r="S3829" s="3" t="s">
        <v>7571</v>
      </c>
      <c r="T3829" s="3" t="s">
        <v>7572</v>
      </c>
      <c r="U3829" s="3" t="s">
        <v>7573</v>
      </c>
      <c r="V3829" s="3" t="s">
        <v>7569</v>
      </c>
      <c r="W3829" s="3" t="s">
        <v>7574</v>
      </c>
    </row>
    <row r="3830">
      <c r="A3830" s="3">
        <v>1282.0</v>
      </c>
      <c r="B3830" s="3" t="s">
        <v>6738</v>
      </c>
      <c r="C3830" s="3" t="s">
        <v>190</v>
      </c>
      <c r="D3830" s="3" t="s">
        <v>7569</v>
      </c>
      <c r="E3830" s="3" t="s">
        <v>7566</v>
      </c>
      <c r="F3830" s="3" t="s">
        <v>7565</v>
      </c>
      <c r="G3830" s="3" t="str">
        <f>IFERROR(__xludf.DUMMYFUNCTION("GOOGLETRANSLATE(D3830,""fr"",""es"")"),"Panamá")</f>
        <v>Panamá</v>
      </c>
      <c r="H3830" s="3" t="s">
        <v>7567</v>
      </c>
      <c r="I3830" s="3" t="s">
        <v>7568</v>
      </c>
      <c r="J3830" s="3" t="s">
        <v>7569</v>
      </c>
      <c r="K3830" s="3" t="s">
        <v>7570</v>
      </c>
      <c r="L3830" s="3" t="s">
        <v>7571</v>
      </c>
      <c r="M3830" s="3" t="s">
        <v>7572</v>
      </c>
      <c r="N3830" s="3" t="s">
        <v>7573</v>
      </c>
      <c r="O3830" s="3" t="s">
        <v>7567</v>
      </c>
      <c r="P3830" s="3" t="s">
        <v>7568</v>
      </c>
      <c r="Q3830" s="3" t="s">
        <v>7569</v>
      </c>
      <c r="R3830" s="3" t="s">
        <v>7570</v>
      </c>
      <c r="S3830" s="3" t="s">
        <v>7571</v>
      </c>
      <c r="T3830" s="3" t="s">
        <v>7572</v>
      </c>
      <c r="U3830" s="3" t="s">
        <v>7573</v>
      </c>
      <c r="V3830" s="3" t="s">
        <v>7569</v>
      </c>
      <c r="W3830" s="3" t="s">
        <v>7574</v>
      </c>
    </row>
    <row r="3831">
      <c r="A3831" s="3">
        <v>1283.0</v>
      </c>
      <c r="B3831" s="3" t="s">
        <v>6738</v>
      </c>
      <c r="C3831" s="3" t="s">
        <v>190</v>
      </c>
      <c r="D3831" s="3" t="s">
        <v>7575</v>
      </c>
      <c r="E3831" s="3" t="s">
        <v>7566</v>
      </c>
      <c r="F3831" s="3" t="s">
        <v>7565</v>
      </c>
      <c r="G3831" s="3" t="str">
        <f>IFERROR(__xludf.DUMMYFUNCTION("GOOGLETRANSLATE(D3831,""fr"",""es"")"),"Panamas")</f>
        <v>Panamas</v>
      </c>
    </row>
    <row r="3832">
      <c r="A3832" s="3">
        <v>1284.0</v>
      </c>
      <c r="B3832" s="3" t="s">
        <v>6738</v>
      </c>
      <c r="C3832" s="3" t="s">
        <v>190</v>
      </c>
      <c r="D3832" s="3" t="s">
        <v>4512</v>
      </c>
      <c r="E3832" s="3" t="s">
        <v>4513</v>
      </c>
      <c r="F3832" s="3" t="s">
        <v>4514</v>
      </c>
      <c r="G3832" s="3" t="str">
        <f>IFERROR(__xludf.DUMMYFUNCTION("GOOGLETRANSLATE(D3832,""fr"",""es"")"),"Paname")</f>
        <v>Paname</v>
      </c>
    </row>
    <row r="3833">
      <c r="A3833" s="3">
        <v>1285.0</v>
      </c>
      <c r="B3833" s="3" t="s">
        <v>6738</v>
      </c>
      <c r="C3833" s="3" t="s">
        <v>190</v>
      </c>
      <c r="D3833" s="3" t="s">
        <v>4515</v>
      </c>
      <c r="E3833" s="3" t="s">
        <v>4513</v>
      </c>
      <c r="F3833" s="3" t="s">
        <v>4514</v>
      </c>
      <c r="G3833" s="3" t="str">
        <f>IFERROR(__xludf.DUMMYFUNCTION("GOOGLETRANSLATE(D3833,""fr"",""es"")"),"sartén")</f>
        <v>sartén</v>
      </c>
    </row>
    <row r="3834">
      <c r="A3834" s="3">
        <v>1286.0</v>
      </c>
      <c r="B3834" s="3" t="s">
        <v>6738</v>
      </c>
      <c r="C3834" s="3" t="s">
        <v>190</v>
      </c>
      <c r="D3834" s="3" t="s">
        <v>4518</v>
      </c>
      <c r="E3834" s="3" t="s">
        <v>4505</v>
      </c>
      <c r="F3834" s="3" t="s">
        <v>4506</v>
      </c>
      <c r="G3834" s="3" t="str">
        <f>IFERROR(__xludf.DUMMYFUNCTION("GOOGLETRANSLATE(D3834,""fr"",""es"")"),"panas")</f>
        <v>panas</v>
      </c>
    </row>
    <row r="3835">
      <c r="A3835" s="3">
        <v>1287.0</v>
      </c>
      <c r="B3835" s="3" t="s">
        <v>6738</v>
      </c>
      <c r="C3835" s="3" t="s">
        <v>190</v>
      </c>
      <c r="D3835" s="3" t="s">
        <v>4516</v>
      </c>
      <c r="E3835" s="3" t="s">
        <v>4517</v>
      </c>
      <c r="F3835" s="3" t="s">
        <v>4518</v>
      </c>
      <c r="G3835" s="3" t="str">
        <f>IFERROR(__xludf.DUMMYFUNCTION("GOOGLETRANSLATE(D3835,""fr"",""es"")"),"panisse")</f>
        <v>panisse</v>
      </c>
    </row>
    <row r="3836">
      <c r="A3836" s="3">
        <v>1288.0</v>
      </c>
      <c r="B3836" s="3" t="s">
        <v>6738</v>
      </c>
      <c r="C3836" s="3" t="s">
        <v>190</v>
      </c>
      <c r="D3836" s="3" t="s">
        <v>4519</v>
      </c>
      <c r="E3836" s="3" t="s">
        <v>4517</v>
      </c>
      <c r="F3836" s="3" t="s">
        <v>4518</v>
      </c>
      <c r="G3836" s="3" t="str">
        <f>IFERROR(__xludf.DUMMYFUNCTION("GOOGLETRANSLATE(D3836,""fr"",""es"")"),"panisse")</f>
        <v>panisse</v>
      </c>
    </row>
    <row r="3837">
      <c r="A3837" s="3">
        <v>1289.0</v>
      </c>
      <c r="B3837" s="3" t="s">
        <v>6738</v>
      </c>
      <c r="C3837" s="3" t="s">
        <v>190</v>
      </c>
      <c r="D3837" s="3" t="s">
        <v>4520</v>
      </c>
      <c r="E3837" s="3" t="s">
        <v>4517</v>
      </c>
      <c r="F3837" s="3" t="s">
        <v>4518</v>
      </c>
      <c r="G3837" s="3" t="str">
        <f>IFERROR(__xludf.DUMMYFUNCTION("GOOGLETRANSLATE(D3837,""fr"",""es"")"),"panlasses")</f>
        <v>panlasses</v>
      </c>
    </row>
    <row r="3838">
      <c r="A3838" s="3">
        <v>1290.0</v>
      </c>
      <c r="B3838" s="3" t="s">
        <v>6738</v>
      </c>
      <c r="C3838" s="3" t="s">
        <v>190</v>
      </c>
      <c r="D3838" s="3" t="s">
        <v>7576</v>
      </c>
      <c r="E3838" s="3" t="s">
        <v>4505</v>
      </c>
      <c r="F3838" s="3" t="s">
        <v>4506</v>
      </c>
      <c r="G3838" s="3" t="str">
        <f>IFERROR(__xludf.DUMMYFUNCTION("GOOGLETRANSLATE(D3838,""fr"",""es"")"),"sartén")</f>
        <v>sartén</v>
      </c>
    </row>
    <row r="3839">
      <c r="A3839" s="3">
        <v>1291.0</v>
      </c>
      <c r="B3839" s="3" t="s">
        <v>6738</v>
      </c>
      <c r="C3839" s="3" t="s">
        <v>190</v>
      </c>
      <c r="D3839" s="3" t="s">
        <v>4521</v>
      </c>
      <c r="E3839" s="3" t="s">
        <v>4522</v>
      </c>
      <c r="F3839" s="3" t="s">
        <v>4523</v>
      </c>
      <c r="G3839" s="3" t="str">
        <f>IFERROR(__xludf.DUMMYFUNCTION("GOOGLETRANSLATE(D3839,""fr"",""es"")"),"empanizado")</f>
        <v>empanizado</v>
      </c>
    </row>
    <row r="3840">
      <c r="A3840" s="3">
        <v>1292.0</v>
      </c>
      <c r="B3840" s="3" t="s">
        <v>6738</v>
      </c>
      <c r="C3840" s="3" t="s">
        <v>190</v>
      </c>
      <c r="D3840" s="3" t="s">
        <v>4529</v>
      </c>
      <c r="E3840" s="3" t="s">
        <v>4522</v>
      </c>
      <c r="F3840" s="3" t="s">
        <v>4523</v>
      </c>
      <c r="G3840" s="3" t="str">
        <f>IFERROR(__xludf.DUMMYFUNCTION("GOOGLETRANSLATE(D3840,""fr"",""es"")"),"pandel")</f>
        <v>pandel</v>
      </c>
    </row>
    <row r="3841">
      <c r="A3841" s="3">
        <v>1293.0</v>
      </c>
      <c r="B3841" s="3" t="s">
        <v>6738</v>
      </c>
      <c r="C3841" s="3" t="s">
        <v>190</v>
      </c>
      <c r="D3841" s="3" t="s">
        <v>4530</v>
      </c>
      <c r="E3841" s="3" t="s">
        <v>4522</v>
      </c>
      <c r="F3841" s="3" t="s">
        <v>4523</v>
      </c>
      <c r="G3841" s="3" t="str">
        <f>IFERROR(__xludf.DUMMYFUNCTION("GOOGLETRANSLATE(D3841,""fr"",""es"")"),"paneles")</f>
        <v>paneles</v>
      </c>
    </row>
    <row r="3842">
      <c r="A3842" s="3">
        <v>1294.0</v>
      </c>
      <c r="B3842" s="3" t="s">
        <v>6738</v>
      </c>
      <c r="C3842" s="3" t="s">
        <v>190</v>
      </c>
      <c r="D3842" s="3" t="s">
        <v>4531</v>
      </c>
      <c r="E3842" s="3" t="s">
        <v>7577</v>
      </c>
      <c r="F3842" s="3" t="s">
        <v>4531</v>
      </c>
      <c r="G3842" s="3" t="str">
        <f>IFERROR(__xludf.DUMMYFUNCTION("GOOGLETRANSLATE(D3842,""fr"",""es"")"),"panín")</f>
        <v>panín</v>
      </c>
      <c r="H3842" s="3" t="s">
        <v>4533</v>
      </c>
    </row>
    <row r="3843">
      <c r="A3843" s="3">
        <v>1295.0</v>
      </c>
      <c r="B3843" s="3" t="s">
        <v>6738</v>
      </c>
      <c r="C3843" s="3" t="s">
        <v>190</v>
      </c>
      <c r="D3843" s="3" t="s">
        <v>7578</v>
      </c>
      <c r="E3843" s="3" t="s">
        <v>7579</v>
      </c>
      <c r="F3843" s="3" t="s">
        <v>4536</v>
      </c>
      <c r="G3843" s="3" t="str">
        <f>IFERROR(__xludf.DUMMYFUNCTION("GOOGLETRANSLATE(D3843,""fr"",""es"")"),"panica")</f>
        <v>panica</v>
      </c>
    </row>
    <row r="3844">
      <c r="A3844" s="3">
        <v>1296.0</v>
      </c>
      <c r="B3844" s="3" t="s">
        <v>6738</v>
      </c>
      <c r="C3844" s="3" t="s">
        <v>190</v>
      </c>
      <c r="D3844" s="3" t="s">
        <v>4540</v>
      </c>
      <c r="E3844" s="3" t="s">
        <v>7580</v>
      </c>
      <c r="F3844" s="3" t="s">
        <v>4542</v>
      </c>
      <c r="G3844" s="3" t="str">
        <f>IFERROR(__xludf.DUMMYFUNCTION("GOOGLETRANSLATE(D3844,""fr"",""es"")"),"paniqua")</f>
        <v>paniqua</v>
      </c>
    </row>
    <row r="3845">
      <c r="A3845" s="3">
        <v>1297.0</v>
      </c>
      <c r="B3845" s="3" t="s">
        <v>6738</v>
      </c>
      <c r="C3845" s="3" t="s">
        <v>190</v>
      </c>
      <c r="D3845" s="3" t="s">
        <v>7581</v>
      </c>
      <c r="E3845" s="3" t="s">
        <v>7579</v>
      </c>
      <c r="F3845" s="3" t="s">
        <v>4536</v>
      </c>
      <c r="G3845" s="3" t="str">
        <f>IFERROR(__xludf.DUMMYFUNCTION("GOOGLETRANSLATE(D3845,""fr"",""es"")"),"paniquas")</f>
        <v>paniquas</v>
      </c>
    </row>
    <row r="3846">
      <c r="A3846" s="3">
        <v>1298.0</v>
      </c>
      <c r="B3846" s="3" t="s">
        <v>6738</v>
      </c>
      <c r="C3846" s="3" t="s">
        <v>190</v>
      </c>
      <c r="D3846" s="3" t="s">
        <v>4543</v>
      </c>
      <c r="E3846" s="3" t="s">
        <v>7582</v>
      </c>
      <c r="F3846" s="3" t="s">
        <v>4545</v>
      </c>
      <c r="G3846" s="3" t="str">
        <f>IFERROR(__xludf.DUMMYFUNCTION("GOOGLETRANSLATE(D3846,""fr"",""es"")"),"panicasé")</f>
        <v>panicasé</v>
      </c>
    </row>
    <row r="3847">
      <c r="A3847" s="3">
        <v>1299.0</v>
      </c>
      <c r="B3847" s="3" t="s">
        <v>6738</v>
      </c>
      <c r="C3847" s="3" t="s">
        <v>190</v>
      </c>
      <c r="D3847" s="3" t="s">
        <v>4546</v>
      </c>
      <c r="E3847" s="3" t="s">
        <v>7582</v>
      </c>
      <c r="F3847" s="3" t="s">
        <v>4545</v>
      </c>
      <c r="G3847" s="3" t="str">
        <f>IFERROR(__xludf.DUMMYFUNCTION("GOOGLETRANSLATE(D3847,""fr"",""es"")"),"panicasé")</f>
        <v>panicasé</v>
      </c>
    </row>
    <row r="3848">
      <c r="A3848" s="3">
        <v>1300.0</v>
      </c>
      <c r="B3848" s="3" t="s">
        <v>6738</v>
      </c>
      <c r="C3848" s="3" t="s">
        <v>190</v>
      </c>
      <c r="D3848" s="3" t="s">
        <v>4547</v>
      </c>
      <c r="E3848" s="3" t="s">
        <v>7582</v>
      </c>
      <c r="F3848" s="3" t="s">
        <v>4545</v>
      </c>
      <c r="G3848" s="3" t="str">
        <f>IFERROR(__xludf.DUMMYFUNCTION("GOOGLETRANSLATE(D3848,""fr"",""es"")"),"panicassas")</f>
        <v>panicassas</v>
      </c>
    </row>
    <row r="3849">
      <c r="A3849" s="3">
        <v>1301.0</v>
      </c>
      <c r="B3849" s="3" t="s">
        <v>6738</v>
      </c>
      <c r="C3849" s="3" t="s">
        <v>190</v>
      </c>
      <c r="D3849" s="3" t="s">
        <v>7583</v>
      </c>
      <c r="E3849" s="3" t="s">
        <v>7579</v>
      </c>
      <c r="F3849" s="3" t="s">
        <v>4536</v>
      </c>
      <c r="G3849" s="3" t="str">
        <f>IFERROR(__xludf.DUMMYFUNCTION("GOOGLETRANSLATE(D3849,""fr"",""es"")"),"paniquat")</f>
        <v>paniquat</v>
      </c>
    </row>
    <row r="3850">
      <c r="A3850" s="3">
        <v>1302.0</v>
      </c>
      <c r="B3850" s="3" t="s">
        <v>6738</v>
      </c>
      <c r="C3850" s="3" t="s">
        <v>190</v>
      </c>
      <c r="D3850" s="3" t="s">
        <v>4548</v>
      </c>
      <c r="E3850" s="3" t="s">
        <v>7584</v>
      </c>
      <c r="F3850" s="3" t="s">
        <v>4550</v>
      </c>
      <c r="G3850" s="3" t="str">
        <f>IFERROR(__xludf.DUMMYFUNCTION("GOOGLETRANSLATE(D3850,""fr"",""es"")"),"pánico")</f>
        <v>pánico</v>
      </c>
      <c r="H3850" s="3" t="s">
        <v>4551</v>
      </c>
      <c r="I3850" s="3" t="s">
        <v>4552</v>
      </c>
      <c r="J3850" s="3" t="s">
        <v>4553</v>
      </c>
      <c r="K3850" s="3" t="s">
        <v>4554</v>
      </c>
      <c r="L3850" s="3" t="s">
        <v>4555</v>
      </c>
      <c r="M3850" s="3" t="s">
        <v>4556</v>
      </c>
      <c r="N3850" s="3" t="s">
        <v>4557</v>
      </c>
      <c r="O3850" s="3" t="s">
        <v>4557</v>
      </c>
      <c r="P3850" s="3" t="s">
        <v>4557</v>
      </c>
      <c r="Q3850" s="3" t="s">
        <v>4558</v>
      </c>
      <c r="R3850" s="3" t="s">
        <v>4559</v>
      </c>
      <c r="S3850" s="3" t="s">
        <v>4557</v>
      </c>
      <c r="T3850" s="3" t="s">
        <v>4560</v>
      </c>
    </row>
    <row r="3851">
      <c r="A3851" s="3">
        <v>1303.0</v>
      </c>
      <c r="B3851" s="3" t="s">
        <v>6738</v>
      </c>
      <c r="C3851" s="3" t="s">
        <v>190</v>
      </c>
      <c r="D3851" s="3" t="s">
        <v>4561</v>
      </c>
      <c r="E3851" s="3" t="s">
        <v>7584</v>
      </c>
      <c r="F3851" s="3" t="s">
        <v>4550</v>
      </c>
      <c r="G3851" s="3" t="str">
        <f>IFERROR(__xludf.DUMMYFUNCTION("GOOGLETRANSLATE(D3851,""fr"",""es"")"),"pánico")</f>
        <v>pánico</v>
      </c>
    </row>
    <row r="3852">
      <c r="A3852" s="3">
        <v>1304.0</v>
      </c>
      <c r="B3852" s="3" t="s">
        <v>6738</v>
      </c>
      <c r="C3852" s="3" t="s">
        <v>190</v>
      </c>
      <c r="D3852" s="3" t="s">
        <v>4562</v>
      </c>
      <c r="E3852" s="3" t="s">
        <v>7584</v>
      </c>
      <c r="F3852" s="3" t="s">
        <v>4550</v>
      </c>
      <c r="G3852" s="3" t="str">
        <f>IFERROR(__xludf.DUMMYFUNCTION("GOOGLETRANSLATE(D3852,""fr"",""es"")"),"pánico")</f>
        <v>pánico</v>
      </c>
    </row>
    <row r="3853">
      <c r="A3853" s="3">
        <v>1305.0</v>
      </c>
      <c r="B3853" s="3" t="s">
        <v>6738</v>
      </c>
      <c r="C3853" s="3" t="s">
        <v>190</v>
      </c>
      <c r="D3853" s="3" t="s">
        <v>4563</v>
      </c>
      <c r="E3853" s="3" t="s">
        <v>4522</v>
      </c>
      <c r="F3853" s="3" t="s">
        <v>4523</v>
      </c>
      <c r="G3853" s="3" t="str">
        <f>IFERROR(__xludf.DUMMYFUNCTION("GOOGLETRANSLATE(D3853,""fr"",""es"")"),"desglose")</f>
        <v>desglose</v>
      </c>
      <c r="H3853" s="3" t="s">
        <v>4564</v>
      </c>
      <c r="I3853" s="3" t="s">
        <v>4565</v>
      </c>
      <c r="J3853" s="3" t="s">
        <v>4566</v>
      </c>
      <c r="K3853" s="3" t="s">
        <v>4567</v>
      </c>
    </row>
    <row r="3854">
      <c r="A3854" s="3">
        <v>1306.0</v>
      </c>
      <c r="B3854" s="3" t="s">
        <v>6738</v>
      </c>
      <c r="C3854" s="3" t="s">
        <v>190</v>
      </c>
      <c r="D3854" s="3" t="s">
        <v>4568</v>
      </c>
      <c r="E3854" s="3" t="s">
        <v>4522</v>
      </c>
      <c r="F3854" s="3" t="s">
        <v>4523</v>
      </c>
      <c r="G3854" s="3" t="str">
        <f>IFERROR(__xludf.DUMMYFUNCTION("GOOGLETRANSLATE(D3854,""fr"",""es"")"),"desgloses")</f>
        <v>desgloses</v>
      </c>
    </row>
    <row r="3855">
      <c r="A3855" s="3">
        <v>1307.0</v>
      </c>
      <c r="B3855" s="3" t="s">
        <v>6738</v>
      </c>
      <c r="C3855" s="3" t="s">
        <v>190</v>
      </c>
      <c r="D3855" s="3" t="s">
        <v>4569</v>
      </c>
      <c r="E3855" s="3" t="s">
        <v>4522</v>
      </c>
      <c r="F3855" s="3" t="s">
        <v>4523</v>
      </c>
      <c r="G3855" s="3" t="str">
        <f>IFERROR(__xludf.DUMMYFUNCTION("GOOGLETRANSLATE(D3855,""fr"",""es"")"),"pava real")</f>
        <v>pava real</v>
      </c>
      <c r="H3855" s="3" t="s">
        <v>4570</v>
      </c>
    </row>
    <row r="3856">
      <c r="A3856" s="3">
        <v>1308.0</v>
      </c>
      <c r="B3856" s="3" t="s">
        <v>6738</v>
      </c>
      <c r="C3856" s="3" t="s">
        <v>190</v>
      </c>
      <c r="D3856" s="3" t="s">
        <v>4571</v>
      </c>
      <c r="E3856" s="3" t="s">
        <v>4522</v>
      </c>
      <c r="F3856" s="3" t="s">
        <v>4523</v>
      </c>
      <c r="G3856" s="3" t="str">
        <f>IFERROR(__xludf.DUMMYFUNCTION("GOOGLETRANSLATE(D3856,""fr"",""es"")"),"vaina")</f>
        <v>vaina</v>
      </c>
    </row>
    <row r="3857">
      <c r="A3857" s="3">
        <v>1309.0</v>
      </c>
      <c r="B3857" s="3" t="s">
        <v>6738</v>
      </c>
      <c r="C3857" s="3" t="s">
        <v>190</v>
      </c>
      <c r="D3857" s="3" t="s">
        <v>4572</v>
      </c>
      <c r="E3857" s="3" t="s">
        <v>4573</v>
      </c>
      <c r="F3857" s="3" t="s">
        <v>4572</v>
      </c>
      <c r="G3857" s="3" t="str">
        <f>IFERROR(__xludf.DUMMYFUNCTION("GOOGLETRANSLATE(D3857,""fr"",""es"")"),"padre")</f>
        <v>padre</v>
      </c>
      <c r="H3857" s="3" t="s">
        <v>4574</v>
      </c>
      <c r="I3857" s="3" t="s">
        <v>4575</v>
      </c>
      <c r="J3857" s="3" t="s">
        <v>4576</v>
      </c>
      <c r="K3857" s="3" t="s">
        <v>4351</v>
      </c>
      <c r="L3857" s="3" t="s">
        <v>4572</v>
      </c>
      <c r="M3857" s="3" t="s">
        <v>4577</v>
      </c>
      <c r="N3857" s="3" t="s">
        <v>4578</v>
      </c>
    </row>
    <row r="3858">
      <c r="A3858" s="3">
        <v>1310.0</v>
      </c>
      <c r="B3858" s="3" t="s">
        <v>6738</v>
      </c>
      <c r="C3858" s="3" t="s">
        <v>190</v>
      </c>
      <c r="D3858" s="3" t="s">
        <v>4579</v>
      </c>
      <c r="E3858" s="3" t="s">
        <v>4580</v>
      </c>
      <c r="F3858" s="3" t="s">
        <v>4579</v>
      </c>
      <c r="G3858" s="3" t="str">
        <f>IFERROR(__xludf.DUMMYFUNCTION("GOOGLETRANSLATE(D3858,""fr"",""es"")"),"papal")</f>
        <v>papal</v>
      </c>
      <c r="H3858" s="3" t="s">
        <v>4579</v>
      </c>
      <c r="I3858" s="3" t="s">
        <v>4581</v>
      </c>
      <c r="J3858" s="3" t="s">
        <v>4582</v>
      </c>
      <c r="K3858" s="3" t="s">
        <v>4583</v>
      </c>
    </row>
    <row r="3859">
      <c r="A3859" s="3">
        <v>1311.0</v>
      </c>
      <c r="B3859" s="3" t="s">
        <v>6738</v>
      </c>
      <c r="C3859" s="3" t="s">
        <v>190</v>
      </c>
      <c r="D3859" s="3" t="s">
        <v>4584</v>
      </c>
      <c r="E3859" s="3" t="s">
        <v>4580</v>
      </c>
      <c r="F3859" s="3" t="s">
        <v>4579</v>
      </c>
      <c r="G3859" s="3" t="str">
        <f>IFERROR(__xludf.DUMMYFUNCTION("GOOGLETRANSLATE(D3859,""fr"",""es"")"),"papal")</f>
        <v>papal</v>
      </c>
    </row>
    <row r="3860">
      <c r="A3860" s="3">
        <v>1312.0</v>
      </c>
      <c r="B3860" s="3" t="s">
        <v>6738</v>
      </c>
      <c r="C3860" s="3" t="s">
        <v>190</v>
      </c>
      <c r="D3860" s="3" t="s">
        <v>4585</v>
      </c>
      <c r="E3860" s="3" t="s">
        <v>4580</v>
      </c>
      <c r="F3860" s="3" t="s">
        <v>4579</v>
      </c>
      <c r="G3860" s="3" t="str">
        <f>IFERROR(__xludf.DUMMYFUNCTION("GOOGLETRANSLATE(D3860,""fr"",""es"")"),"papal")</f>
        <v>papal</v>
      </c>
    </row>
    <row r="3861">
      <c r="A3861" s="3">
        <v>1313.0</v>
      </c>
      <c r="B3861" s="3" t="s">
        <v>6738</v>
      </c>
      <c r="C3861" s="3" t="s">
        <v>190</v>
      </c>
      <c r="D3861" s="3" t="s">
        <v>4611</v>
      </c>
      <c r="E3861" s="3" t="s">
        <v>4573</v>
      </c>
      <c r="F3861" s="3" t="s">
        <v>4572</v>
      </c>
      <c r="G3861" s="3" t="str">
        <f>IFERROR(__xludf.DUMMYFUNCTION("GOOGLETRANSLATE(D3861,""fr"",""es"")"),"papi")</f>
        <v>papi</v>
      </c>
    </row>
    <row r="3862">
      <c r="A3862" s="3">
        <v>1314.0</v>
      </c>
      <c r="B3862" s="3" t="s">
        <v>6738</v>
      </c>
      <c r="C3862" s="3" t="s">
        <v>190</v>
      </c>
      <c r="D3862" s="3" t="s">
        <v>4586</v>
      </c>
      <c r="E3862" s="3" t="s">
        <v>4587</v>
      </c>
      <c r="F3862" s="3" t="s">
        <v>4588</v>
      </c>
      <c r="G3862" s="3" t="str">
        <f>IFERROR(__xludf.DUMMYFUNCTION("GOOGLETRANSLATE(D3862,""fr"",""es"")"),"papaya")</f>
        <v>papaya</v>
      </c>
      <c r="H3862" s="3" t="s">
        <v>4589</v>
      </c>
      <c r="I3862" s="3" t="s">
        <v>4589</v>
      </c>
      <c r="J3862" s="3" t="s">
        <v>4590</v>
      </c>
      <c r="K3862" s="3" t="s">
        <v>4591</v>
      </c>
      <c r="L3862" s="3" t="s">
        <v>4592</v>
      </c>
      <c r="M3862" s="3" t="s">
        <v>4593</v>
      </c>
      <c r="N3862" s="3" t="s">
        <v>4594</v>
      </c>
    </row>
    <row r="3863">
      <c r="A3863" s="3">
        <v>1315.0</v>
      </c>
      <c r="B3863" s="3" t="s">
        <v>6738</v>
      </c>
      <c r="C3863" s="3" t="s">
        <v>190</v>
      </c>
      <c r="D3863" s="3" t="s">
        <v>4595</v>
      </c>
      <c r="E3863" s="3" t="s">
        <v>4587</v>
      </c>
      <c r="F3863" s="3" t="s">
        <v>4588</v>
      </c>
      <c r="G3863" s="3" t="str">
        <f>IFERROR(__xludf.DUMMYFUNCTION("GOOGLETRANSLATE(D3863,""fr"",""es"")"),"papaya")</f>
        <v>papaya</v>
      </c>
    </row>
    <row r="3864">
      <c r="A3864" s="3">
        <v>1316.0</v>
      </c>
      <c r="B3864" s="3" t="s">
        <v>6738</v>
      </c>
      <c r="C3864" s="3" t="s">
        <v>190</v>
      </c>
      <c r="D3864" s="3" t="s">
        <v>4596</v>
      </c>
      <c r="E3864" s="3" t="s">
        <v>4597</v>
      </c>
      <c r="F3864" s="3" t="s">
        <v>4598</v>
      </c>
      <c r="G3864" s="3" t="str">
        <f>IFERROR(__xludf.DUMMYFUNCTION("GOOGLETRANSLATE(D3864,""fr"",""es"")"),"Papa")</f>
        <v>Papa</v>
      </c>
      <c r="H3864" s="3" t="s">
        <v>4599</v>
      </c>
      <c r="I3864" s="3" t="s">
        <v>4600</v>
      </c>
      <c r="J3864" s="3" t="s">
        <v>4601</v>
      </c>
      <c r="K3864" s="3" t="s">
        <v>4602</v>
      </c>
      <c r="L3864" s="3" t="s">
        <v>4603</v>
      </c>
      <c r="M3864" s="3" t="s">
        <v>4604</v>
      </c>
      <c r="N3864" s="3" t="s">
        <v>4605</v>
      </c>
      <c r="O3864" s="3" t="s">
        <v>4599</v>
      </c>
      <c r="P3864" s="3" t="s">
        <v>4600</v>
      </c>
      <c r="Q3864" s="3" t="s">
        <v>4601</v>
      </c>
      <c r="R3864" s="3" t="s">
        <v>4602</v>
      </c>
      <c r="S3864" s="3" t="s">
        <v>4603</v>
      </c>
      <c r="T3864" s="3" t="s">
        <v>4604</v>
      </c>
      <c r="U3864" s="3" t="s">
        <v>4605</v>
      </c>
      <c r="V3864" s="3" t="s">
        <v>4606</v>
      </c>
      <c r="W3864" s="3" t="s">
        <v>4607</v>
      </c>
    </row>
    <row r="3865">
      <c r="A3865" s="3">
        <v>1317.0</v>
      </c>
      <c r="B3865" s="3" t="s">
        <v>6738</v>
      </c>
      <c r="C3865" s="3" t="s">
        <v>190</v>
      </c>
      <c r="D3865" s="3" t="s">
        <v>4608</v>
      </c>
      <c r="E3865" s="3" t="s">
        <v>4597</v>
      </c>
      <c r="F3865" s="3" t="s">
        <v>4598</v>
      </c>
      <c r="G3865" s="3" t="str">
        <f>IFERROR(__xludf.DUMMYFUNCTION("GOOGLETRANSLATE(D3865,""fr"",""es"")"),"papas")</f>
        <v>papas</v>
      </c>
    </row>
    <row r="3866">
      <c r="A3866" s="3">
        <v>1318.0</v>
      </c>
      <c r="B3866" s="3" t="s">
        <v>6738</v>
      </c>
      <c r="C3866" s="3" t="s">
        <v>190</v>
      </c>
      <c r="D3866" s="3" t="s">
        <v>4614</v>
      </c>
      <c r="E3866" s="3" t="s">
        <v>4615</v>
      </c>
      <c r="F3866" s="3" t="s">
        <v>4614</v>
      </c>
      <c r="G3866" s="3" t="str">
        <f>IFERROR(__xludf.DUMMYFUNCTION("GOOGLETRANSLATE(D3866,""fr"",""es"")"),"Abuelo")</f>
        <v>Abuelo</v>
      </c>
      <c r="H3866" s="3" t="s">
        <v>4616</v>
      </c>
      <c r="I3866" s="3" t="s">
        <v>4617</v>
      </c>
      <c r="J3866" s="3" t="s">
        <v>4618</v>
      </c>
      <c r="K3866" s="3" t="s">
        <v>4619</v>
      </c>
      <c r="L3866" s="3" t="s">
        <v>4620</v>
      </c>
      <c r="M3866" s="3" t="s">
        <v>4621</v>
      </c>
    </row>
    <row r="3867">
      <c r="A3867" s="3">
        <v>1319.0</v>
      </c>
      <c r="B3867" s="3" t="s">
        <v>6738</v>
      </c>
      <c r="C3867" s="3" t="s">
        <v>190</v>
      </c>
      <c r="D3867" s="3" t="s">
        <v>4622</v>
      </c>
      <c r="E3867" s="3" t="s">
        <v>7585</v>
      </c>
      <c r="F3867" s="3" t="s">
        <v>4624</v>
      </c>
      <c r="G3867" s="3" t="str">
        <f>IFERROR(__xludf.DUMMYFUNCTION("GOOGLETRANSLATE(D3867,""fr"",""es"")"),"papila")</f>
        <v>papila</v>
      </c>
      <c r="H3867" s="3" t="s">
        <v>4625</v>
      </c>
      <c r="I3867" s="3" t="s">
        <v>4626</v>
      </c>
      <c r="J3867" s="3" t="s">
        <v>4627</v>
      </c>
    </row>
    <row r="3868">
      <c r="A3868" s="3">
        <v>1320.0</v>
      </c>
      <c r="B3868" s="3" t="s">
        <v>6738</v>
      </c>
      <c r="C3868" s="3" t="s">
        <v>190</v>
      </c>
      <c r="D3868" s="3" t="s">
        <v>4628</v>
      </c>
      <c r="E3868" s="3" t="s">
        <v>7585</v>
      </c>
      <c r="F3868" s="3" t="s">
        <v>4624</v>
      </c>
      <c r="G3868" s="3" t="str">
        <f>IFERROR(__xludf.DUMMYFUNCTION("GOOGLETRANSLATE(D3868,""fr"",""es"")"),"papilas gustativas")</f>
        <v>papilas gustativas</v>
      </c>
    </row>
    <row r="3869">
      <c r="A3869" s="3">
        <v>1321.0</v>
      </c>
      <c r="B3869" s="3" t="s">
        <v>6738</v>
      </c>
      <c r="C3869" s="3" t="s">
        <v>190</v>
      </c>
      <c r="D3869" s="3" t="s">
        <v>4629</v>
      </c>
      <c r="E3869" s="3" t="s">
        <v>4615</v>
      </c>
      <c r="F3869" s="3" t="s">
        <v>4614</v>
      </c>
      <c r="G3869" s="3" t="str">
        <f>IFERROR(__xludf.DUMMYFUNCTION("GOOGLETRANSLATE(D3869,""fr"",""es"")"),"papis")</f>
        <v>papis</v>
      </c>
    </row>
    <row r="3870">
      <c r="A3870" s="3">
        <v>1322.0</v>
      </c>
      <c r="B3870" s="3" t="s">
        <v>6738</v>
      </c>
      <c r="C3870" s="3" t="s">
        <v>190</v>
      </c>
      <c r="D3870" s="3" t="s">
        <v>4646</v>
      </c>
      <c r="E3870" s="3" t="s">
        <v>4647</v>
      </c>
      <c r="F3870" s="3" t="s">
        <v>4648</v>
      </c>
      <c r="G3870" s="3" t="str">
        <f>IFERROR(__xludf.DUMMYFUNCTION("GOOGLETRANSLATE(D3870,""fr"",""es"")"),"papú")</f>
        <v>papú</v>
      </c>
      <c r="H3870" s="3" t="s">
        <v>4649</v>
      </c>
      <c r="I3870" s="3" t="s">
        <v>4649</v>
      </c>
      <c r="J3870" s="3" t="s">
        <v>4650</v>
      </c>
    </row>
    <row r="3871">
      <c r="A3871" s="3">
        <v>1323.0</v>
      </c>
      <c r="B3871" s="3" t="s">
        <v>6738</v>
      </c>
      <c r="C3871" s="3" t="s">
        <v>190</v>
      </c>
      <c r="D3871" s="3" t="s">
        <v>4651</v>
      </c>
      <c r="E3871" s="3" t="s">
        <v>7586</v>
      </c>
      <c r="F3871" s="3" t="s">
        <v>4653</v>
      </c>
      <c r="G3871" s="3" t="str">
        <f>IFERROR(__xludf.DUMMYFUNCTION("GOOGLETRANSLATE(D3871,""fr"",""es"")"),"Papúa")</f>
        <v>Papúa</v>
      </c>
    </row>
    <row r="3872">
      <c r="A3872" s="3">
        <v>1324.0</v>
      </c>
      <c r="B3872" s="3" t="s">
        <v>6738</v>
      </c>
      <c r="C3872" s="3" t="s">
        <v>190</v>
      </c>
      <c r="D3872" s="3" t="s">
        <v>4654</v>
      </c>
      <c r="E3872" s="3" t="s">
        <v>7586</v>
      </c>
      <c r="F3872" s="3" t="s">
        <v>4653</v>
      </c>
      <c r="G3872" s="3" t="str">
        <f>IFERROR(__xludf.DUMMYFUNCTION("GOOGLETRANSLATE(D3872,""fr"",""es"")"),"papouilles")</f>
        <v>papouilles</v>
      </c>
    </row>
    <row r="3873">
      <c r="A3873" s="3">
        <v>1325.0</v>
      </c>
      <c r="B3873" s="3" t="s">
        <v>6738</v>
      </c>
      <c r="C3873" s="3" t="s">
        <v>190</v>
      </c>
      <c r="D3873" s="3" t="s">
        <v>4655</v>
      </c>
      <c r="E3873" s="3" t="s">
        <v>4615</v>
      </c>
      <c r="F3873" s="3" t="s">
        <v>4614</v>
      </c>
      <c r="G3873" s="3" t="str">
        <f>IFERROR(__xludf.DUMMYFUNCTION("GOOGLETRANSLATE(D3873,""fr"",""es"")"),"Abuelo")</f>
        <v>Abuelo</v>
      </c>
      <c r="H3873" s="3" t="s">
        <v>4616</v>
      </c>
      <c r="I3873" s="3" t="s">
        <v>4617</v>
      </c>
      <c r="J3873" s="3" t="s">
        <v>4618</v>
      </c>
      <c r="K3873" s="3" t="s">
        <v>4619</v>
      </c>
      <c r="L3873" s="3" t="s">
        <v>4620</v>
      </c>
      <c r="M3873" s="3" t="s">
        <v>4621</v>
      </c>
    </row>
    <row r="3874">
      <c r="A3874" s="3">
        <v>1326.0</v>
      </c>
      <c r="B3874" s="3" t="s">
        <v>6738</v>
      </c>
      <c r="C3874" s="3" t="s">
        <v>190</v>
      </c>
      <c r="D3874" s="3" t="s">
        <v>4656</v>
      </c>
      <c r="E3874" s="3" t="s">
        <v>4615</v>
      </c>
      <c r="F3874" s="3" t="s">
        <v>4614</v>
      </c>
      <c r="G3874" s="3" t="str">
        <f>IFERROR(__xludf.DUMMYFUNCTION("GOOGLETRANSLATE(D3874,""fr"",""es"")"),"papillas")</f>
        <v>papillas</v>
      </c>
    </row>
    <row r="3875">
      <c r="A3875" s="3">
        <v>1327.0</v>
      </c>
      <c r="B3875" s="3" t="s">
        <v>6738</v>
      </c>
      <c r="C3875" s="3" t="s">
        <v>190</v>
      </c>
      <c r="D3875" s="3" t="s">
        <v>4657</v>
      </c>
      <c r="E3875" s="3" t="s">
        <v>4325</v>
      </c>
      <c r="F3875" s="3" t="s">
        <v>4326</v>
      </c>
      <c r="G3875" s="3" t="str">
        <f>IFERROR(__xludf.DUMMYFUNCTION("GOOGLETRANSLATE(D3875,""fr"",""es"")"),"Pascua de Resurrección")</f>
        <v>Pascua de Resurrección</v>
      </c>
      <c r="H3875" s="3" t="s">
        <v>4658</v>
      </c>
      <c r="I3875" s="3" t="s">
        <v>4659</v>
      </c>
      <c r="J3875" s="3" t="s">
        <v>4660</v>
      </c>
      <c r="K3875" s="3" t="s">
        <v>4661</v>
      </c>
    </row>
    <row r="3876">
      <c r="A3876" s="3">
        <v>1328.0</v>
      </c>
      <c r="B3876" s="3" t="s">
        <v>6738</v>
      </c>
      <c r="C3876" s="3" t="s">
        <v>190</v>
      </c>
      <c r="D3876" s="3" t="s">
        <v>4662</v>
      </c>
      <c r="E3876" s="3" t="s">
        <v>4325</v>
      </c>
      <c r="F3876" s="3" t="s">
        <v>4326</v>
      </c>
      <c r="G3876" s="3" t="str">
        <f>IFERROR(__xludf.DUMMYFUNCTION("GOOGLETRANSLATE(D3876,""fr"",""es"")"),"Pascua de Resurrección")</f>
        <v>Pascua de Resurrección</v>
      </c>
      <c r="H3876" s="3" t="s">
        <v>4663</v>
      </c>
      <c r="I3876" s="3" t="s">
        <v>4664</v>
      </c>
      <c r="J3876" s="3" t="s">
        <v>4665</v>
      </c>
      <c r="K3876" s="3" t="s">
        <v>4666</v>
      </c>
      <c r="L3876" s="3" t="s">
        <v>4658</v>
      </c>
      <c r="M3876" s="3" t="s">
        <v>4659</v>
      </c>
      <c r="N3876" s="3" t="s">
        <v>4660</v>
      </c>
      <c r="O3876" s="3" t="s">
        <v>4661</v>
      </c>
    </row>
    <row r="3877">
      <c r="A3877" s="3">
        <v>1329.0</v>
      </c>
      <c r="B3877" s="3" t="s">
        <v>6738</v>
      </c>
      <c r="C3877" s="3" t="s">
        <v>190</v>
      </c>
      <c r="D3877" s="3" t="s">
        <v>172</v>
      </c>
      <c r="E3877" s="3" t="s">
        <v>4350</v>
      </c>
      <c r="F3877" s="3" t="s">
        <v>4351</v>
      </c>
      <c r="G3877" s="3" t="str">
        <f>IFERROR(__xludf.DUMMYFUNCTION("GOOGLETRANSLATE(D3877,""fr"",""es"")"),"no")</f>
        <v>no</v>
      </c>
      <c r="H3877" s="3" t="s">
        <v>7587</v>
      </c>
      <c r="I3877" s="3" t="s">
        <v>7588</v>
      </c>
      <c r="J3877" s="3" t="s">
        <v>7589</v>
      </c>
      <c r="K3877" s="3" t="s">
        <v>7590</v>
      </c>
      <c r="L3877" s="3" t="s">
        <v>7590</v>
      </c>
      <c r="M3877" s="3" t="s">
        <v>7591</v>
      </c>
      <c r="N3877" s="3" t="s">
        <v>2138</v>
      </c>
      <c r="O3877" s="3" t="s">
        <v>7592</v>
      </c>
      <c r="P3877" s="3" t="s">
        <v>3311</v>
      </c>
      <c r="Q3877" s="3" t="s">
        <v>7593</v>
      </c>
      <c r="R3877" s="3" t="s">
        <v>7594</v>
      </c>
      <c r="S3877" s="3" t="s">
        <v>7595</v>
      </c>
      <c r="T3877" s="3" t="s">
        <v>7596</v>
      </c>
      <c r="U3877" s="3" t="s">
        <v>7594</v>
      </c>
      <c r="V3877" s="3" t="s">
        <v>7597</v>
      </c>
      <c r="W3877" s="3" t="s">
        <v>172</v>
      </c>
      <c r="X3877" s="3" t="s">
        <v>7598</v>
      </c>
      <c r="Y3877" s="3" t="s">
        <v>7599</v>
      </c>
      <c r="Z3877" s="3" t="s">
        <v>7590</v>
      </c>
      <c r="AA3877" s="3" t="s">
        <v>7600</v>
      </c>
      <c r="AB3877" s="3" t="s">
        <v>7596</v>
      </c>
      <c r="AC3877" s="3" t="s">
        <v>7595</v>
      </c>
      <c r="AD3877" s="3" t="s">
        <v>7590</v>
      </c>
      <c r="AE3877" s="3" t="s">
        <v>7601</v>
      </c>
      <c r="AF3877" s="3" t="s">
        <v>7602</v>
      </c>
      <c r="AG3877" s="3" t="s">
        <v>7595</v>
      </c>
      <c r="AH3877" s="3" t="s">
        <v>7603</v>
      </c>
      <c r="AI3877" s="3" t="s">
        <v>7604</v>
      </c>
      <c r="AJ3877" s="3" t="s">
        <v>7595</v>
      </c>
      <c r="AK3877" s="3" t="s">
        <v>7605</v>
      </c>
      <c r="AL3877" s="3" t="s">
        <v>7590</v>
      </c>
      <c r="AM3877" s="3" t="s">
        <v>7606</v>
      </c>
      <c r="AN3877" s="3" t="s">
        <v>7607</v>
      </c>
      <c r="AO3877" s="3" t="s">
        <v>7595</v>
      </c>
      <c r="AP3877" s="3" t="s">
        <v>7608</v>
      </c>
      <c r="AQ3877" s="3" t="s">
        <v>7609</v>
      </c>
      <c r="AR3877" s="3" t="s">
        <v>7598</v>
      </c>
      <c r="AS3877" s="3" t="s">
        <v>7595</v>
      </c>
      <c r="AT3877" s="3" t="s">
        <v>7590</v>
      </c>
      <c r="AU3877" s="3" t="s">
        <v>7610</v>
      </c>
      <c r="AV3877" s="3" t="s">
        <v>7604</v>
      </c>
      <c r="AW3877" s="3" t="s">
        <v>3754</v>
      </c>
      <c r="AX3877" s="3" t="s">
        <v>7596</v>
      </c>
      <c r="AY3877" s="3" t="s">
        <v>7598</v>
      </c>
      <c r="AZ3877" s="3" t="s">
        <v>7596</v>
      </c>
      <c r="BA3877" s="3" t="s">
        <v>7595</v>
      </c>
      <c r="BB3877" s="3" t="s">
        <v>7594</v>
      </c>
      <c r="BC3877" s="3" t="s">
        <v>7596</v>
      </c>
      <c r="BD3877" s="3" t="s">
        <v>7611</v>
      </c>
      <c r="BE3877" s="3" t="s">
        <v>7612</v>
      </c>
      <c r="BF3877" s="3" t="s">
        <v>7596</v>
      </c>
    </row>
    <row r="3878">
      <c r="A3878" s="3">
        <v>1330.0</v>
      </c>
      <c r="B3878" s="3" t="s">
        <v>6738</v>
      </c>
      <c r="C3878" s="3" t="s">
        <v>190</v>
      </c>
      <c r="D3878" s="3" t="s">
        <v>7613</v>
      </c>
      <c r="E3878" s="3" t="s">
        <v>4689</v>
      </c>
      <c r="F3878" s="3" t="s">
        <v>4690</v>
      </c>
      <c r="G3878" s="3" t="str">
        <f>IFERROR(__xludf.DUMMYFUNCTION("GOOGLETRANSLATE(D3878,""fr"",""es"")"),"pasta")</f>
        <v>pasta</v>
      </c>
    </row>
    <row r="3879">
      <c r="A3879" s="3">
        <v>1331.0</v>
      </c>
      <c r="B3879" s="3" t="s">
        <v>6738</v>
      </c>
      <c r="C3879" s="3" t="s">
        <v>190</v>
      </c>
      <c r="D3879" s="3" t="s">
        <v>4694</v>
      </c>
      <c r="E3879" s="3" t="s">
        <v>4695</v>
      </c>
      <c r="F3879" s="3" t="s">
        <v>4696</v>
      </c>
      <c r="G3879" s="3" t="str">
        <f>IFERROR(__xludf.DUMMYFUNCTION("GOOGLETRANSLATE(D3879,""fr"",""es"")"),"pasar")</f>
        <v>pasar</v>
      </c>
    </row>
    <row r="3880">
      <c r="A3880" s="3">
        <v>1332.0</v>
      </c>
      <c r="B3880" s="3" t="s">
        <v>6738</v>
      </c>
      <c r="C3880" s="3" t="s">
        <v>190</v>
      </c>
      <c r="D3880" s="3" t="s">
        <v>7614</v>
      </c>
      <c r="E3880" s="3" t="s">
        <v>4689</v>
      </c>
      <c r="F3880" s="3" t="s">
        <v>4690</v>
      </c>
      <c r="G3880" s="3" t="str">
        <f>IFERROR(__xludf.DUMMYFUNCTION("GOOGLETRANSLATE(D3880,""fr"",""es"")"),"pasas")</f>
        <v>pasas</v>
      </c>
    </row>
    <row r="3881">
      <c r="A3881" s="3">
        <v>1333.0</v>
      </c>
      <c r="B3881" s="3" t="s">
        <v>6738</v>
      </c>
      <c r="C3881" s="3" t="s">
        <v>190</v>
      </c>
      <c r="D3881" s="3" t="s">
        <v>4697</v>
      </c>
      <c r="E3881" s="3" t="s">
        <v>4698</v>
      </c>
      <c r="F3881" s="3" t="s">
        <v>4699</v>
      </c>
      <c r="G3881" s="3" t="str">
        <f>IFERROR(__xludf.DUMMYFUNCTION("GOOGLETRANSLATE(D3881,""fr"",""es"")"),"paso")</f>
        <v>paso</v>
      </c>
    </row>
    <row r="3882">
      <c r="A3882" s="3">
        <v>1334.0</v>
      </c>
      <c r="B3882" s="3" t="s">
        <v>6738</v>
      </c>
      <c r="C3882" s="3" t="s">
        <v>190</v>
      </c>
      <c r="D3882" s="3" t="s">
        <v>4700</v>
      </c>
      <c r="E3882" s="3" t="s">
        <v>4698</v>
      </c>
      <c r="F3882" s="3" t="s">
        <v>4699</v>
      </c>
      <c r="G3882" s="3" t="str">
        <f>IFERROR(__xludf.DUMMYFUNCTION("GOOGLETRANSLATE(D3882,""fr"",""es"")"),"pasar")</f>
        <v>pasar</v>
      </c>
    </row>
    <row r="3883">
      <c r="A3883" s="3">
        <v>1335.0</v>
      </c>
      <c r="B3883" s="3" t="s">
        <v>6738</v>
      </c>
      <c r="C3883" s="3" t="s">
        <v>190</v>
      </c>
      <c r="D3883" s="3" t="s">
        <v>4701</v>
      </c>
      <c r="E3883" s="3" t="s">
        <v>4698</v>
      </c>
      <c r="F3883" s="3" t="s">
        <v>4699</v>
      </c>
      <c r="G3883" s="3" t="str">
        <f>IFERROR(__xludf.DUMMYFUNCTION("GOOGLETRANSLATE(D3883,""fr"",""es"")"),"pasas")</f>
        <v>pasas</v>
      </c>
    </row>
    <row r="3884">
      <c r="A3884" s="3">
        <v>1336.0</v>
      </c>
      <c r="B3884" s="3" t="s">
        <v>6738</v>
      </c>
      <c r="C3884" s="3" t="s">
        <v>190</v>
      </c>
      <c r="D3884" s="3" t="s">
        <v>7615</v>
      </c>
      <c r="E3884" s="3" t="s">
        <v>4689</v>
      </c>
      <c r="F3884" s="3" t="s">
        <v>4690</v>
      </c>
      <c r="G3884" s="3" t="str">
        <f>IFERROR(__xludf.DUMMYFUNCTION("GOOGLETRANSLATE(D3884,""fr"",""es"")"),"pasar")</f>
        <v>pasar</v>
      </c>
    </row>
    <row r="3885">
      <c r="A3885" s="3">
        <v>1337.0</v>
      </c>
      <c r="B3885" s="3" t="s">
        <v>6738</v>
      </c>
      <c r="C3885" s="3" t="s">
        <v>190</v>
      </c>
      <c r="D3885" s="3" t="s">
        <v>4702</v>
      </c>
      <c r="E3885" s="3" t="s">
        <v>4703</v>
      </c>
      <c r="F3885" s="3" t="s">
        <v>172</v>
      </c>
      <c r="G3885" s="3" t="str">
        <f>IFERROR(__xludf.DUMMYFUNCTION("GOOGLETRANSLATE(D3885,""fr"",""es"")"),"pasar")</f>
        <v>pasar</v>
      </c>
      <c r="H3885" s="3" t="s">
        <v>4704</v>
      </c>
      <c r="I3885" s="3" t="s">
        <v>4705</v>
      </c>
      <c r="J3885" s="3" t="s">
        <v>4706</v>
      </c>
      <c r="K3885" s="3" t="s">
        <v>1297</v>
      </c>
    </row>
    <row r="3886">
      <c r="A3886" s="3">
        <v>1338.0</v>
      </c>
      <c r="B3886" s="3" t="s">
        <v>6738</v>
      </c>
      <c r="C3886" s="3" t="s">
        <v>190</v>
      </c>
      <c r="D3886" s="3" t="s">
        <v>4707</v>
      </c>
      <c r="E3886" s="3" t="s">
        <v>4703</v>
      </c>
      <c r="F3886" s="3" t="s">
        <v>172</v>
      </c>
      <c r="G3886" s="3" t="str">
        <f>IFERROR(__xludf.DUMMYFUNCTION("GOOGLETRANSLATE(D3886,""fr"",""es"")"),"pasar")</f>
        <v>pasar</v>
      </c>
    </row>
    <row r="3887">
      <c r="A3887" s="3">
        <v>1339.0</v>
      </c>
      <c r="B3887" s="3" t="s">
        <v>6738</v>
      </c>
      <c r="C3887" s="3" t="s">
        <v>190</v>
      </c>
      <c r="D3887" s="3" t="s">
        <v>4708</v>
      </c>
      <c r="E3887" s="3" t="s">
        <v>4703</v>
      </c>
      <c r="F3887" s="3" t="s">
        <v>172</v>
      </c>
      <c r="G3887" s="3" t="str">
        <f>IFERROR(__xludf.DUMMYFUNCTION("GOOGLETRANSLATE(D3887,""fr"",""es"")"),"pases")</f>
        <v>pases</v>
      </c>
    </row>
    <row r="3888">
      <c r="A3888" s="3">
        <v>1340.0</v>
      </c>
      <c r="B3888" s="3" t="s">
        <v>6738</v>
      </c>
      <c r="C3888" s="3" t="s">
        <v>190</v>
      </c>
      <c r="D3888" s="3" t="s">
        <v>7616</v>
      </c>
      <c r="E3888" s="3" t="s">
        <v>7617</v>
      </c>
      <c r="F3888" s="3" t="s">
        <v>7616</v>
      </c>
      <c r="G3888" s="3" t="str">
        <f>IFERROR(__xludf.DUMMYFUNCTION("GOOGLETRANSLATE(D3888,""fr"",""es"")"),"patata")</f>
        <v>patata</v>
      </c>
    </row>
    <row r="3889">
      <c r="A3889" s="3">
        <v>1341.0</v>
      </c>
      <c r="B3889" s="3" t="s">
        <v>6738</v>
      </c>
      <c r="C3889" s="3" t="s">
        <v>190</v>
      </c>
      <c r="D3889" s="3" t="s">
        <v>7618</v>
      </c>
      <c r="E3889" s="3" t="s">
        <v>7619</v>
      </c>
      <c r="F3889" s="3" t="s">
        <v>7618</v>
      </c>
      <c r="G3889" s="3" t="str">
        <f>IFERROR(__xludf.DUMMYFUNCTION("GOOGLETRANSLATE(D3889,""fr"",""es"")"),"patati")</f>
        <v>patati</v>
      </c>
    </row>
    <row r="3890">
      <c r="A3890" s="3">
        <v>1342.0</v>
      </c>
      <c r="B3890" s="3" t="s">
        <v>6738</v>
      </c>
      <c r="C3890" s="3" t="s">
        <v>190</v>
      </c>
      <c r="D3890" s="3" t="s">
        <v>7620</v>
      </c>
      <c r="E3890" s="3" t="s">
        <v>7621</v>
      </c>
      <c r="F3890" s="3" t="s">
        <v>7622</v>
      </c>
      <c r="G3890" s="3" t="str">
        <f>IFERROR(__xludf.DUMMYFUNCTION("GOOGLETRANSLATE(D3890,""fr"",""es"")"),"Pasti")</f>
        <v>Pasti</v>
      </c>
    </row>
    <row r="3891">
      <c r="A3891" s="3">
        <v>1343.0</v>
      </c>
      <c r="B3891" s="3" t="s">
        <v>6738</v>
      </c>
      <c r="C3891" s="3" t="s">
        <v>190</v>
      </c>
      <c r="D3891" s="3" t="s">
        <v>7623</v>
      </c>
      <c r="E3891" s="3" t="s">
        <v>7621</v>
      </c>
      <c r="F3891" s="3" t="s">
        <v>7622</v>
      </c>
      <c r="G3891" s="3" t="str">
        <f>IFERROR(__xludf.DUMMYFUNCTION("GOOGLETRANSLATE(D3891,""fr"",""es"")"),"querida")</f>
        <v>querida</v>
      </c>
    </row>
    <row r="3892">
      <c r="A3892" s="3">
        <v>1344.0</v>
      </c>
      <c r="B3892" s="3" t="s">
        <v>6738</v>
      </c>
      <c r="C3892" s="3" t="s">
        <v>190</v>
      </c>
      <c r="D3892" s="3" t="s">
        <v>7624</v>
      </c>
      <c r="E3892" s="3" t="s">
        <v>7621</v>
      </c>
      <c r="F3892" s="3" t="s">
        <v>7622</v>
      </c>
      <c r="G3892" s="3" t="str">
        <f>IFERROR(__xludf.DUMMYFUNCTION("GOOGLETRANSLATE(D3892,""fr"",""es"")"),"pasta")</f>
        <v>pasta</v>
      </c>
    </row>
    <row r="3893">
      <c r="A3893" s="3">
        <v>1345.0</v>
      </c>
      <c r="B3893" s="3" t="s">
        <v>6738</v>
      </c>
      <c r="C3893" s="3" t="s">
        <v>190</v>
      </c>
      <c r="D3893" s="3" t="s">
        <v>7625</v>
      </c>
      <c r="E3893" s="3" t="s">
        <v>7626</v>
      </c>
      <c r="F3893" s="3" t="s">
        <v>7627</v>
      </c>
      <c r="G3893" s="3" t="str">
        <f>IFERROR(__xludf.DUMMYFUNCTION("GOOGLETRANSLATE(D3893,""fr"",""es"")"),"masa")</f>
        <v>masa</v>
      </c>
    </row>
    <row r="3894">
      <c r="A3894" s="3">
        <v>1346.0</v>
      </c>
      <c r="B3894" s="3" t="s">
        <v>6738</v>
      </c>
      <c r="C3894" s="3" t="s">
        <v>190</v>
      </c>
      <c r="D3894" s="3" t="s">
        <v>4720</v>
      </c>
      <c r="E3894" s="3" t="s">
        <v>7628</v>
      </c>
      <c r="F3894" s="3" t="s">
        <v>4720</v>
      </c>
      <c r="G3894" s="3" t="str">
        <f>IFERROR(__xludf.DUMMYFUNCTION("GOOGLETRANSLATE(D3894,""fr"",""es"")"),"pátina")</f>
        <v>pátina</v>
      </c>
    </row>
    <row r="3895">
      <c r="A3895" s="3">
        <v>1347.0</v>
      </c>
      <c r="B3895" s="3" t="s">
        <v>6738</v>
      </c>
      <c r="C3895" s="3" t="s">
        <v>190</v>
      </c>
      <c r="D3895" s="3" t="s">
        <v>7629</v>
      </c>
      <c r="E3895" s="3" t="s">
        <v>7630</v>
      </c>
      <c r="F3895" s="3" t="s">
        <v>7631</v>
      </c>
      <c r="G3895" s="3" t="str">
        <f>IFERROR(__xludf.DUMMYFUNCTION("GOOGLETRANSLATE(D3895,""fr"",""es"")"),"patinar")</f>
        <v>patinar</v>
      </c>
    </row>
    <row r="3896">
      <c r="A3896" s="3">
        <v>1348.0</v>
      </c>
      <c r="B3896" s="3" t="s">
        <v>6738</v>
      </c>
      <c r="C3896" s="3" t="s">
        <v>190</v>
      </c>
      <c r="D3896" s="3" t="s">
        <v>7632</v>
      </c>
      <c r="E3896" s="3" t="s">
        <v>7628</v>
      </c>
      <c r="F3896" s="3" t="s">
        <v>4720</v>
      </c>
      <c r="G3896" s="3" t="str">
        <f>IFERROR(__xludf.DUMMYFUNCTION("GOOGLETRANSLATE(D3896,""fr"",""es"")"),"patinas")</f>
        <v>patinas</v>
      </c>
    </row>
    <row r="3897">
      <c r="A3897" s="3">
        <v>1349.0</v>
      </c>
      <c r="B3897" s="3" t="s">
        <v>6738</v>
      </c>
      <c r="C3897" s="3" t="s">
        <v>190</v>
      </c>
      <c r="D3897" s="3" t="s">
        <v>7633</v>
      </c>
      <c r="E3897" s="3" t="s">
        <v>7634</v>
      </c>
      <c r="F3897" s="3" t="s">
        <v>7632</v>
      </c>
      <c r="G3897" s="3" t="str">
        <f>IFERROR(__xludf.DUMMYFUNCTION("GOOGLETRANSLATE(D3897,""fr"",""es"")"),"patinas")</f>
        <v>patinas</v>
      </c>
    </row>
    <row r="3898">
      <c r="A3898" s="3">
        <v>1350.0</v>
      </c>
      <c r="B3898" s="3" t="s">
        <v>6738</v>
      </c>
      <c r="C3898" s="3" t="s">
        <v>190</v>
      </c>
      <c r="D3898" s="3" t="s">
        <v>7635</v>
      </c>
      <c r="E3898" s="3" t="s">
        <v>7634</v>
      </c>
      <c r="F3898" s="3" t="s">
        <v>7632</v>
      </c>
      <c r="G3898" s="3" t="str">
        <f>IFERROR(__xludf.DUMMYFUNCTION("GOOGLETRANSLATE(D3898,""fr"",""es"")"),"patinar")</f>
        <v>patinar</v>
      </c>
    </row>
    <row r="3899">
      <c r="A3899" s="3">
        <v>1351.0</v>
      </c>
      <c r="B3899" s="3" t="s">
        <v>6738</v>
      </c>
      <c r="C3899" s="3" t="s">
        <v>190</v>
      </c>
      <c r="D3899" s="3" t="s">
        <v>7636</v>
      </c>
      <c r="E3899" s="3" t="s">
        <v>7634</v>
      </c>
      <c r="F3899" s="3" t="s">
        <v>7632</v>
      </c>
      <c r="G3899" s="3" t="str">
        <f>IFERROR(__xludf.DUMMYFUNCTION("GOOGLETRANSLATE(D3899,""fr"",""es"")"),"patinas")</f>
        <v>patinas</v>
      </c>
    </row>
    <row r="3900">
      <c r="A3900" s="3">
        <v>1352.0</v>
      </c>
      <c r="B3900" s="3" t="s">
        <v>6738</v>
      </c>
      <c r="C3900" s="3" t="s">
        <v>190</v>
      </c>
      <c r="D3900" s="3" t="s">
        <v>7637</v>
      </c>
      <c r="E3900" s="3" t="s">
        <v>7628</v>
      </c>
      <c r="F3900" s="3" t="s">
        <v>4720</v>
      </c>
      <c r="G3900" s="3" t="str">
        <f>IFERROR(__xludf.DUMMYFUNCTION("GOOGLETRANSLATE(D3900,""fr"",""es"")"),"patinar")</f>
        <v>patinar</v>
      </c>
    </row>
    <row r="3901">
      <c r="A3901" s="3">
        <v>1353.0</v>
      </c>
      <c r="B3901" s="3" t="s">
        <v>6738</v>
      </c>
      <c r="C3901" s="3" t="s">
        <v>190</v>
      </c>
      <c r="D3901" s="3" t="s">
        <v>7638</v>
      </c>
      <c r="E3901" s="3" t="s">
        <v>7639</v>
      </c>
      <c r="F3901" s="3" t="s">
        <v>7640</v>
      </c>
      <c r="G3901" s="3" t="str">
        <f>IFERROR(__xludf.DUMMYFUNCTION("GOOGLETRANSLATE(D3901,""fr"",""es"")"),"pátina")</f>
        <v>pátina</v>
      </c>
      <c r="H3901" s="3" t="s">
        <v>4720</v>
      </c>
    </row>
    <row r="3902">
      <c r="A3902" s="3">
        <v>1354.0</v>
      </c>
      <c r="B3902" s="3" t="s">
        <v>6738</v>
      </c>
      <c r="C3902" s="3" t="s">
        <v>190</v>
      </c>
      <c r="D3902" s="3" t="s">
        <v>7641</v>
      </c>
      <c r="E3902" s="3" t="s">
        <v>7639</v>
      </c>
      <c r="F3902" s="3" t="s">
        <v>7640</v>
      </c>
      <c r="G3902" s="3" t="str">
        <f>IFERROR(__xludf.DUMMYFUNCTION("GOOGLETRANSLATE(D3902,""fr"",""es"")"),"pátina")</f>
        <v>pátina</v>
      </c>
    </row>
    <row r="3903">
      <c r="A3903" s="3">
        <v>1355.0</v>
      </c>
      <c r="B3903" s="3" t="s">
        <v>6738</v>
      </c>
      <c r="C3903" s="3" t="s">
        <v>190</v>
      </c>
      <c r="D3903" s="3" t="s">
        <v>7642</v>
      </c>
      <c r="E3903" s="3" t="s">
        <v>7639</v>
      </c>
      <c r="F3903" s="3" t="s">
        <v>7640</v>
      </c>
      <c r="G3903" s="3" t="str">
        <f>IFERROR(__xludf.DUMMYFUNCTION("GOOGLETRANSLATE(D3903,""fr"",""es"")"),"patinas")</f>
        <v>patinas</v>
      </c>
    </row>
    <row r="3904">
      <c r="A3904" s="3">
        <v>1356.0</v>
      </c>
      <c r="B3904" s="3" t="s">
        <v>6738</v>
      </c>
      <c r="C3904" s="3" t="s">
        <v>190</v>
      </c>
      <c r="D3904" s="3" t="s">
        <v>7643</v>
      </c>
      <c r="E3904" s="3" t="s">
        <v>7621</v>
      </c>
      <c r="F3904" s="3" t="s">
        <v>7622</v>
      </c>
      <c r="G3904" s="3" t="str">
        <f>IFERROR(__xludf.DUMMYFUNCTION("GOOGLETRANSLATE(D3904,""fr"",""es"")"),"Pâtis")</f>
        <v>Pâtis</v>
      </c>
    </row>
    <row r="3905">
      <c r="A3905" s="3">
        <v>1357.0</v>
      </c>
      <c r="B3905" s="3" t="s">
        <v>6738</v>
      </c>
      <c r="C3905" s="3" t="s">
        <v>190</v>
      </c>
      <c r="D3905" s="3" t="s">
        <v>7644</v>
      </c>
      <c r="E3905" s="3" t="s">
        <v>7645</v>
      </c>
      <c r="F3905" s="3" t="s">
        <v>7646</v>
      </c>
      <c r="G3905" s="3" t="str">
        <f>IFERROR(__xludf.DUMMYFUNCTION("GOOGLETRANSLATE(D3905,""fr"",""es"")"),"pasado")</f>
        <v>pasado</v>
      </c>
    </row>
    <row r="3906">
      <c r="A3906" s="3">
        <v>1358.0</v>
      </c>
      <c r="B3906" s="3" t="s">
        <v>6738</v>
      </c>
      <c r="C3906" s="3" t="s">
        <v>190</v>
      </c>
      <c r="D3906" s="3" t="s">
        <v>7647</v>
      </c>
      <c r="E3906" s="3" t="s">
        <v>7645</v>
      </c>
      <c r="F3906" s="3" t="s">
        <v>7646</v>
      </c>
      <c r="G3906" s="3" t="str">
        <f>IFERROR(__xludf.DUMMYFUNCTION("GOOGLETRANSLATE(D3906,""fr"",""es"")"),"pasado")</f>
        <v>pasado</v>
      </c>
    </row>
    <row r="3907">
      <c r="A3907" s="3">
        <v>1359.0</v>
      </c>
      <c r="B3907" s="3" t="s">
        <v>6738</v>
      </c>
      <c r="C3907" s="3" t="s">
        <v>190</v>
      </c>
      <c r="D3907" s="3" t="s">
        <v>7648</v>
      </c>
      <c r="E3907" s="3" t="s">
        <v>7645</v>
      </c>
      <c r="F3907" s="3" t="s">
        <v>7646</v>
      </c>
      <c r="G3907" s="3" t="str">
        <f>IFERROR(__xludf.DUMMYFUNCTION("GOOGLETRANSLATE(D3907,""fr"",""es"")"),"pastoreo")</f>
        <v>pastoreo</v>
      </c>
    </row>
    <row r="3908">
      <c r="A3908" s="3">
        <v>1360.0</v>
      </c>
      <c r="B3908" s="3" t="s">
        <v>6738</v>
      </c>
      <c r="C3908" s="3" t="s">
        <v>190</v>
      </c>
      <c r="D3908" s="3" t="s">
        <v>7649</v>
      </c>
      <c r="E3908" s="3" t="s">
        <v>7621</v>
      </c>
      <c r="F3908" s="3" t="s">
        <v>7622</v>
      </c>
      <c r="G3908" s="3" t="str">
        <f>IFERROR(__xludf.DUMMYFUNCTION("GOOGLETRANSLATE(D3908,""fr"",""es"")"),"sufrir")</f>
        <v>sufrir</v>
      </c>
    </row>
    <row r="3909">
      <c r="A3909" s="3">
        <v>1361.0</v>
      </c>
      <c r="B3909" s="3" t="s">
        <v>6738</v>
      </c>
      <c r="C3909" s="3" t="s">
        <v>190</v>
      </c>
      <c r="D3909" s="3" t="s">
        <v>7650</v>
      </c>
      <c r="E3909" s="3" t="s">
        <v>7621</v>
      </c>
      <c r="F3909" s="3" t="s">
        <v>7622</v>
      </c>
      <c r="G3909" s="3" t="str">
        <f>IFERROR(__xludf.DUMMYFUNCTION("GOOGLETRANSLATE(D3909,""fr"",""es"")"),"sufrir")</f>
        <v>sufrir</v>
      </c>
    </row>
    <row r="3910">
      <c r="A3910" s="3">
        <v>1362.0</v>
      </c>
      <c r="B3910" s="3" t="s">
        <v>6738</v>
      </c>
      <c r="C3910" s="3" t="s">
        <v>190</v>
      </c>
      <c r="D3910" s="3" t="s">
        <v>7651</v>
      </c>
      <c r="E3910" s="3" t="s">
        <v>7652</v>
      </c>
      <c r="F3910" s="3" t="s">
        <v>4724</v>
      </c>
      <c r="G3910" s="3" t="str">
        <f>IFERROR(__xludf.DUMMYFUNCTION("GOOGLETRANSLATE(D3910,""fr"",""es"")"),"patouilla")</f>
        <v>patouilla</v>
      </c>
    </row>
    <row r="3911">
      <c r="A3911" s="3">
        <v>1363.0</v>
      </c>
      <c r="B3911" s="3" t="s">
        <v>6738</v>
      </c>
      <c r="C3911" s="3" t="s">
        <v>190</v>
      </c>
      <c r="D3911" s="3" t="s">
        <v>4728</v>
      </c>
      <c r="E3911" s="3" t="s">
        <v>7653</v>
      </c>
      <c r="F3911" s="3" t="s">
        <v>4730</v>
      </c>
      <c r="G3911" s="3" t="str">
        <f>IFERROR(__xludf.DUMMYFUNCTION("GOOGLETRANSLATE(D3911,""fr"",""es"")"),"patouillâme")</f>
        <v>patouillâme</v>
      </c>
    </row>
    <row r="3912">
      <c r="A3912" s="3">
        <v>1364.0</v>
      </c>
      <c r="B3912" s="3" t="s">
        <v>6738</v>
      </c>
      <c r="C3912" s="3" t="s">
        <v>190</v>
      </c>
      <c r="D3912" s="3" t="s">
        <v>7654</v>
      </c>
      <c r="E3912" s="3" t="s">
        <v>7652</v>
      </c>
      <c r="F3912" s="3" t="s">
        <v>4724</v>
      </c>
      <c r="G3912" s="3" t="str">
        <f>IFERROR(__xludf.DUMMYFUNCTION("GOOGLETRANSLATE(D3912,""fr"",""es"")"),"patouillas")</f>
        <v>patouillas</v>
      </c>
    </row>
    <row r="3913">
      <c r="A3913" s="3">
        <v>1365.0</v>
      </c>
      <c r="B3913" s="3" t="s">
        <v>6738</v>
      </c>
      <c r="C3913" s="3" t="s">
        <v>190</v>
      </c>
      <c r="D3913" s="3" t="s">
        <v>4731</v>
      </c>
      <c r="E3913" s="3" t="s">
        <v>7655</v>
      </c>
      <c r="F3913" s="3" t="s">
        <v>4733</v>
      </c>
      <c r="G3913" s="3" t="str">
        <f>IFERROR(__xludf.DUMMYFUNCTION("GOOGLETRANSLATE(D3913,""fr"",""es"")"),"patouilla")</f>
        <v>patouilla</v>
      </c>
    </row>
    <row r="3914">
      <c r="A3914" s="3">
        <v>1366.0</v>
      </c>
      <c r="B3914" s="3" t="s">
        <v>6738</v>
      </c>
      <c r="C3914" s="3" t="s">
        <v>190</v>
      </c>
      <c r="D3914" s="3" t="s">
        <v>4734</v>
      </c>
      <c r="E3914" s="3" t="s">
        <v>7655</v>
      </c>
      <c r="F3914" s="3" t="s">
        <v>4733</v>
      </c>
      <c r="G3914" s="3" t="str">
        <f>IFERROR(__xludf.DUMMYFUNCTION("GOOGLETRANSLATE(D3914,""fr"",""es"")"),"potuillo")</f>
        <v>potuillo</v>
      </c>
    </row>
    <row r="3915">
      <c r="A3915" s="3">
        <v>1367.0</v>
      </c>
      <c r="B3915" s="3" t="s">
        <v>6738</v>
      </c>
      <c r="C3915" s="3" t="s">
        <v>190</v>
      </c>
      <c r="D3915" s="3" t="s">
        <v>4735</v>
      </c>
      <c r="E3915" s="3" t="s">
        <v>7655</v>
      </c>
      <c r="F3915" s="3" t="s">
        <v>4733</v>
      </c>
      <c r="G3915" s="3" t="str">
        <f>IFERROR(__xludf.DUMMYFUNCTION("GOOGLETRANSLATE(D3915,""fr"",""es"")"),"patouillas")</f>
        <v>patouillas</v>
      </c>
    </row>
    <row r="3916">
      <c r="A3916" s="3">
        <v>1368.0</v>
      </c>
      <c r="B3916" s="3" t="s">
        <v>6738</v>
      </c>
      <c r="C3916" s="3" t="s">
        <v>190</v>
      </c>
      <c r="D3916" s="3" t="s">
        <v>7656</v>
      </c>
      <c r="E3916" s="3" t="s">
        <v>7652</v>
      </c>
      <c r="F3916" s="3" t="s">
        <v>4724</v>
      </c>
      <c r="G3916" s="3" t="str">
        <f>IFERROR(__xludf.DUMMYFUNCTION("GOOGLETRANSLATE(D3916,""fr"",""es"")"),"patada")</f>
        <v>patada</v>
      </c>
    </row>
    <row r="3917">
      <c r="A3917" s="3">
        <v>1369.0</v>
      </c>
      <c r="B3917" s="3" t="s">
        <v>6738</v>
      </c>
      <c r="C3917" s="3" t="s">
        <v>190</v>
      </c>
      <c r="D3917" s="3" t="s">
        <v>4736</v>
      </c>
      <c r="E3917" s="3" t="s">
        <v>7657</v>
      </c>
      <c r="F3917" s="3" t="s">
        <v>4738</v>
      </c>
      <c r="G3917" s="3" t="str">
        <f>IFERROR(__xludf.DUMMYFUNCTION("GOOGLETRANSLATE(D3917,""fr"",""es"")"),"patouille")</f>
        <v>patouille</v>
      </c>
    </row>
    <row r="3918">
      <c r="A3918" s="3">
        <v>1370.0</v>
      </c>
      <c r="B3918" s="3" t="s">
        <v>6738</v>
      </c>
      <c r="C3918" s="3" t="s">
        <v>190</v>
      </c>
      <c r="D3918" s="3" t="s">
        <v>4739</v>
      </c>
      <c r="E3918" s="3" t="s">
        <v>7657</v>
      </c>
      <c r="F3918" s="3" t="s">
        <v>4738</v>
      </c>
      <c r="G3918" s="3" t="str">
        <f>IFERROR(__xludf.DUMMYFUNCTION("GOOGLETRANSLATE(D3918,""fr"",""es"")"),"disperso")</f>
        <v>disperso</v>
      </c>
    </row>
    <row r="3919">
      <c r="A3919" s="3">
        <v>1371.0</v>
      </c>
      <c r="B3919" s="3" t="s">
        <v>6738</v>
      </c>
      <c r="C3919" s="3" t="s">
        <v>190</v>
      </c>
      <c r="D3919" s="3" t="s">
        <v>4740</v>
      </c>
      <c r="E3919" s="3" t="s">
        <v>7657</v>
      </c>
      <c r="F3919" s="3" t="s">
        <v>4738</v>
      </c>
      <c r="G3919" s="3" t="str">
        <f>IFERROR(__xludf.DUMMYFUNCTION("GOOGLETRANSLATE(D3919,""fr"",""es"")"),"patouilles")</f>
        <v>patouilles</v>
      </c>
    </row>
    <row r="3920">
      <c r="A3920" s="3">
        <v>1372.0</v>
      </c>
      <c r="B3920" s="3" t="s">
        <v>6738</v>
      </c>
      <c r="C3920" s="3" t="s">
        <v>190</v>
      </c>
      <c r="D3920" s="3" t="s">
        <v>4934</v>
      </c>
      <c r="E3920" s="3" t="s">
        <v>4935</v>
      </c>
      <c r="F3920" s="3" t="s">
        <v>4934</v>
      </c>
      <c r="G3920" s="3" t="str">
        <f>IFERROR(__xludf.DUMMYFUNCTION("GOOGLETRANSLATE(D3920,""fr"",""es"")"),"Pi")</f>
        <v>Pi</v>
      </c>
      <c r="H3920" s="3" t="s">
        <v>4934</v>
      </c>
      <c r="I3920" s="3" t="s">
        <v>4934</v>
      </c>
    </row>
    <row r="3921">
      <c r="A3921" s="3">
        <v>1373.0</v>
      </c>
      <c r="B3921" s="3" t="s">
        <v>6738</v>
      </c>
      <c r="C3921" s="3" t="s">
        <v>190</v>
      </c>
      <c r="D3921" s="3" t="s">
        <v>4936</v>
      </c>
      <c r="E3921" s="3" t="s">
        <v>7658</v>
      </c>
      <c r="F3921" s="3" t="s">
        <v>4938</v>
      </c>
      <c r="G3921" s="3" t="str">
        <f>IFERROR(__xludf.DUMMYFUNCTION("GOOGLETRANSLATE(D3921,""fr"",""es"")"),"cima")</f>
        <v>cima</v>
      </c>
      <c r="H3921" s="3" t="s">
        <v>4939</v>
      </c>
      <c r="I3921" s="3" t="s">
        <v>4940</v>
      </c>
      <c r="J3921" s="3" t="s">
        <v>4941</v>
      </c>
      <c r="K3921" s="3" t="s">
        <v>4942</v>
      </c>
      <c r="L3921" s="3" t="s">
        <v>4943</v>
      </c>
      <c r="M3921" s="3" t="s">
        <v>1954</v>
      </c>
      <c r="N3921" s="3" t="s">
        <v>4944</v>
      </c>
      <c r="O3921" s="3" t="s">
        <v>4945</v>
      </c>
      <c r="P3921" s="3" t="s">
        <v>4946</v>
      </c>
      <c r="Q3921" s="3" t="s">
        <v>4947</v>
      </c>
      <c r="R3921" s="3" t="s">
        <v>4948</v>
      </c>
    </row>
    <row r="3922">
      <c r="A3922" s="3">
        <v>1374.0</v>
      </c>
      <c r="B3922" s="3" t="s">
        <v>6738</v>
      </c>
      <c r="C3922" s="3" t="s">
        <v>190</v>
      </c>
      <c r="D3922" s="3" t="s">
        <v>4955</v>
      </c>
      <c r="E3922" s="3" t="s">
        <v>7658</v>
      </c>
      <c r="F3922" s="3" t="s">
        <v>4938</v>
      </c>
      <c r="G3922" s="3" t="str">
        <f>IFERROR(__xludf.DUMMYFUNCTION("GOOGLETRANSLATE(D3922,""fr"",""es"")"),"picos")</f>
        <v>picos</v>
      </c>
      <c r="H3922" s="3" t="s">
        <v>4939</v>
      </c>
      <c r="I3922" s="3" t="s">
        <v>4940</v>
      </c>
      <c r="J3922" s="3" t="s">
        <v>4941</v>
      </c>
    </row>
    <row r="3923">
      <c r="A3923" s="3">
        <v>1375.0</v>
      </c>
      <c r="B3923" s="3" t="s">
        <v>6738</v>
      </c>
      <c r="C3923" s="3" t="s">
        <v>190</v>
      </c>
      <c r="D3923" s="3" t="s">
        <v>4957</v>
      </c>
      <c r="E3923" s="3" t="s">
        <v>4935</v>
      </c>
      <c r="F3923" s="3" t="s">
        <v>4934</v>
      </c>
      <c r="G3923" s="3" t="str">
        <f>IFERROR(__xludf.DUMMYFUNCTION("GOOGLETRANSLATE(D3923,""fr"",""es"")"),"brillar")</f>
        <v>brillar</v>
      </c>
      <c r="H3923" s="3" t="s">
        <v>4958</v>
      </c>
      <c r="I3923" s="3" t="s">
        <v>4959</v>
      </c>
      <c r="J3923" s="3" t="s">
        <v>4960</v>
      </c>
      <c r="K3923" s="3" t="s">
        <v>4961</v>
      </c>
      <c r="L3923" s="3" t="s">
        <v>4962</v>
      </c>
      <c r="M3923" s="3" t="s">
        <v>4963</v>
      </c>
      <c r="N3923" s="3" t="s">
        <v>4964</v>
      </c>
      <c r="O3923" s="3" t="s">
        <v>4965</v>
      </c>
      <c r="P3923" s="3" t="s">
        <v>4966</v>
      </c>
      <c r="Q3923" s="3" t="s">
        <v>4967</v>
      </c>
      <c r="R3923" s="3" t="s">
        <v>4968</v>
      </c>
      <c r="S3923" s="3" t="s">
        <v>4969</v>
      </c>
      <c r="T3923" s="3" t="s">
        <v>4970</v>
      </c>
      <c r="U3923" s="3" t="s">
        <v>4971</v>
      </c>
      <c r="V3923" s="3" t="s">
        <v>4972</v>
      </c>
      <c r="W3923" s="3" t="s">
        <v>4973</v>
      </c>
      <c r="X3923" s="3" t="s">
        <v>4974</v>
      </c>
      <c r="Y3923" s="3" t="s">
        <v>4975</v>
      </c>
      <c r="Z3923" s="3" t="s">
        <v>4976</v>
      </c>
      <c r="AA3923" s="3" t="s">
        <v>4977</v>
      </c>
      <c r="AB3923" s="3" t="s">
        <v>4978</v>
      </c>
      <c r="AC3923" s="3" t="s">
        <v>4979</v>
      </c>
      <c r="AD3923" s="3" t="s">
        <v>3282</v>
      </c>
      <c r="AE3923" s="3" t="s">
        <v>326</v>
      </c>
      <c r="AF3923" s="3" t="s">
        <v>4980</v>
      </c>
      <c r="AG3923" s="3" t="s">
        <v>4981</v>
      </c>
      <c r="AH3923" s="3" t="s">
        <v>4982</v>
      </c>
      <c r="AI3923" s="3" t="s">
        <v>4983</v>
      </c>
      <c r="AJ3923" s="3" t="s">
        <v>4984</v>
      </c>
      <c r="AK3923" s="3" t="s">
        <v>4985</v>
      </c>
      <c r="AL3923" s="3" t="s">
        <v>4986</v>
      </c>
      <c r="AM3923" s="3" t="s">
        <v>4987</v>
      </c>
      <c r="AN3923" s="3" t="s">
        <v>4988</v>
      </c>
      <c r="AO3923" s="3" t="s">
        <v>4989</v>
      </c>
      <c r="AP3923" s="3" t="s">
        <v>4990</v>
      </c>
      <c r="AQ3923" s="3" t="s">
        <v>4977</v>
      </c>
      <c r="AR3923" s="3" t="s">
        <v>4991</v>
      </c>
      <c r="AS3923" s="3" t="s">
        <v>4977</v>
      </c>
      <c r="AT3923" s="3" t="s">
        <v>4992</v>
      </c>
      <c r="AU3923" s="3" t="s">
        <v>4993</v>
      </c>
    </row>
    <row r="3924">
      <c r="A3924" s="3">
        <v>1376.0</v>
      </c>
      <c r="B3924" s="3" t="s">
        <v>6738</v>
      </c>
      <c r="C3924" s="3" t="s">
        <v>190</v>
      </c>
      <c r="D3924" s="3" t="s">
        <v>4994</v>
      </c>
      <c r="E3924" s="3" t="s">
        <v>4935</v>
      </c>
      <c r="F3924" s="3" t="s">
        <v>4934</v>
      </c>
      <c r="G3924" s="3" t="str">
        <f>IFERROR(__xludf.DUMMYFUNCTION("GOOGLETRANSLATE(D3924,""fr"",""es"")"),"Brillar")</f>
        <v>Brillar</v>
      </c>
      <c r="H3924" s="3" t="s">
        <v>4958</v>
      </c>
      <c r="I3924" s="3" t="s">
        <v>4959</v>
      </c>
      <c r="J3924" s="3" t="s">
        <v>4960</v>
      </c>
      <c r="K3924" s="3" t="s">
        <v>4961</v>
      </c>
      <c r="L3924" s="3" t="s">
        <v>4962</v>
      </c>
      <c r="M3924" s="3" t="s">
        <v>4963</v>
      </c>
      <c r="N3924" s="3" t="s">
        <v>4964</v>
      </c>
      <c r="O3924" s="3" t="s">
        <v>4965</v>
      </c>
      <c r="P3924" s="3" t="s">
        <v>4966</v>
      </c>
      <c r="Q3924" s="3" t="s">
        <v>4967</v>
      </c>
      <c r="R3924" s="3" t="s">
        <v>4968</v>
      </c>
      <c r="S3924" s="3" t="s">
        <v>4969</v>
      </c>
      <c r="T3924" s="3" t="s">
        <v>4970</v>
      </c>
      <c r="U3924" s="3" t="s">
        <v>4971</v>
      </c>
      <c r="V3924" s="3" t="s">
        <v>4972</v>
      </c>
      <c r="W3924" s="3" t="s">
        <v>4973</v>
      </c>
      <c r="X3924" s="3" t="s">
        <v>4974</v>
      </c>
      <c r="Y3924" s="3" t="s">
        <v>4975</v>
      </c>
      <c r="Z3924" s="3" t="s">
        <v>4976</v>
      </c>
      <c r="AA3924" s="3" t="s">
        <v>4977</v>
      </c>
      <c r="AB3924" s="3" t="s">
        <v>4978</v>
      </c>
      <c r="AC3924" s="3" t="s">
        <v>4979</v>
      </c>
      <c r="AD3924" s="3" t="s">
        <v>3282</v>
      </c>
      <c r="AE3924" s="3" t="s">
        <v>326</v>
      </c>
      <c r="AF3924" s="3" t="s">
        <v>4980</v>
      </c>
      <c r="AG3924" s="3" t="s">
        <v>4981</v>
      </c>
      <c r="AH3924" s="3" t="s">
        <v>4982</v>
      </c>
      <c r="AI3924" s="3" t="s">
        <v>4983</v>
      </c>
      <c r="AJ3924" s="3" t="s">
        <v>4984</v>
      </c>
      <c r="AK3924" s="3" t="s">
        <v>4985</v>
      </c>
      <c r="AL3924" s="3" t="s">
        <v>4986</v>
      </c>
      <c r="AM3924" s="3" t="s">
        <v>4987</v>
      </c>
      <c r="AN3924" s="3" t="s">
        <v>4988</v>
      </c>
      <c r="AO3924" s="3" t="s">
        <v>4989</v>
      </c>
      <c r="AP3924" s="3" t="s">
        <v>4990</v>
      </c>
      <c r="AQ3924" s="3" t="s">
        <v>4977</v>
      </c>
      <c r="AR3924" s="3" t="s">
        <v>4991</v>
      </c>
      <c r="AS3924" s="3" t="s">
        <v>4977</v>
      </c>
      <c r="AT3924" s="3" t="s">
        <v>4992</v>
      </c>
      <c r="AU3924" s="3" t="s">
        <v>4993</v>
      </c>
    </row>
    <row r="3925">
      <c r="A3925" s="3">
        <v>1377.0</v>
      </c>
      <c r="B3925" s="3" t="s">
        <v>6738</v>
      </c>
      <c r="C3925" s="3" t="s">
        <v>190</v>
      </c>
      <c r="D3925" s="3" t="s">
        <v>4995</v>
      </c>
      <c r="E3925" s="3" t="s">
        <v>4935</v>
      </c>
      <c r="F3925" s="3" t="s">
        <v>4934</v>
      </c>
      <c r="G3925" s="3" t="str">
        <f>IFERROR(__xludf.DUMMYFUNCTION("GOOGLETRANSLATE(D3925,""fr"",""es"")"),"pasteles")</f>
        <v>pasteles</v>
      </c>
    </row>
    <row r="3926">
      <c r="A3926" s="3">
        <v>1378.0</v>
      </c>
      <c r="B3926" s="3" t="s">
        <v>6738</v>
      </c>
      <c r="C3926" s="3" t="s">
        <v>190</v>
      </c>
      <c r="D3926" s="3" t="s">
        <v>4996</v>
      </c>
      <c r="E3926" s="3" t="s">
        <v>4997</v>
      </c>
      <c r="F3926" s="3" t="s">
        <v>4998</v>
      </c>
      <c r="G3926" s="3" t="str">
        <f>IFERROR(__xludf.DUMMYFUNCTION("GOOGLETRANSLATE(D3926,""fr"",""es"")"),"caza")</f>
        <v>caza</v>
      </c>
    </row>
    <row r="3927">
      <c r="A3927" s="3">
        <v>1379.0</v>
      </c>
      <c r="B3927" s="3" t="s">
        <v>6738</v>
      </c>
      <c r="C3927" s="3" t="s">
        <v>190</v>
      </c>
      <c r="D3927" s="3" t="s">
        <v>4999</v>
      </c>
      <c r="E3927" s="3" t="s">
        <v>4997</v>
      </c>
      <c r="F3927" s="3" t="s">
        <v>4998</v>
      </c>
      <c r="G3927" s="3" t="str">
        <f>IFERROR(__xludf.DUMMYFUNCTION("GOOGLETRANSLATE(D3927,""fr"",""es"")"),"abrazos")</f>
        <v>abrazos</v>
      </c>
    </row>
    <row r="3928">
      <c r="A3928" s="3">
        <v>1380.0</v>
      </c>
      <c r="B3928" s="3" t="s">
        <v>6738</v>
      </c>
      <c r="C3928" s="3" t="s">
        <v>190</v>
      </c>
      <c r="D3928" s="3" t="s">
        <v>5002</v>
      </c>
      <c r="E3928" s="3" t="s">
        <v>7659</v>
      </c>
      <c r="F3928" s="3" t="s">
        <v>5002</v>
      </c>
      <c r="G3928" s="3" t="str">
        <f>IFERROR(__xludf.DUMMYFUNCTION("GOOGLETRANSLATE(D3928,""fr"",""es"")"),"pila")</f>
        <v>pila</v>
      </c>
    </row>
    <row r="3929">
      <c r="A3929" s="3">
        <v>1381.0</v>
      </c>
      <c r="B3929" s="3" t="s">
        <v>6738</v>
      </c>
      <c r="C3929" s="3" t="s">
        <v>190</v>
      </c>
      <c r="D3929" s="3" t="s">
        <v>5006</v>
      </c>
      <c r="E3929" s="3" t="s">
        <v>7660</v>
      </c>
      <c r="F3929" s="3" t="s">
        <v>5008</v>
      </c>
      <c r="G3929" s="3" t="str">
        <f>IFERROR(__xludf.DUMMYFUNCTION("GOOGLETRANSLATE(D3929,""fr"",""es"")"),"fundas de almohada")</f>
        <v>fundas de almohada</v>
      </c>
    </row>
    <row r="3930">
      <c r="A3930" s="3">
        <v>1382.0</v>
      </c>
      <c r="B3930" s="3" t="s">
        <v>6738</v>
      </c>
      <c r="C3930" s="3" t="s">
        <v>190</v>
      </c>
      <c r="D3930" s="3" t="s">
        <v>5011</v>
      </c>
      <c r="E3930" s="3" t="s">
        <v>7659</v>
      </c>
      <c r="F3930" s="3" t="s">
        <v>5002</v>
      </c>
      <c r="G3930" s="3" t="str">
        <f>IFERROR(__xludf.DUMMYFUNCTION("GOOGLETRANSLATE(D3930,""fr"",""es"")"),"pilas")</f>
        <v>pilas</v>
      </c>
    </row>
    <row r="3931">
      <c r="A3931" s="3">
        <v>1383.0</v>
      </c>
      <c r="B3931" s="3" t="s">
        <v>6738</v>
      </c>
      <c r="C3931" s="3" t="s">
        <v>190</v>
      </c>
      <c r="D3931" s="3" t="s">
        <v>5009</v>
      </c>
      <c r="E3931" s="3" t="s">
        <v>7661</v>
      </c>
      <c r="F3931" s="3" t="s">
        <v>5011</v>
      </c>
      <c r="G3931" s="3" t="str">
        <f>IFERROR(__xludf.DUMMYFUNCTION("GOOGLETRANSLATE(D3931,""fr"",""es"")"),"pilasses")</f>
        <v>pilasses</v>
      </c>
    </row>
    <row r="3932">
      <c r="A3932" s="3">
        <v>1384.0</v>
      </c>
      <c r="B3932" s="3" t="s">
        <v>6738</v>
      </c>
      <c r="C3932" s="3" t="s">
        <v>190</v>
      </c>
      <c r="D3932" s="3" t="s">
        <v>5012</v>
      </c>
      <c r="E3932" s="3" t="s">
        <v>7661</v>
      </c>
      <c r="F3932" s="3" t="s">
        <v>5011</v>
      </c>
      <c r="G3932" s="3" t="str">
        <f>IFERROR(__xludf.DUMMYFUNCTION("GOOGLETRANSLATE(D3932,""fr"",""es"")"),"pilaje")</f>
        <v>pilaje</v>
      </c>
    </row>
    <row r="3933">
      <c r="A3933" s="3">
        <v>1385.0</v>
      </c>
      <c r="B3933" s="3" t="s">
        <v>6738</v>
      </c>
      <c r="C3933" s="3" t="s">
        <v>190</v>
      </c>
      <c r="D3933" s="3" t="s">
        <v>5013</v>
      </c>
      <c r="E3933" s="3" t="s">
        <v>7661</v>
      </c>
      <c r="F3933" s="3" t="s">
        <v>5011</v>
      </c>
      <c r="G3933" s="3" t="str">
        <f>IFERROR(__xludf.DUMMYFUNCTION("GOOGLETRANSLATE(D3933,""fr"",""es"")"),"pilasses")</f>
        <v>pilasses</v>
      </c>
    </row>
    <row r="3934">
      <c r="A3934" s="3">
        <v>1386.0</v>
      </c>
      <c r="B3934" s="3" t="s">
        <v>6738</v>
      </c>
      <c r="C3934" s="3" t="s">
        <v>190</v>
      </c>
      <c r="D3934" s="3" t="s">
        <v>7662</v>
      </c>
      <c r="E3934" s="3" t="s">
        <v>7659</v>
      </c>
      <c r="F3934" s="3" t="s">
        <v>5002</v>
      </c>
      <c r="G3934" s="3" t="str">
        <f>IFERROR(__xludf.DUMMYFUNCTION("GOOGLETRANSLATE(D3934,""fr"",""es"")"),"funda de almohada")</f>
        <v>funda de almohada</v>
      </c>
    </row>
    <row r="3935">
      <c r="A3935" s="3">
        <v>1387.0</v>
      </c>
      <c r="B3935" s="3" t="s">
        <v>6738</v>
      </c>
      <c r="C3935" s="3" t="s">
        <v>190</v>
      </c>
      <c r="D3935" s="3" t="s">
        <v>3563</v>
      </c>
      <c r="E3935" s="3" t="s">
        <v>7663</v>
      </c>
      <c r="F3935" s="3" t="s">
        <v>5018</v>
      </c>
      <c r="G3935" s="3" t="str">
        <f>IFERROR(__xludf.DUMMYFUNCTION("GOOGLETRANSLATE(D3935,""fr"",""es"")"),"montón")</f>
        <v>montón</v>
      </c>
      <c r="H3935" s="3" t="s">
        <v>5019</v>
      </c>
      <c r="I3935" s="3" t="s">
        <v>5020</v>
      </c>
      <c r="J3935" s="3" t="s">
        <v>5021</v>
      </c>
      <c r="K3935" s="3" t="s">
        <v>5022</v>
      </c>
      <c r="L3935" s="3" t="s">
        <v>5023</v>
      </c>
      <c r="M3935" s="3" t="s">
        <v>5024</v>
      </c>
      <c r="N3935" s="3" t="s">
        <v>5025</v>
      </c>
      <c r="O3935" s="3" t="s">
        <v>5024</v>
      </c>
      <c r="P3935" s="3" t="s">
        <v>5026</v>
      </c>
      <c r="Q3935" s="3" t="s">
        <v>5027</v>
      </c>
      <c r="R3935" s="3" t="s">
        <v>5028</v>
      </c>
      <c r="S3935" s="3" t="s">
        <v>5027</v>
      </c>
      <c r="T3935" s="3" t="s">
        <v>5029</v>
      </c>
      <c r="U3935" s="3" t="s">
        <v>5030</v>
      </c>
      <c r="V3935" s="3" t="s">
        <v>5031</v>
      </c>
      <c r="W3935" s="3" t="s">
        <v>5032</v>
      </c>
      <c r="X3935" s="3" t="s">
        <v>5033</v>
      </c>
      <c r="Y3935" s="3" t="s">
        <v>5034</v>
      </c>
      <c r="Z3935" s="3" t="s">
        <v>5035</v>
      </c>
      <c r="AA3935" s="3" t="s">
        <v>5036</v>
      </c>
      <c r="AB3935" s="3" t="s">
        <v>5037</v>
      </c>
      <c r="AC3935" s="3" t="s">
        <v>5038</v>
      </c>
      <c r="AD3935" s="3" t="s">
        <v>5039</v>
      </c>
      <c r="AE3935" s="3" t="s">
        <v>3563</v>
      </c>
      <c r="AF3935" s="3" t="s">
        <v>5040</v>
      </c>
      <c r="AG3935" s="3" t="s">
        <v>5024</v>
      </c>
      <c r="AH3935" s="3" t="s">
        <v>5024</v>
      </c>
    </row>
    <row r="3936">
      <c r="A3936" s="3">
        <v>1388.0</v>
      </c>
      <c r="B3936" s="3" t="s">
        <v>6738</v>
      </c>
      <c r="C3936" s="3" t="s">
        <v>190</v>
      </c>
      <c r="D3936" s="3" t="s">
        <v>5041</v>
      </c>
      <c r="E3936" s="3" t="s">
        <v>7663</v>
      </c>
      <c r="F3936" s="3" t="s">
        <v>5018</v>
      </c>
      <c r="G3936" s="3" t="str">
        <f>IFERROR(__xludf.DUMMYFUNCTION("GOOGLETRANSLATE(D3936,""fr"",""es"")"),"pinge")</f>
        <v>pinge</v>
      </c>
    </row>
    <row r="3937">
      <c r="A3937" s="3">
        <v>1389.0</v>
      </c>
      <c r="B3937" s="3" t="s">
        <v>6738</v>
      </c>
      <c r="C3937" s="3" t="s">
        <v>190</v>
      </c>
      <c r="D3937" s="3" t="s">
        <v>5042</v>
      </c>
      <c r="E3937" s="3" t="s">
        <v>7663</v>
      </c>
      <c r="F3937" s="3" t="s">
        <v>5018</v>
      </c>
      <c r="G3937" s="3" t="str">
        <f>IFERROR(__xludf.DUMMYFUNCTION("GOOGLETRANSLATE(D3937,""fr"",""es"")"),"Batería")</f>
        <v>Batería</v>
      </c>
    </row>
    <row r="3938">
      <c r="A3938" s="3">
        <v>1390.0</v>
      </c>
      <c r="B3938" s="3" t="s">
        <v>6738</v>
      </c>
      <c r="C3938" s="3" t="s">
        <v>190</v>
      </c>
      <c r="D3938" s="3" t="s">
        <v>5043</v>
      </c>
      <c r="E3938" s="3" t="s">
        <v>7664</v>
      </c>
      <c r="F3938" s="3" t="s">
        <v>5045</v>
      </c>
      <c r="G3938" s="3" t="str">
        <f>IFERROR(__xludf.DUMMYFUNCTION("GOOGLETRANSLATE(D3938,""fr"",""es"")"),"pili")</f>
        <v>pili</v>
      </c>
    </row>
    <row r="3939">
      <c r="A3939" s="3">
        <v>1391.0</v>
      </c>
      <c r="B3939" s="3" t="s">
        <v>6738</v>
      </c>
      <c r="C3939" s="3" t="s">
        <v>190</v>
      </c>
      <c r="D3939" s="3" t="s">
        <v>7665</v>
      </c>
      <c r="E3939" s="3" t="s">
        <v>7666</v>
      </c>
      <c r="F3939" s="3" t="s">
        <v>5048</v>
      </c>
      <c r="G3939" s="3" t="str">
        <f>IFERROR(__xludf.DUMMYFUNCTION("GOOGLETRANSLATE(D3939,""fr"",""es"")"),"pillaje")</f>
        <v>pillaje</v>
      </c>
    </row>
    <row r="3940">
      <c r="A3940" s="3">
        <v>1392.0</v>
      </c>
      <c r="B3940" s="3" t="s">
        <v>6738</v>
      </c>
      <c r="C3940" s="3" t="s">
        <v>190</v>
      </c>
      <c r="D3940" s="3" t="s">
        <v>5052</v>
      </c>
      <c r="E3940" s="3" t="s">
        <v>7667</v>
      </c>
      <c r="F3940" s="3" t="s">
        <v>5054</v>
      </c>
      <c r="G3940" s="3" t="str">
        <f>IFERROR(__xludf.DUMMYFUNCTION("GOOGLETRANSLATE(D3940,""fr"",""es"")"),"píldora")</f>
        <v>píldora</v>
      </c>
    </row>
    <row r="3941">
      <c r="A3941" s="3">
        <v>1393.0</v>
      </c>
      <c r="B3941" s="3" t="s">
        <v>6738</v>
      </c>
      <c r="C3941" s="3" t="s">
        <v>190</v>
      </c>
      <c r="D3941" s="3" t="s">
        <v>7668</v>
      </c>
      <c r="E3941" s="3" t="s">
        <v>7666</v>
      </c>
      <c r="F3941" s="3" t="s">
        <v>5048</v>
      </c>
      <c r="G3941" s="3" t="str">
        <f>IFERROR(__xludf.DUMMYFUNCTION("GOOGLETRANSLATE(D3941,""fr"",""es"")"),"píldoras")</f>
        <v>píldoras</v>
      </c>
    </row>
    <row r="3942">
      <c r="A3942" s="3">
        <v>1394.0</v>
      </c>
      <c r="B3942" s="3" t="s">
        <v>6738</v>
      </c>
      <c r="C3942" s="3" t="s">
        <v>190</v>
      </c>
      <c r="D3942" s="3" t="s">
        <v>5055</v>
      </c>
      <c r="E3942" s="3" t="s">
        <v>7669</v>
      </c>
      <c r="F3942" s="3" t="s">
        <v>5057</v>
      </c>
      <c r="G3942" s="3" t="str">
        <f>IFERROR(__xludf.DUMMYFUNCTION("GOOGLETRANSLATE(D3942,""fr"",""es"")"),"pillaje")</f>
        <v>pillaje</v>
      </c>
    </row>
    <row r="3943">
      <c r="A3943" s="3">
        <v>1395.0</v>
      </c>
      <c r="B3943" s="3" t="s">
        <v>6738</v>
      </c>
      <c r="C3943" s="3" t="s">
        <v>190</v>
      </c>
      <c r="D3943" s="3" t="s">
        <v>5058</v>
      </c>
      <c r="E3943" s="3" t="s">
        <v>7669</v>
      </c>
      <c r="F3943" s="3" t="s">
        <v>5057</v>
      </c>
      <c r="G3943" s="3" t="str">
        <f>IFERROR(__xludf.DUMMYFUNCTION("GOOGLETRANSLATE(D3943,""fr"",""es"")"),"pillaje")</f>
        <v>pillaje</v>
      </c>
    </row>
    <row r="3944">
      <c r="A3944" s="3">
        <v>1396.0</v>
      </c>
      <c r="B3944" s="3" t="s">
        <v>6738</v>
      </c>
      <c r="C3944" s="3" t="s">
        <v>190</v>
      </c>
      <c r="D3944" s="3" t="s">
        <v>5059</v>
      </c>
      <c r="E3944" s="3" t="s">
        <v>7669</v>
      </c>
      <c r="F3944" s="3" t="s">
        <v>5057</v>
      </c>
      <c r="G3944" s="3" t="str">
        <f>IFERROR(__xludf.DUMMYFUNCTION("GOOGLETRANSLATE(D3944,""fr"",""es"")"),"píldoras")</f>
        <v>píldoras</v>
      </c>
    </row>
    <row r="3945">
      <c r="A3945" s="3">
        <v>1397.0</v>
      </c>
      <c r="B3945" s="3" t="s">
        <v>6738</v>
      </c>
      <c r="C3945" s="3" t="s">
        <v>190</v>
      </c>
      <c r="D3945" s="3" t="s">
        <v>7670</v>
      </c>
      <c r="E3945" s="3" t="s">
        <v>7666</v>
      </c>
      <c r="F3945" s="3" t="s">
        <v>5048</v>
      </c>
      <c r="G3945" s="3" t="str">
        <f>IFERROR(__xludf.DUMMYFUNCTION("GOOGLETRANSLATE(D3945,""fr"",""es"")"),"pastilla")</f>
        <v>pastilla</v>
      </c>
    </row>
    <row r="3946">
      <c r="A3946" s="3">
        <v>1398.0</v>
      </c>
      <c r="B3946" s="3" t="s">
        <v>6738</v>
      </c>
      <c r="C3946" s="3" t="s">
        <v>190</v>
      </c>
      <c r="D3946" s="3" t="s">
        <v>5060</v>
      </c>
      <c r="E3946" s="3" t="s">
        <v>7671</v>
      </c>
      <c r="F3946" s="3" t="s">
        <v>5062</v>
      </c>
      <c r="G3946" s="3" t="str">
        <f>IFERROR(__xludf.DUMMYFUNCTION("GOOGLETRANSLATE(D3946,""fr"",""es"")"),"saqueado")</f>
        <v>saqueado</v>
      </c>
    </row>
    <row r="3947">
      <c r="A3947" s="3">
        <v>1399.0</v>
      </c>
      <c r="B3947" s="3" t="s">
        <v>6738</v>
      </c>
      <c r="C3947" s="3" t="s">
        <v>190</v>
      </c>
      <c r="D3947" s="3" t="s">
        <v>5063</v>
      </c>
      <c r="E3947" s="3" t="s">
        <v>7671</v>
      </c>
      <c r="F3947" s="3" t="s">
        <v>5062</v>
      </c>
      <c r="G3947" s="3" t="str">
        <f>IFERROR(__xludf.DUMMYFUNCTION("GOOGLETRANSLATE(D3947,""fr"",""es"")"),"saquear")</f>
        <v>saquear</v>
      </c>
    </row>
    <row r="3948">
      <c r="A3948" s="3">
        <v>1400.0</v>
      </c>
      <c r="B3948" s="3" t="s">
        <v>6738</v>
      </c>
      <c r="C3948" s="3" t="s">
        <v>190</v>
      </c>
      <c r="D3948" s="3" t="s">
        <v>5064</v>
      </c>
      <c r="E3948" s="3" t="s">
        <v>7671</v>
      </c>
      <c r="F3948" s="3" t="s">
        <v>5062</v>
      </c>
      <c r="G3948" s="3" t="str">
        <f>IFERROR(__xludf.DUMMYFUNCTION("GOOGLETRANSLATE(D3948,""fr"",""es"")"),"pastillas")</f>
        <v>pastillas</v>
      </c>
    </row>
    <row r="3949">
      <c r="A3949" s="3">
        <v>1401.0</v>
      </c>
      <c r="B3949" s="3" t="s">
        <v>6738</v>
      </c>
      <c r="C3949" s="3" t="s">
        <v>190</v>
      </c>
      <c r="D3949" s="3" t="s">
        <v>5065</v>
      </c>
      <c r="E3949" s="3" t="s">
        <v>7672</v>
      </c>
      <c r="F3949" s="3" t="s">
        <v>5067</v>
      </c>
      <c r="G3949" s="3" t="str">
        <f>IFERROR(__xludf.DUMMYFUNCTION("GOOGLETRANSLATE(D3949,""fr"",""es"")"),"pilou")</f>
        <v>pilou</v>
      </c>
    </row>
    <row r="3950">
      <c r="A3950" s="3">
        <v>1402.0</v>
      </c>
      <c r="B3950" s="3" t="s">
        <v>6738</v>
      </c>
      <c r="C3950" s="3" t="s">
        <v>190</v>
      </c>
      <c r="D3950" s="3" t="s">
        <v>5068</v>
      </c>
      <c r="E3950" s="3" t="s">
        <v>7672</v>
      </c>
      <c r="F3950" s="3" t="s">
        <v>5067</v>
      </c>
      <c r="G3950" s="3" t="str">
        <f>IFERROR(__xludf.DUMMYFUNCTION("GOOGLETRANSLATE(D3950,""fr"",""es"")"),"pilioso")</f>
        <v>pilioso</v>
      </c>
    </row>
    <row r="3951">
      <c r="A3951" s="3">
        <v>1403.0</v>
      </c>
      <c r="B3951" s="3" t="s">
        <v>6738</v>
      </c>
      <c r="C3951" s="3" t="s">
        <v>190</v>
      </c>
      <c r="D3951" s="3" t="s">
        <v>7673</v>
      </c>
      <c r="E3951" s="3" t="s">
        <v>7674</v>
      </c>
      <c r="F3951" s="3" t="s">
        <v>5075</v>
      </c>
      <c r="G3951" s="3" t="str">
        <f>IFERROR(__xludf.DUMMYFUNCTION("GOOGLETRANSLATE(D3951,""fr"",""es"")"),"pellizco")</f>
        <v>pellizco</v>
      </c>
    </row>
    <row r="3952">
      <c r="A3952" s="3">
        <v>1404.0</v>
      </c>
      <c r="B3952" s="3" t="s">
        <v>6738</v>
      </c>
      <c r="C3952" s="3" t="s">
        <v>190</v>
      </c>
      <c r="D3952" s="3" t="s">
        <v>5079</v>
      </c>
      <c r="E3952" s="3" t="s">
        <v>7675</v>
      </c>
      <c r="F3952" s="3" t="s">
        <v>5081</v>
      </c>
      <c r="G3952" s="3" t="str">
        <f>IFERROR(__xludf.DUMMYFUNCTION("GOOGLETRANSLATE(D3952,""fr"",""es"")"),"pinaillâme")</f>
        <v>pinaillâme</v>
      </c>
    </row>
    <row r="3953">
      <c r="A3953" s="3">
        <v>1405.0</v>
      </c>
      <c r="B3953" s="3" t="s">
        <v>6738</v>
      </c>
      <c r="C3953" s="3" t="s">
        <v>190</v>
      </c>
      <c r="D3953" s="3" t="s">
        <v>7676</v>
      </c>
      <c r="E3953" s="3" t="s">
        <v>7674</v>
      </c>
      <c r="F3953" s="3" t="s">
        <v>5075</v>
      </c>
      <c r="G3953" s="3" t="str">
        <f>IFERROR(__xludf.DUMMYFUNCTION("GOOGLETRANSLATE(D3953,""fr"",""es"")"),"mordisco")</f>
        <v>mordisco</v>
      </c>
    </row>
    <row r="3954">
      <c r="A3954" s="3">
        <v>1406.0</v>
      </c>
      <c r="B3954" s="3" t="s">
        <v>6738</v>
      </c>
      <c r="C3954" s="3" t="s">
        <v>190</v>
      </c>
      <c r="D3954" s="3" t="s">
        <v>5082</v>
      </c>
      <c r="E3954" s="3" t="s">
        <v>7677</v>
      </c>
      <c r="F3954" s="3" t="s">
        <v>5084</v>
      </c>
      <c r="G3954" s="3" t="str">
        <f>IFERROR(__xludf.DUMMYFUNCTION("GOOGLETRANSLATE(D3954,""fr"",""es"")"),"trampa")</f>
        <v>trampa</v>
      </c>
    </row>
    <row r="3955">
      <c r="A3955" s="3">
        <v>1407.0</v>
      </c>
      <c r="B3955" s="3" t="s">
        <v>6738</v>
      </c>
      <c r="C3955" s="3" t="s">
        <v>190</v>
      </c>
      <c r="D3955" s="3" t="s">
        <v>5085</v>
      </c>
      <c r="E3955" s="3" t="s">
        <v>7677</v>
      </c>
      <c r="F3955" s="3" t="s">
        <v>5084</v>
      </c>
      <c r="G3955" s="3" t="str">
        <f>IFERROR(__xludf.DUMMYFUNCTION("GOOGLETRANSLATE(D3955,""fr"",""es"")"),"pellizco")</f>
        <v>pellizco</v>
      </c>
    </row>
    <row r="3956">
      <c r="A3956" s="3">
        <v>1408.0</v>
      </c>
      <c r="B3956" s="3" t="s">
        <v>6738</v>
      </c>
      <c r="C3956" s="3" t="s">
        <v>190</v>
      </c>
      <c r="D3956" s="3" t="s">
        <v>5086</v>
      </c>
      <c r="E3956" s="3" t="s">
        <v>7677</v>
      </c>
      <c r="F3956" s="3" t="s">
        <v>5084</v>
      </c>
      <c r="G3956" s="3" t="str">
        <f>IFERROR(__xludf.DUMMYFUNCTION("GOOGLETRANSLATE(D3956,""fr"",""es"")"),"trampa")</f>
        <v>trampa</v>
      </c>
    </row>
    <row r="3957">
      <c r="A3957" s="3">
        <v>1409.0</v>
      </c>
      <c r="B3957" s="3" t="s">
        <v>6738</v>
      </c>
      <c r="C3957" s="3" t="s">
        <v>190</v>
      </c>
      <c r="D3957" s="3" t="s">
        <v>7678</v>
      </c>
      <c r="E3957" s="3" t="s">
        <v>7674</v>
      </c>
      <c r="F3957" s="3" t="s">
        <v>5075</v>
      </c>
      <c r="G3957" s="3" t="str">
        <f>IFERROR(__xludf.DUMMYFUNCTION("GOOGLETRANSLATE(D3957,""fr"",""es"")"),"pinaillât")</f>
        <v>pinaillât</v>
      </c>
    </row>
    <row r="3958">
      <c r="A3958" s="3">
        <v>1410.0</v>
      </c>
      <c r="B3958" s="3" t="s">
        <v>6738</v>
      </c>
      <c r="C3958" s="3" t="s">
        <v>190</v>
      </c>
      <c r="D3958" s="3" t="s">
        <v>5087</v>
      </c>
      <c r="E3958" s="3" t="s">
        <v>7679</v>
      </c>
      <c r="F3958" s="3" t="s">
        <v>5089</v>
      </c>
      <c r="G3958" s="3" t="str">
        <f>IFERROR(__xludf.DUMMYFUNCTION("GOOGLETRANSLATE(D3958,""fr"",""es"")"),"apodo")</f>
        <v>apodo</v>
      </c>
    </row>
    <row r="3959">
      <c r="A3959" s="3">
        <v>1411.0</v>
      </c>
      <c r="B3959" s="3" t="s">
        <v>6738</v>
      </c>
      <c r="C3959" s="3" t="s">
        <v>190</v>
      </c>
      <c r="D3959" s="3" t="s">
        <v>5090</v>
      </c>
      <c r="E3959" s="3" t="s">
        <v>7679</v>
      </c>
      <c r="F3959" s="3" t="s">
        <v>5089</v>
      </c>
      <c r="G3959" s="3" t="str">
        <f>IFERROR(__xludf.DUMMYFUNCTION("GOOGLETRANSLATE(D3959,""fr"",""es"")"),"pestaña")</f>
        <v>pestaña</v>
      </c>
    </row>
    <row r="3960">
      <c r="A3960" s="3">
        <v>1412.0</v>
      </c>
      <c r="B3960" s="3" t="s">
        <v>6738</v>
      </c>
      <c r="C3960" s="3" t="s">
        <v>190</v>
      </c>
      <c r="D3960" s="3" t="s">
        <v>5091</v>
      </c>
      <c r="E3960" s="3" t="s">
        <v>7679</v>
      </c>
      <c r="F3960" s="3" t="s">
        <v>5089</v>
      </c>
      <c r="G3960" s="3" t="str">
        <f>IFERROR(__xludf.DUMMYFUNCTION("GOOGLETRANSLATE(D3960,""fr"",""es"")"),"estaño")</f>
        <v>estaño</v>
      </c>
    </row>
    <row r="3961">
      <c r="A3961" s="3">
        <v>1413.0</v>
      </c>
      <c r="B3961" s="3" t="s">
        <v>6738</v>
      </c>
      <c r="C3961" s="3" t="s">
        <v>190</v>
      </c>
      <c r="D3961" s="3" t="s">
        <v>5092</v>
      </c>
      <c r="E3961" s="3" t="s">
        <v>7680</v>
      </c>
      <c r="F3961" s="3" t="s">
        <v>5094</v>
      </c>
      <c r="G3961" s="3" t="str">
        <f>IFERROR(__xludf.DUMMYFUNCTION("GOOGLETRANSLATE(D3961,""fr"",""es"")"),"pinas")</f>
        <v>pinas</v>
      </c>
    </row>
    <row r="3962">
      <c r="A3962" s="3">
        <v>1414.0</v>
      </c>
      <c r="B3962" s="3" t="s">
        <v>6738</v>
      </c>
      <c r="C3962" s="3" t="s">
        <v>190</v>
      </c>
      <c r="D3962" s="3" t="s">
        <v>5095</v>
      </c>
      <c r="E3962" s="3" t="s">
        <v>7680</v>
      </c>
      <c r="F3962" s="3" t="s">
        <v>5094</v>
      </c>
      <c r="G3962" s="3" t="str">
        <f>IFERROR(__xludf.DUMMYFUNCTION("GOOGLETRANSLATE(D3962,""fr"",""es"")"),"pinas")</f>
        <v>pinas</v>
      </c>
    </row>
    <row r="3963">
      <c r="A3963" s="3">
        <v>1415.0</v>
      </c>
      <c r="B3963" s="3" t="s">
        <v>6738</v>
      </c>
      <c r="C3963" s="3" t="s">
        <v>190</v>
      </c>
      <c r="D3963" s="3" t="s">
        <v>5098</v>
      </c>
      <c r="E3963" s="3" t="s">
        <v>7681</v>
      </c>
      <c r="F3963" s="3" t="s">
        <v>5098</v>
      </c>
      <c r="G3963" s="3" t="str">
        <f>IFERROR(__xludf.DUMMYFUNCTION("GOOGLETRANSLATE(D3963,""fr"",""es"")"),"pipa")</f>
        <v>pipa</v>
      </c>
      <c r="H3963" s="3" t="s">
        <v>7682</v>
      </c>
      <c r="I3963" s="3" t="s">
        <v>7683</v>
      </c>
      <c r="J3963" s="3" t="s">
        <v>7684</v>
      </c>
      <c r="K3963" s="3" t="s">
        <v>7685</v>
      </c>
      <c r="L3963" s="3" t="s">
        <v>7686</v>
      </c>
    </row>
    <row r="3964">
      <c r="A3964" s="3">
        <v>1416.0</v>
      </c>
      <c r="B3964" s="3" t="s">
        <v>6738</v>
      </c>
      <c r="C3964" s="3" t="s">
        <v>190</v>
      </c>
      <c r="D3964" s="3" t="s">
        <v>5102</v>
      </c>
      <c r="E3964" s="3" t="s">
        <v>7687</v>
      </c>
      <c r="F3964" s="3" t="s">
        <v>5104</v>
      </c>
      <c r="G3964" s="3" t="str">
        <f>IFERROR(__xludf.DUMMYFUNCTION("GOOGLETRANSLATE(D3964,""fr"",""es"")"),"pipâme")</f>
        <v>pipâme</v>
      </c>
    </row>
    <row r="3965">
      <c r="A3965" s="3">
        <v>1417.0</v>
      </c>
      <c r="B3965" s="3" t="s">
        <v>6738</v>
      </c>
      <c r="C3965" s="3" t="s">
        <v>190</v>
      </c>
      <c r="D3965" s="3" t="s">
        <v>5107</v>
      </c>
      <c r="E3965" s="3" t="s">
        <v>7681</v>
      </c>
      <c r="F3965" s="3" t="s">
        <v>5098</v>
      </c>
      <c r="G3965" s="3" t="str">
        <f>IFERROR(__xludf.DUMMYFUNCTION("GOOGLETRANSLATE(D3965,""fr"",""es"")"),"pipas")</f>
        <v>pipas</v>
      </c>
    </row>
    <row r="3966">
      <c r="A3966" s="3">
        <v>1418.0</v>
      </c>
      <c r="B3966" s="3" t="s">
        <v>6738</v>
      </c>
      <c r="C3966" s="3" t="s">
        <v>190</v>
      </c>
      <c r="D3966" s="3" t="s">
        <v>5105</v>
      </c>
      <c r="E3966" s="3" t="s">
        <v>7688</v>
      </c>
      <c r="F3966" s="3" t="s">
        <v>5107</v>
      </c>
      <c r="G3966" s="3" t="str">
        <f>IFERROR(__xludf.DUMMYFUNCTION("GOOGLETRANSLATE(D3966,""fr"",""es"")"),"Pipassus")</f>
        <v>Pipassus</v>
      </c>
    </row>
    <row r="3967">
      <c r="A3967" s="3">
        <v>1419.0</v>
      </c>
      <c r="B3967" s="3" t="s">
        <v>6738</v>
      </c>
      <c r="C3967" s="3" t="s">
        <v>190</v>
      </c>
      <c r="D3967" s="3" t="s">
        <v>5108</v>
      </c>
      <c r="E3967" s="3" t="s">
        <v>7688</v>
      </c>
      <c r="F3967" s="3" t="s">
        <v>5107</v>
      </c>
      <c r="G3967" s="3" t="str">
        <f>IFERROR(__xludf.DUMMYFUNCTION("GOOGLETRANSLATE(D3967,""fr"",""es"")"),"tubería")</f>
        <v>tubería</v>
      </c>
    </row>
    <row r="3968">
      <c r="A3968" s="3">
        <v>1420.0</v>
      </c>
      <c r="B3968" s="3" t="s">
        <v>6738</v>
      </c>
      <c r="C3968" s="3" t="s">
        <v>190</v>
      </c>
      <c r="D3968" s="3" t="s">
        <v>5109</v>
      </c>
      <c r="E3968" s="3" t="s">
        <v>7688</v>
      </c>
      <c r="F3968" s="3" t="s">
        <v>5107</v>
      </c>
      <c r="G3968" s="3" t="str">
        <f>IFERROR(__xludf.DUMMYFUNCTION("GOOGLETRANSLATE(D3968,""fr"",""es"")"),"pipan")</f>
        <v>pipan</v>
      </c>
    </row>
    <row r="3969">
      <c r="A3969" s="3">
        <v>1421.0</v>
      </c>
      <c r="B3969" s="3" t="s">
        <v>6738</v>
      </c>
      <c r="C3969" s="3" t="s">
        <v>190</v>
      </c>
      <c r="D3969" s="3" t="s">
        <v>7689</v>
      </c>
      <c r="E3969" s="3" t="s">
        <v>7681</v>
      </c>
      <c r="F3969" s="3" t="s">
        <v>5098</v>
      </c>
      <c r="G3969" s="3" t="str">
        <f>IFERROR(__xludf.DUMMYFUNCTION("GOOGLETRANSLATE(D3969,""fr"",""es"")"),"pipât")</f>
        <v>pipât</v>
      </c>
    </row>
    <row r="3970">
      <c r="A3970" s="3">
        <v>1422.0</v>
      </c>
      <c r="B3970" s="3" t="s">
        <v>6738</v>
      </c>
      <c r="C3970" s="3" t="s">
        <v>190</v>
      </c>
      <c r="D3970" s="3" t="s">
        <v>5110</v>
      </c>
      <c r="E3970" s="3" t="s">
        <v>7690</v>
      </c>
      <c r="F3970" s="3" t="s">
        <v>5112</v>
      </c>
      <c r="G3970" s="3" t="str">
        <f>IFERROR(__xludf.DUMMYFUNCTION("GOOGLETRANSLATE(D3970,""fr"",""es"")"),"tubo")</f>
        <v>tubo</v>
      </c>
      <c r="H3970" s="3" t="s">
        <v>5113</v>
      </c>
      <c r="I3970" s="3" t="s">
        <v>5114</v>
      </c>
      <c r="J3970" s="3" t="s">
        <v>5115</v>
      </c>
      <c r="K3970" s="3" t="s">
        <v>5116</v>
      </c>
      <c r="L3970" s="3" t="s">
        <v>5117</v>
      </c>
      <c r="M3970" s="3" t="s">
        <v>5110</v>
      </c>
      <c r="N3970" s="3" t="s">
        <v>5110</v>
      </c>
      <c r="O3970" s="3" t="s">
        <v>5110</v>
      </c>
      <c r="P3970" s="3" t="s">
        <v>5110</v>
      </c>
      <c r="Q3970" s="3" t="s">
        <v>5118</v>
      </c>
      <c r="R3970" s="3" t="s">
        <v>5110</v>
      </c>
      <c r="S3970" s="3" t="s">
        <v>5119</v>
      </c>
      <c r="T3970" s="3" t="s">
        <v>5110</v>
      </c>
      <c r="U3970" s="3" t="s">
        <v>5120</v>
      </c>
      <c r="V3970" s="3" t="s">
        <v>5121</v>
      </c>
      <c r="W3970" s="3" t="s">
        <v>5110</v>
      </c>
      <c r="X3970" s="3" t="s">
        <v>5122</v>
      </c>
      <c r="Y3970" s="3" t="s">
        <v>5110</v>
      </c>
      <c r="Z3970" s="3" t="s">
        <v>5110</v>
      </c>
      <c r="AA3970" s="3" t="s">
        <v>5123</v>
      </c>
    </row>
    <row r="3971">
      <c r="A3971" s="3">
        <v>1423.0</v>
      </c>
      <c r="B3971" s="3" t="s">
        <v>6738</v>
      </c>
      <c r="C3971" s="3" t="s">
        <v>190</v>
      </c>
      <c r="D3971" s="3" t="s">
        <v>5124</v>
      </c>
      <c r="E3971" s="3" t="s">
        <v>7690</v>
      </c>
      <c r="F3971" s="3" t="s">
        <v>5112</v>
      </c>
      <c r="G3971" s="3" t="str">
        <f>IFERROR(__xludf.DUMMYFUNCTION("GOOGLETRANSLATE(D3971,""fr"",""es"")"),"tubo")</f>
        <v>tubo</v>
      </c>
    </row>
    <row r="3972">
      <c r="A3972" s="3">
        <v>1424.0</v>
      </c>
      <c r="B3972" s="3" t="s">
        <v>6738</v>
      </c>
      <c r="C3972" s="3" t="s">
        <v>190</v>
      </c>
      <c r="D3972" s="3" t="s">
        <v>5125</v>
      </c>
      <c r="E3972" s="3" t="s">
        <v>7690</v>
      </c>
      <c r="F3972" s="3" t="s">
        <v>5112</v>
      </c>
      <c r="G3972" s="3" t="str">
        <f>IFERROR(__xludf.DUMMYFUNCTION("GOOGLETRANSLATE(D3972,""fr"",""es"")"),"tubería")</f>
        <v>tubería</v>
      </c>
    </row>
    <row r="3973">
      <c r="A3973" s="3">
        <v>1425.0</v>
      </c>
      <c r="B3973" s="3" t="s">
        <v>6738</v>
      </c>
      <c r="C3973" s="3" t="s">
        <v>190</v>
      </c>
      <c r="D3973" s="3" t="s">
        <v>5126</v>
      </c>
      <c r="E3973" s="3" t="s">
        <v>7691</v>
      </c>
      <c r="F3973" s="3" t="s">
        <v>5126</v>
      </c>
      <c r="G3973" s="3" t="str">
        <f>IFERROR(__xludf.DUMMYFUNCTION("GOOGLETRANSLATE(D3973,""fr"",""es"")"),"Orinar")</f>
        <v>Orinar</v>
      </c>
      <c r="H3973" s="3" t="s">
        <v>5128</v>
      </c>
      <c r="I3973" s="3" t="s">
        <v>5129</v>
      </c>
      <c r="J3973" s="3" t="s">
        <v>5130</v>
      </c>
      <c r="K3973" s="3" t="s">
        <v>5131</v>
      </c>
      <c r="L3973" s="3" t="s">
        <v>5132</v>
      </c>
      <c r="M3973" s="3" t="s">
        <v>5131</v>
      </c>
      <c r="N3973" s="3" t="s">
        <v>5129</v>
      </c>
      <c r="O3973" s="3" t="s">
        <v>5133</v>
      </c>
      <c r="P3973" s="3" t="s">
        <v>5134</v>
      </c>
      <c r="Q3973" s="3" t="s">
        <v>4157</v>
      </c>
    </row>
    <row r="3974">
      <c r="A3974" s="3">
        <v>1426.0</v>
      </c>
      <c r="B3974" s="3" t="s">
        <v>6738</v>
      </c>
      <c r="C3974" s="3" t="s">
        <v>190</v>
      </c>
      <c r="D3974" s="3" t="s">
        <v>5135</v>
      </c>
      <c r="E3974" s="3" t="s">
        <v>7691</v>
      </c>
      <c r="F3974" s="3" t="s">
        <v>5126</v>
      </c>
      <c r="G3974" s="3" t="str">
        <f>IFERROR(__xludf.DUMMYFUNCTION("GOOGLETRANSLATE(D3974,""fr"",""es"")"),"pipis")</f>
        <v>pipis</v>
      </c>
    </row>
    <row r="3975">
      <c r="A3975" s="3">
        <v>1427.0</v>
      </c>
      <c r="B3975" s="3" t="s">
        <v>6738</v>
      </c>
      <c r="C3975" s="3" t="s">
        <v>190</v>
      </c>
      <c r="D3975" s="3" t="s">
        <v>7692</v>
      </c>
      <c r="E3975" s="3" t="s">
        <v>7693</v>
      </c>
      <c r="F3975" s="3" t="s">
        <v>5138</v>
      </c>
      <c r="G3975" s="3" t="str">
        <f>IFERROR(__xludf.DUMMYFUNCTION("GOOGLETRANSLATE(D3975,""fr"",""es"")"),"atascado")</f>
        <v>atascado</v>
      </c>
    </row>
    <row r="3976">
      <c r="A3976" s="3">
        <v>1428.0</v>
      </c>
      <c r="B3976" s="3" t="s">
        <v>6738</v>
      </c>
      <c r="C3976" s="3" t="s">
        <v>190</v>
      </c>
      <c r="D3976" s="3" t="s">
        <v>5142</v>
      </c>
      <c r="E3976" s="3" t="s">
        <v>7694</v>
      </c>
      <c r="F3976" s="3" t="s">
        <v>5144</v>
      </c>
      <c r="G3976" s="3" t="str">
        <f>IFERROR(__xludf.DUMMYFUNCTION("GOOGLETRANSLATE(D3976,""fr"",""es"")"),"piques")</f>
        <v>piques</v>
      </c>
    </row>
    <row r="3977">
      <c r="A3977" s="3">
        <v>1429.0</v>
      </c>
      <c r="B3977" s="3" t="s">
        <v>6738</v>
      </c>
      <c r="C3977" s="3" t="s">
        <v>190</v>
      </c>
      <c r="D3977" s="3" t="s">
        <v>7695</v>
      </c>
      <c r="E3977" s="3" t="s">
        <v>7693</v>
      </c>
      <c r="F3977" s="3" t="s">
        <v>5138</v>
      </c>
      <c r="G3977" s="3" t="str">
        <f>IFERROR(__xludf.DUMMYFUNCTION("GOOGLETRANSLATE(D3977,""fr"",""es"")"),"picadura")</f>
        <v>picadura</v>
      </c>
    </row>
    <row r="3978">
      <c r="A3978" s="3">
        <v>1430.0</v>
      </c>
      <c r="B3978" s="3" t="s">
        <v>6738</v>
      </c>
      <c r="C3978" s="3" t="s">
        <v>190</v>
      </c>
      <c r="D3978" s="3" t="s">
        <v>5145</v>
      </c>
      <c r="E3978" s="3" t="s">
        <v>7696</v>
      </c>
      <c r="F3978" s="3" t="s">
        <v>5147</v>
      </c>
      <c r="G3978" s="3" t="str">
        <f>IFERROR(__xludf.DUMMYFUNCTION("GOOGLETRANSLATE(D3978,""fr"",""es"")"),"picadura")</f>
        <v>picadura</v>
      </c>
    </row>
    <row r="3979">
      <c r="A3979" s="3">
        <v>1431.0</v>
      </c>
      <c r="B3979" s="3" t="s">
        <v>6738</v>
      </c>
      <c r="C3979" s="3" t="s">
        <v>190</v>
      </c>
      <c r="D3979" s="3" t="s">
        <v>5148</v>
      </c>
      <c r="E3979" s="3" t="s">
        <v>7696</v>
      </c>
      <c r="F3979" s="3" t="s">
        <v>5147</v>
      </c>
      <c r="G3979" s="3" t="str">
        <f>IFERROR(__xludf.DUMMYFUNCTION("GOOGLETRANSLATE(D3979,""fr"",""es"")"),"picadura")</f>
        <v>picadura</v>
      </c>
    </row>
    <row r="3980">
      <c r="A3980" s="3">
        <v>1432.0</v>
      </c>
      <c r="B3980" s="3" t="s">
        <v>6738</v>
      </c>
      <c r="C3980" s="3" t="s">
        <v>190</v>
      </c>
      <c r="D3980" s="3" t="s">
        <v>5149</v>
      </c>
      <c r="E3980" s="3" t="s">
        <v>7696</v>
      </c>
      <c r="F3980" s="3" t="s">
        <v>5147</v>
      </c>
      <c r="G3980" s="3" t="str">
        <f>IFERROR(__xludf.DUMMYFUNCTION("GOOGLETRANSLATE(D3980,""fr"",""es"")"),"picadura")</f>
        <v>picadura</v>
      </c>
    </row>
    <row r="3981">
      <c r="A3981" s="3">
        <v>1433.0</v>
      </c>
      <c r="B3981" s="3" t="s">
        <v>6738</v>
      </c>
      <c r="C3981" s="3" t="s">
        <v>190</v>
      </c>
      <c r="D3981" s="3" t="s">
        <v>7697</v>
      </c>
      <c r="E3981" s="3" t="s">
        <v>7693</v>
      </c>
      <c r="F3981" s="3" t="s">
        <v>5138</v>
      </c>
      <c r="G3981" s="3" t="str">
        <f>IFERROR(__xludf.DUMMYFUNCTION("GOOGLETRANSLATE(D3981,""fr"",""es"")"),"piquero")</f>
        <v>piquero</v>
      </c>
    </row>
    <row r="3982">
      <c r="A3982" s="3">
        <v>1434.0</v>
      </c>
      <c r="B3982" s="3" t="s">
        <v>6738</v>
      </c>
      <c r="C3982" s="3" t="s">
        <v>190</v>
      </c>
      <c r="D3982" s="3" t="s">
        <v>5150</v>
      </c>
      <c r="E3982" s="3" t="s">
        <v>7658</v>
      </c>
      <c r="F3982" s="3" t="s">
        <v>4938</v>
      </c>
      <c r="G3982" s="3" t="str">
        <f>IFERROR(__xludf.DUMMYFUNCTION("GOOGLETRANSLATE(D3982,""fr"",""es"")"),"pico")</f>
        <v>pico</v>
      </c>
    </row>
    <row r="3983">
      <c r="A3983" s="3">
        <v>1435.0</v>
      </c>
      <c r="B3983" s="3" t="s">
        <v>6738</v>
      </c>
      <c r="C3983" s="3" t="s">
        <v>190</v>
      </c>
      <c r="D3983" s="3" t="s">
        <v>5151</v>
      </c>
      <c r="E3983" s="3" t="s">
        <v>7658</v>
      </c>
      <c r="F3983" s="3" t="s">
        <v>4938</v>
      </c>
      <c r="G3983" s="3" t="str">
        <f>IFERROR(__xludf.DUMMYFUNCTION("GOOGLETRANSLATE(D3983,""fr"",""es"")"),"morder")</f>
        <v>morder</v>
      </c>
    </row>
    <row r="3984">
      <c r="A3984" s="3">
        <v>1436.0</v>
      </c>
      <c r="B3984" s="3" t="s">
        <v>6738</v>
      </c>
      <c r="C3984" s="3" t="s">
        <v>190</v>
      </c>
      <c r="D3984" s="3" t="s">
        <v>5152</v>
      </c>
      <c r="E3984" s="3" t="s">
        <v>7658</v>
      </c>
      <c r="F3984" s="3" t="s">
        <v>4938</v>
      </c>
      <c r="G3984" s="3" t="str">
        <f>IFERROR(__xludf.DUMMYFUNCTION("GOOGLETRANSLATE(D3984,""fr"",""es"")"),"Picos")</f>
        <v>Picos</v>
      </c>
    </row>
    <row r="3985">
      <c r="A3985" s="3">
        <v>1437.0</v>
      </c>
      <c r="B3985" s="3" t="s">
        <v>6738</v>
      </c>
      <c r="C3985" s="3" t="s">
        <v>190</v>
      </c>
      <c r="D3985" s="3" t="s">
        <v>5155</v>
      </c>
      <c r="E3985" s="3" t="s">
        <v>4935</v>
      </c>
      <c r="F3985" s="3" t="s">
        <v>4934</v>
      </c>
      <c r="G3985" s="3" t="str">
        <f>IFERROR(__xludf.DUMMYFUNCTION("GOOGLETRANSLATE(D3985,""fr"",""es"")"),"peor")</f>
        <v>peor</v>
      </c>
      <c r="H3985" s="3" t="s">
        <v>5156</v>
      </c>
      <c r="I3985" s="3" t="s">
        <v>5157</v>
      </c>
      <c r="J3985" s="3" t="s">
        <v>5158</v>
      </c>
    </row>
    <row r="3986">
      <c r="A3986" s="3">
        <v>1438.0</v>
      </c>
      <c r="B3986" s="3" t="s">
        <v>6738</v>
      </c>
      <c r="C3986" s="3" t="s">
        <v>190</v>
      </c>
      <c r="D3986" s="3" t="s">
        <v>5159</v>
      </c>
      <c r="E3986" s="3" t="s">
        <v>7698</v>
      </c>
      <c r="F3986" s="3" t="s">
        <v>5161</v>
      </c>
      <c r="G3986" s="3" t="str">
        <f>IFERROR(__xludf.DUMMYFUNCTION("GOOGLETRANSLATE(D3986,""fr"",""es"")"),"piscina")</f>
        <v>piscina</v>
      </c>
      <c r="H3986" s="3" t="s">
        <v>5162</v>
      </c>
      <c r="I3986" s="3" t="s">
        <v>5163</v>
      </c>
      <c r="J3986" s="3" t="s">
        <v>5164</v>
      </c>
      <c r="K3986" s="3" t="s">
        <v>5165</v>
      </c>
      <c r="L3986" s="3" t="s">
        <v>5166</v>
      </c>
    </row>
    <row r="3987">
      <c r="A3987" s="3">
        <v>1439.0</v>
      </c>
      <c r="B3987" s="3" t="s">
        <v>6738</v>
      </c>
      <c r="C3987" s="3" t="s">
        <v>190</v>
      </c>
      <c r="D3987" s="3" t="s">
        <v>5167</v>
      </c>
      <c r="E3987" s="3" t="s">
        <v>7698</v>
      </c>
      <c r="F3987" s="3" t="s">
        <v>5161</v>
      </c>
      <c r="G3987" s="3" t="str">
        <f>IFERROR(__xludf.DUMMYFUNCTION("GOOGLETRANSLATE(D3987,""fr"",""es"")"),"piscina")</f>
        <v>piscina</v>
      </c>
    </row>
    <row r="3988">
      <c r="A3988" s="3">
        <v>1440.0</v>
      </c>
      <c r="B3988" s="3" t="s">
        <v>6738</v>
      </c>
      <c r="C3988" s="3" t="s">
        <v>190</v>
      </c>
      <c r="D3988" s="3" t="s">
        <v>7699</v>
      </c>
      <c r="E3988" s="3" t="s">
        <v>7700</v>
      </c>
      <c r="F3988" s="3" t="s">
        <v>5170</v>
      </c>
      <c r="G3988" s="3" t="str">
        <f>IFERROR(__xludf.DUMMYFUNCTION("GOOGLETRANSLATE(D3988,""fr"",""es"")"),"pisno")</f>
        <v>pisno</v>
      </c>
    </row>
    <row r="3989">
      <c r="A3989" s="3">
        <v>1441.0</v>
      </c>
      <c r="B3989" s="3" t="s">
        <v>6738</v>
      </c>
      <c r="C3989" s="3" t="s">
        <v>190</v>
      </c>
      <c r="D3989" s="3" t="s">
        <v>5174</v>
      </c>
      <c r="E3989" s="3" t="s">
        <v>7701</v>
      </c>
      <c r="F3989" s="3" t="s">
        <v>5176</v>
      </c>
      <c r="G3989" s="3" t="str">
        <f>IFERROR(__xludf.DUMMYFUNCTION("GOOGLETRANSLATE(D3989,""fr"",""es"")"),"orinar")</f>
        <v>orinar</v>
      </c>
    </row>
    <row r="3990">
      <c r="A3990" s="3">
        <v>1442.0</v>
      </c>
      <c r="B3990" s="3" t="s">
        <v>6738</v>
      </c>
      <c r="C3990" s="3" t="s">
        <v>190</v>
      </c>
      <c r="D3990" s="3" t="s">
        <v>7702</v>
      </c>
      <c r="E3990" s="3" t="s">
        <v>7700</v>
      </c>
      <c r="F3990" s="3" t="s">
        <v>5170</v>
      </c>
      <c r="G3990" s="3" t="str">
        <f>IFERROR(__xludf.DUMMYFUNCTION("GOOGLETRANSLATE(D3990,""fr"",""es"")"),"pissas")</f>
        <v>pissas</v>
      </c>
    </row>
    <row r="3991">
      <c r="A3991" s="3">
        <v>1443.0</v>
      </c>
      <c r="B3991" s="3" t="s">
        <v>6738</v>
      </c>
      <c r="C3991" s="3" t="s">
        <v>190</v>
      </c>
      <c r="D3991" s="3" t="s">
        <v>5177</v>
      </c>
      <c r="E3991" s="3" t="s">
        <v>7703</v>
      </c>
      <c r="F3991" s="3" t="s">
        <v>5179</v>
      </c>
      <c r="G3991" s="3" t="str">
        <f>IFERROR(__xludf.DUMMYFUNCTION("GOOGLETRANSLATE(D3991,""fr"",""es"")"),"pisso")</f>
        <v>pisso</v>
      </c>
    </row>
    <row r="3992">
      <c r="A3992" s="3">
        <v>1444.0</v>
      </c>
      <c r="B3992" s="3" t="s">
        <v>6738</v>
      </c>
      <c r="C3992" s="3" t="s">
        <v>190</v>
      </c>
      <c r="D3992" s="3" t="s">
        <v>5180</v>
      </c>
      <c r="E3992" s="3" t="s">
        <v>7703</v>
      </c>
      <c r="F3992" s="3" t="s">
        <v>5179</v>
      </c>
      <c r="G3992" s="3" t="str">
        <f>IFERROR(__xludf.DUMMYFUNCTION("GOOGLETRANSLATE(D3992,""fr"",""es"")"),"orinar")</f>
        <v>orinar</v>
      </c>
    </row>
    <row r="3993">
      <c r="A3993" s="3">
        <v>1445.0</v>
      </c>
      <c r="B3993" s="3" t="s">
        <v>6738</v>
      </c>
      <c r="C3993" s="3" t="s">
        <v>190</v>
      </c>
      <c r="D3993" s="3" t="s">
        <v>5181</v>
      </c>
      <c r="E3993" s="3" t="s">
        <v>7703</v>
      </c>
      <c r="F3993" s="3" t="s">
        <v>5179</v>
      </c>
      <c r="G3993" s="3" t="str">
        <f>IFERROR(__xludf.DUMMYFUNCTION("GOOGLETRANSLATE(D3993,""fr"",""es"")"),"pissas")</f>
        <v>pissas</v>
      </c>
    </row>
    <row r="3994">
      <c r="A3994" s="3">
        <v>1446.0</v>
      </c>
      <c r="B3994" s="3" t="s">
        <v>6738</v>
      </c>
      <c r="C3994" s="3" t="s">
        <v>190</v>
      </c>
      <c r="D3994" s="3" t="s">
        <v>7704</v>
      </c>
      <c r="E3994" s="3" t="s">
        <v>7700</v>
      </c>
      <c r="F3994" s="3" t="s">
        <v>5170</v>
      </c>
      <c r="G3994" s="3" t="str">
        <f>IFERROR(__xludf.DUMMYFUNCTION("GOOGLETRANSLATE(D3994,""fr"",""es"")"),"pissatus")</f>
        <v>pissatus</v>
      </c>
    </row>
    <row r="3995">
      <c r="A3995" s="3">
        <v>1447.0</v>
      </c>
      <c r="B3995" s="3" t="s">
        <v>6738</v>
      </c>
      <c r="C3995" s="3" t="s">
        <v>190</v>
      </c>
      <c r="D3995" s="3" t="s">
        <v>5182</v>
      </c>
      <c r="E3995" s="3" t="s">
        <v>7705</v>
      </c>
      <c r="F3995" s="3" t="s">
        <v>5155</v>
      </c>
      <c r="G3995" s="3" t="str">
        <f>IFERROR(__xludf.DUMMYFUNCTION("GOOGLETRANSLATE(D3995,""fr"",""es"")"),"orinar")</f>
        <v>orinar</v>
      </c>
    </row>
    <row r="3996">
      <c r="A3996" s="3">
        <v>1448.0</v>
      </c>
      <c r="B3996" s="3" t="s">
        <v>6738</v>
      </c>
      <c r="C3996" s="3" t="s">
        <v>190</v>
      </c>
      <c r="D3996" s="3" t="s">
        <v>5184</v>
      </c>
      <c r="E3996" s="3" t="s">
        <v>7705</v>
      </c>
      <c r="F3996" s="3" t="s">
        <v>5155</v>
      </c>
      <c r="G3996" s="3" t="str">
        <f>IFERROR(__xludf.DUMMYFUNCTION("GOOGLETRANSLATE(D3996,""fr"",""es"")"),"orinar")</f>
        <v>orinar</v>
      </c>
    </row>
    <row r="3997">
      <c r="A3997" s="3">
        <v>1449.0</v>
      </c>
      <c r="B3997" s="3" t="s">
        <v>6738</v>
      </c>
      <c r="C3997" s="3" t="s">
        <v>190</v>
      </c>
      <c r="D3997" s="3" t="s">
        <v>5185</v>
      </c>
      <c r="E3997" s="3" t="s">
        <v>7705</v>
      </c>
      <c r="F3997" s="3" t="s">
        <v>5155</v>
      </c>
      <c r="G3997" s="3" t="str">
        <f>IFERROR(__xludf.DUMMYFUNCTION("GOOGLETRANSLATE(D3997,""fr"",""es"")"),"pips")</f>
        <v>pips</v>
      </c>
    </row>
    <row r="3998">
      <c r="A3998" s="3">
        <v>1450.0</v>
      </c>
      <c r="B3998" s="3" t="s">
        <v>6738</v>
      </c>
      <c r="C3998" s="3" t="s">
        <v>190</v>
      </c>
      <c r="D3998" s="3" t="s">
        <v>7706</v>
      </c>
      <c r="E3998" s="3" t="s">
        <v>7707</v>
      </c>
      <c r="F3998" s="3" t="s">
        <v>7706</v>
      </c>
      <c r="G3998" s="3" t="str">
        <f>IFERROR(__xludf.DUMMYFUNCTION("GOOGLETRANSLATE(D3998,""fr"",""es"")"),"Agave")</f>
        <v>Agave</v>
      </c>
      <c r="H3998" s="3" t="s">
        <v>7706</v>
      </c>
      <c r="I3998" s="3" t="s">
        <v>7708</v>
      </c>
    </row>
    <row r="3999">
      <c r="A3999" s="3">
        <v>1451.0</v>
      </c>
      <c r="B3999" s="3" t="s">
        <v>6738</v>
      </c>
      <c r="C3999" s="3" t="s">
        <v>190</v>
      </c>
      <c r="D3999" s="3" t="s">
        <v>5209</v>
      </c>
      <c r="E3999" s="3" t="s">
        <v>7709</v>
      </c>
      <c r="F3999" s="3" t="s">
        <v>5211</v>
      </c>
      <c r="G3999" s="3" t="str">
        <f>IFERROR(__xludf.DUMMYFUNCTION("GOOGLETRANSLATE(D3999,""fr"",""es"")"),"piscina")</f>
        <v>piscina</v>
      </c>
      <c r="H3999" s="3" t="s">
        <v>5209</v>
      </c>
    </row>
    <row r="4000">
      <c r="A4000" s="3">
        <v>1452.0</v>
      </c>
      <c r="B4000" s="3" t="s">
        <v>6738</v>
      </c>
      <c r="C4000" s="3" t="s">
        <v>190</v>
      </c>
      <c r="D4000" s="3" t="s">
        <v>5212</v>
      </c>
      <c r="E4000" s="3" t="s">
        <v>7709</v>
      </c>
      <c r="F4000" s="3" t="s">
        <v>5211</v>
      </c>
      <c r="G4000" s="3" t="str">
        <f>IFERROR(__xludf.DUMMYFUNCTION("GOOGLETRANSLATE(D4000,""fr"",""es"")"),"quinielas")</f>
        <v>quinielas</v>
      </c>
    </row>
    <row r="4001">
      <c r="A4001" s="3">
        <v>1453.0</v>
      </c>
      <c r="B4001" s="3" t="s">
        <v>6738</v>
      </c>
      <c r="C4001" s="3" t="s">
        <v>190</v>
      </c>
      <c r="D4001" s="3" t="s">
        <v>5213</v>
      </c>
      <c r="E4001" s="3" t="s">
        <v>5214</v>
      </c>
      <c r="F4001" s="3" t="s">
        <v>5215</v>
      </c>
      <c r="G4001" s="3" t="str">
        <f>IFERROR(__xludf.DUMMYFUNCTION("GOOGLETRANSLATE(D4001,""fr"",""es"")"),"pou")</f>
        <v>pou</v>
      </c>
      <c r="H4001" s="3" t="s">
        <v>5216</v>
      </c>
      <c r="I4001" s="3" t="s">
        <v>5217</v>
      </c>
      <c r="J4001" s="3" t="s">
        <v>5218</v>
      </c>
      <c r="K4001" s="3" t="s">
        <v>5219</v>
      </c>
      <c r="L4001" s="3" t="s">
        <v>5216</v>
      </c>
      <c r="M4001" s="3" t="s">
        <v>5220</v>
      </c>
      <c r="N4001" s="3" t="s">
        <v>5216</v>
      </c>
      <c r="O4001" s="3" t="s">
        <v>5221</v>
      </c>
      <c r="P4001" s="3" t="s">
        <v>5216</v>
      </c>
      <c r="Q4001" s="3" t="s">
        <v>5222</v>
      </c>
      <c r="R4001" s="3" t="s">
        <v>5223</v>
      </c>
    </row>
    <row r="4002">
      <c r="A4002" s="3">
        <v>1454.0</v>
      </c>
      <c r="B4002" s="3" t="s">
        <v>6738</v>
      </c>
      <c r="C4002" s="3" t="s">
        <v>190</v>
      </c>
      <c r="D4002" s="3" t="s">
        <v>5224</v>
      </c>
      <c r="E4002" s="3" t="s">
        <v>175</v>
      </c>
      <c r="F4002" s="3" t="s">
        <v>174</v>
      </c>
      <c r="G4002" s="3" t="str">
        <f>IFERROR(__xludf.DUMMYFUNCTION("GOOGLETRANSLATE(D4002,""fr"",""es"")"),"pulgada")</f>
        <v>pulgada</v>
      </c>
      <c r="H4002" s="3" t="s">
        <v>5226</v>
      </c>
      <c r="I4002" s="3" t="s">
        <v>5227</v>
      </c>
      <c r="J4002" s="3" t="s">
        <v>5228</v>
      </c>
      <c r="K4002" s="3" t="s">
        <v>5229</v>
      </c>
      <c r="L4002" s="3" t="s">
        <v>5230</v>
      </c>
      <c r="M4002" s="3" t="s">
        <v>5231</v>
      </c>
      <c r="N4002" s="3" t="s">
        <v>5232</v>
      </c>
      <c r="O4002" s="3" t="s">
        <v>5233</v>
      </c>
      <c r="P4002" s="3" t="s">
        <v>5229</v>
      </c>
      <c r="Q4002" s="3" t="s">
        <v>5234</v>
      </c>
      <c r="R4002" s="3" t="s">
        <v>370</v>
      </c>
      <c r="S4002" s="3" t="s">
        <v>5235</v>
      </c>
      <c r="T4002" s="3" t="s">
        <v>5236</v>
      </c>
      <c r="U4002" s="3" t="s">
        <v>5229</v>
      </c>
      <c r="V4002" s="3" t="s">
        <v>5237</v>
      </c>
      <c r="W4002" s="3" t="s">
        <v>5229</v>
      </c>
      <c r="X4002" s="3" t="s">
        <v>5229</v>
      </c>
      <c r="Y4002" s="3" t="s">
        <v>5238</v>
      </c>
      <c r="Z4002" s="3" t="s">
        <v>5239</v>
      </c>
      <c r="AA4002" s="3" t="s">
        <v>5240</v>
      </c>
      <c r="AB4002" s="3" t="s">
        <v>5241</v>
      </c>
      <c r="AC4002" s="3" t="s">
        <v>5242</v>
      </c>
      <c r="AD4002" s="3" t="s">
        <v>5231</v>
      </c>
      <c r="AE4002" s="3" t="s">
        <v>116</v>
      </c>
      <c r="AF4002" s="3" t="s">
        <v>5243</v>
      </c>
      <c r="AG4002" s="3" t="s">
        <v>5231</v>
      </c>
    </row>
    <row r="4003">
      <c r="A4003" s="3">
        <v>1455.0</v>
      </c>
      <c r="B4003" s="3" t="s">
        <v>6738</v>
      </c>
      <c r="C4003" s="3" t="s">
        <v>190</v>
      </c>
      <c r="D4003" s="3" t="s">
        <v>5244</v>
      </c>
      <c r="E4003" s="3" t="s">
        <v>175</v>
      </c>
      <c r="F4003" s="3" t="s">
        <v>174</v>
      </c>
      <c r="G4003" s="3" t="str">
        <f>IFERROR(__xludf.DUMMYFUNCTION("GOOGLETRANSLATE(D4003,""fr"",""es"")"),"pulgada")</f>
        <v>pulgada</v>
      </c>
    </row>
    <row r="4004">
      <c r="A4004" s="3">
        <v>1456.0</v>
      </c>
      <c r="B4004" s="3" t="s">
        <v>6738</v>
      </c>
      <c r="C4004" s="3" t="s">
        <v>190</v>
      </c>
      <c r="D4004" s="3" t="s">
        <v>5249</v>
      </c>
      <c r="E4004" s="3" t="s">
        <v>7709</v>
      </c>
      <c r="F4004" s="3" t="s">
        <v>5211</v>
      </c>
      <c r="G4004" s="3" t="str">
        <f>IFERROR(__xludf.DUMMYFUNCTION("GOOGLETRANSLATE(D4004,""fr"",""es"")"),"pollo")</f>
        <v>pollo</v>
      </c>
      <c r="H4004" s="3" t="s">
        <v>5250</v>
      </c>
      <c r="I4004" s="3" t="s">
        <v>5250</v>
      </c>
      <c r="J4004" s="3" t="s">
        <v>5250</v>
      </c>
      <c r="K4004" s="3" t="s">
        <v>5251</v>
      </c>
      <c r="L4004" s="3" t="s">
        <v>5252</v>
      </c>
      <c r="M4004" s="3" t="s">
        <v>5250</v>
      </c>
    </row>
    <row r="4005">
      <c r="A4005" s="3">
        <v>1457.0</v>
      </c>
      <c r="B4005" s="3" t="s">
        <v>6738</v>
      </c>
      <c r="C4005" s="3" t="s">
        <v>190</v>
      </c>
      <c r="D4005" s="3" t="s">
        <v>5253</v>
      </c>
      <c r="E4005" s="3" t="s">
        <v>7709</v>
      </c>
      <c r="F4005" s="3" t="s">
        <v>5211</v>
      </c>
      <c r="G4005" s="3" t="str">
        <f>IFERROR(__xludf.DUMMYFUNCTION("GOOGLETRANSLATE(D4005,""fr"",""es"")"),"gallinas")</f>
        <v>gallinas</v>
      </c>
    </row>
    <row r="4006">
      <c r="A4006" s="3">
        <v>1458.0</v>
      </c>
      <c r="B4006" s="3" t="s">
        <v>6738</v>
      </c>
      <c r="C4006" s="3" t="s">
        <v>190</v>
      </c>
      <c r="D4006" s="3" t="s">
        <v>5274</v>
      </c>
      <c r="E4006" s="3" t="s">
        <v>7710</v>
      </c>
      <c r="F4006" s="3" t="s">
        <v>5276</v>
      </c>
      <c r="G4006" s="3" t="str">
        <f>IFERROR(__xludf.DUMMYFUNCTION("GOOGLETRANSLATE(D4006,""fr"",""es"")"),"potra")</f>
        <v>potra</v>
      </c>
      <c r="H4006" s="3" t="s">
        <v>5277</v>
      </c>
    </row>
    <row r="4007">
      <c r="A4007" s="3">
        <v>1459.0</v>
      </c>
      <c r="B4007" s="3" t="s">
        <v>6738</v>
      </c>
      <c r="C4007" s="3" t="s">
        <v>190</v>
      </c>
      <c r="D4007" s="3" t="s">
        <v>5278</v>
      </c>
      <c r="E4007" s="3" t="s">
        <v>7710</v>
      </c>
      <c r="F4007" s="3" t="s">
        <v>5276</v>
      </c>
      <c r="G4007" s="3" t="str">
        <f>IFERROR(__xludf.DUMMYFUNCTION("GOOGLETRANSLATE(D4007,""fr"",""es"")"),"potras")</f>
        <v>potras</v>
      </c>
    </row>
    <row r="4008">
      <c r="A4008" s="3">
        <v>1460.0</v>
      </c>
      <c r="B4008" s="3" t="s">
        <v>6738</v>
      </c>
      <c r="C4008" s="3" t="s">
        <v>190</v>
      </c>
      <c r="D4008" s="3" t="s">
        <v>5279</v>
      </c>
      <c r="E4008" s="3" t="s">
        <v>7711</v>
      </c>
      <c r="F4008" s="3" t="s">
        <v>5281</v>
      </c>
      <c r="G4008" s="3" t="str">
        <f>IFERROR(__xludf.DUMMYFUNCTION("GOOGLETRANSLATE(D4008,""fr"",""es"")"),"polea")</f>
        <v>polea</v>
      </c>
      <c r="H4008" s="3" t="s">
        <v>5282</v>
      </c>
      <c r="I4008" s="3" t="s">
        <v>5283</v>
      </c>
      <c r="J4008" s="3" t="s">
        <v>5284</v>
      </c>
      <c r="K4008" s="3" t="s">
        <v>5285</v>
      </c>
    </row>
    <row r="4009">
      <c r="A4009" s="3">
        <v>1461.0</v>
      </c>
      <c r="B4009" s="3" t="s">
        <v>6738</v>
      </c>
      <c r="C4009" s="3" t="s">
        <v>190</v>
      </c>
      <c r="D4009" s="3" t="s">
        <v>5286</v>
      </c>
      <c r="E4009" s="3" t="s">
        <v>7711</v>
      </c>
      <c r="F4009" s="3" t="s">
        <v>5281</v>
      </c>
      <c r="G4009" s="3" t="str">
        <f>IFERROR(__xludf.DUMMYFUNCTION("GOOGLETRANSLATE(D4009,""fr"",""es"")"),"poleas")</f>
        <v>poleas</v>
      </c>
    </row>
    <row r="4010">
      <c r="A4010" s="3">
        <v>1462.0</v>
      </c>
      <c r="B4010" s="3" t="s">
        <v>6738</v>
      </c>
      <c r="C4010" s="3" t="s">
        <v>190</v>
      </c>
      <c r="D4010" s="3" t="s">
        <v>7712</v>
      </c>
      <c r="E4010" s="3" t="s">
        <v>7713</v>
      </c>
      <c r="F4010" s="3" t="s">
        <v>5289</v>
      </c>
      <c r="G4010" s="3" t="str">
        <f>IFERROR(__xludf.DUMMYFUNCTION("GOOGLETRANSLATE(D4010,""fr"",""es"")"),"poulina")</f>
        <v>poulina</v>
      </c>
    </row>
    <row r="4011">
      <c r="A4011" s="3">
        <v>1463.0</v>
      </c>
      <c r="B4011" s="3" t="s">
        <v>6738</v>
      </c>
      <c r="C4011" s="3" t="s">
        <v>190</v>
      </c>
      <c r="D4011" s="3" t="s">
        <v>5293</v>
      </c>
      <c r="E4011" s="3" t="s">
        <v>7714</v>
      </c>
      <c r="F4011" s="3" t="s">
        <v>5295</v>
      </c>
      <c r="G4011" s="3" t="str">
        <f>IFERROR(__xludf.DUMMYFUNCTION("GOOGLETRANSLATE(D4011,""fr"",""es"")"),"pulinamous")</f>
        <v>pulinamous</v>
      </c>
    </row>
    <row r="4012">
      <c r="A4012" s="3">
        <v>1464.0</v>
      </c>
      <c r="B4012" s="3" t="s">
        <v>6738</v>
      </c>
      <c r="C4012" s="3" t="s">
        <v>190</v>
      </c>
      <c r="D4012" s="3" t="s">
        <v>7715</v>
      </c>
      <c r="E4012" s="3" t="s">
        <v>7713</v>
      </c>
      <c r="F4012" s="3" t="s">
        <v>5289</v>
      </c>
      <c r="G4012" s="3" t="str">
        <f>IFERROR(__xludf.DUMMYFUNCTION("GOOGLETRANSLATE(D4012,""fr"",""es"")"),"Poulinas")</f>
        <v>Poulinas</v>
      </c>
    </row>
    <row r="4013">
      <c r="A4013" s="3">
        <v>1465.0</v>
      </c>
      <c r="B4013" s="3" t="s">
        <v>6738</v>
      </c>
      <c r="C4013" s="3" t="s">
        <v>190</v>
      </c>
      <c r="D4013" s="3" t="s">
        <v>5296</v>
      </c>
      <c r="E4013" s="3" t="s">
        <v>7716</v>
      </c>
      <c r="F4013" s="3" t="s">
        <v>5298</v>
      </c>
      <c r="G4013" s="3" t="str">
        <f>IFERROR(__xludf.DUMMYFUNCTION("GOOGLETRANSLATE(D4013,""fr"",""es"")"),"poulinasse")</f>
        <v>poulinasse</v>
      </c>
    </row>
    <row r="4014">
      <c r="A4014" s="3">
        <v>1466.0</v>
      </c>
      <c r="B4014" s="3" t="s">
        <v>6738</v>
      </c>
      <c r="C4014" s="3" t="s">
        <v>190</v>
      </c>
      <c r="D4014" s="3" t="s">
        <v>5299</v>
      </c>
      <c r="E4014" s="3" t="s">
        <v>7716</v>
      </c>
      <c r="F4014" s="3" t="s">
        <v>5298</v>
      </c>
      <c r="G4014" s="3" t="str">
        <f>IFERROR(__xludf.DUMMYFUNCTION("GOOGLETRANSLATE(D4014,""fr"",""es"")"),"pulinista")</f>
        <v>pulinista</v>
      </c>
    </row>
    <row r="4015">
      <c r="A4015" s="3">
        <v>1467.0</v>
      </c>
      <c r="B4015" s="3" t="s">
        <v>6738</v>
      </c>
      <c r="C4015" s="3" t="s">
        <v>190</v>
      </c>
      <c r="D4015" s="3" t="s">
        <v>5300</v>
      </c>
      <c r="E4015" s="3" t="s">
        <v>7716</v>
      </c>
      <c r="F4015" s="3" t="s">
        <v>5298</v>
      </c>
      <c r="G4015" s="3" t="str">
        <f>IFERROR(__xludf.DUMMYFUNCTION("GOOGLETRANSLATE(D4015,""fr"",""es"")"),"poulinasse")</f>
        <v>poulinasse</v>
      </c>
    </row>
    <row r="4016">
      <c r="A4016" s="3">
        <v>1468.0</v>
      </c>
      <c r="B4016" s="3" t="s">
        <v>6738</v>
      </c>
      <c r="C4016" s="3" t="s">
        <v>190</v>
      </c>
      <c r="D4016" s="3" t="s">
        <v>7717</v>
      </c>
      <c r="E4016" s="3" t="s">
        <v>7713</v>
      </c>
      <c r="F4016" s="3" t="s">
        <v>5289</v>
      </c>
      <c r="G4016" s="3" t="str">
        <f>IFERROR(__xludf.DUMMYFUNCTION("GOOGLETRANSLATE(D4016,""fr"",""es"")"),"poulinât")</f>
        <v>poulinât</v>
      </c>
    </row>
    <row r="4017">
      <c r="A4017" s="3">
        <v>1469.0</v>
      </c>
      <c r="B4017" s="3" t="s">
        <v>6738</v>
      </c>
      <c r="C4017" s="3" t="s">
        <v>190</v>
      </c>
      <c r="D4017" s="3" t="s">
        <v>5301</v>
      </c>
      <c r="E4017" s="3" t="s">
        <v>7718</v>
      </c>
      <c r="F4017" s="3" t="s">
        <v>5303</v>
      </c>
      <c r="G4017" s="3" t="str">
        <f>IFERROR(__xludf.DUMMYFUNCTION("GOOGLETRANSLATE(D4017,""fr"",""es"")"),"Pública")</f>
        <v>Pública</v>
      </c>
    </row>
    <row r="4018">
      <c r="A4018" s="3">
        <v>1470.0</v>
      </c>
      <c r="B4018" s="3" t="s">
        <v>6738</v>
      </c>
      <c r="C4018" s="3" t="s">
        <v>190</v>
      </c>
      <c r="D4018" s="3" t="s">
        <v>5304</v>
      </c>
      <c r="E4018" s="3" t="s">
        <v>7718</v>
      </c>
      <c r="F4018" s="3" t="s">
        <v>5303</v>
      </c>
      <c r="G4018" s="3" t="str">
        <f>IFERROR(__xludf.DUMMYFUNCTION("GOOGLETRANSLATE(D4018,""fr"",""es"")"),"pública")</f>
        <v>pública</v>
      </c>
    </row>
    <row r="4019">
      <c r="A4019" s="3">
        <v>1471.0</v>
      </c>
      <c r="B4019" s="3" t="s">
        <v>6738</v>
      </c>
      <c r="C4019" s="3" t="s">
        <v>190</v>
      </c>
      <c r="D4019" s="3" t="s">
        <v>5305</v>
      </c>
      <c r="E4019" s="3" t="s">
        <v>7718</v>
      </c>
      <c r="F4019" s="3" t="s">
        <v>5303</v>
      </c>
      <c r="G4019" s="3" t="str">
        <f>IFERROR(__xludf.DUMMYFUNCTION("GOOGLETRANSLATE(D4019,""fr"",""es"")"),"triunfo")</f>
        <v>triunfo</v>
      </c>
    </row>
    <row r="4020">
      <c r="A4020" s="3">
        <v>1472.0</v>
      </c>
      <c r="B4020" s="3" t="s">
        <v>6738</v>
      </c>
      <c r="C4020" s="3" t="s">
        <v>190</v>
      </c>
      <c r="D4020" s="3" t="s">
        <v>5306</v>
      </c>
      <c r="E4020" s="3" t="s">
        <v>5214</v>
      </c>
      <c r="F4020" s="3" t="s">
        <v>5215</v>
      </c>
      <c r="G4020" s="3" t="str">
        <f>IFERROR(__xludf.DUMMYFUNCTION("GOOGLETRANSLATE(D4020,""fr"",""es"")"),"legumbres")</f>
        <v>legumbres</v>
      </c>
      <c r="H4020" s="3" t="s">
        <v>5307</v>
      </c>
      <c r="I4020" s="3" t="s">
        <v>5308</v>
      </c>
      <c r="J4020" s="3" t="s">
        <v>5307</v>
      </c>
      <c r="K4020" s="3" t="s">
        <v>5307</v>
      </c>
      <c r="L4020" s="3" t="s">
        <v>5309</v>
      </c>
      <c r="M4020" s="3" t="s">
        <v>5310</v>
      </c>
      <c r="N4020" s="3" t="s">
        <v>5311</v>
      </c>
      <c r="O4020" s="3" t="s">
        <v>5312</v>
      </c>
      <c r="P4020" s="3" t="s">
        <v>5313</v>
      </c>
      <c r="Q4020" s="3" t="s">
        <v>5314</v>
      </c>
      <c r="R4020" s="3" t="s">
        <v>5309</v>
      </c>
      <c r="S4020" s="3" t="s">
        <v>5315</v>
      </c>
      <c r="T4020" s="3" t="s">
        <v>5307</v>
      </c>
      <c r="U4020" s="3" t="s">
        <v>5316</v>
      </c>
      <c r="V4020" s="3" t="s">
        <v>5307</v>
      </c>
      <c r="W4020" s="3" t="s">
        <v>5307</v>
      </c>
      <c r="X4020" s="3" t="s">
        <v>5317</v>
      </c>
      <c r="Y4020" s="3" t="s">
        <v>5318</v>
      </c>
    </row>
    <row r="4021">
      <c r="A4021" s="3">
        <v>1473.0</v>
      </c>
      <c r="B4021" s="3" t="s">
        <v>6738</v>
      </c>
      <c r="C4021" s="3" t="s">
        <v>190</v>
      </c>
      <c r="D4021" s="3" t="s">
        <v>5319</v>
      </c>
      <c r="E4021" s="3" t="s">
        <v>7719</v>
      </c>
      <c r="F4021" s="3" t="s">
        <v>5321</v>
      </c>
      <c r="G4021" s="3" t="str">
        <f>IFERROR(__xludf.DUMMYFUNCTION("GOOGLETRANSLATE(D4021,""fr"",""es"")"),"popa")</f>
        <v>popa</v>
      </c>
      <c r="H4021" s="3" t="s">
        <v>5322</v>
      </c>
      <c r="I4021" s="3" t="s">
        <v>5323</v>
      </c>
      <c r="J4021" s="3" t="s">
        <v>5324</v>
      </c>
      <c r="K4021" s="3" t="s">
        <v>5325</v>
      </c>
      <c r="L4021" s="3" t="s">
        <v>5322</v>
      </c>
      <c r="M4021" s="3" t="s">
        <v>5326</v>
      </c>
      <c r="N4021" s="3" t="s">
        <v>5327</v>
      </c>
      <c r="O4021" s="3" t="s">
        <v>5328</v>
      </c>
      <c r="P4021" s="3" t="s">
        <v>5322</v>
      </c>
      <c r="Q4021" s="3" t="s">
        <v>5329</v>
      </c>
      <c r="R4021" s="3" t="s">
        <v>5330</v>
      </c>
      <c r="S4021" s="3" t="s">
        <v>5331</v>
      </c>
      <c r="T4021" s="3" t="s">
        <v>5322</v>
      </c>
      <c r="U4021" s="3" t="s">
        <v>5332</v>
      </c>
      <c r="V4021" s="3" t="s">
        <v>5333</v>
      </c>
      <c r="W4021" s="3" t="s">
        <v>5334</v>
      </c>
      <c r="X4021" s="3" t="s">
        <v>346</v>
      </c>
      <c r="Y4021" s="3" t="s">
        <v>5335</v>
      </c>
      <c r="Z4021" s="3" t="s">
        <v>5334</v>
      </c>
      <c r="AA4021" s="3" t="s">
        <v>5336</v>
      </c>
      <c r="AB4021" s="3" t="s">
        <v>2607</v>
      </c>
      <c r="AC4021" s="3" t="s">
        <v>5337</v>
      </c>
      <c r="AD4021" s="3" t="s">
        <v>5338</v>
      </c>
      <c r="AE4021" s="3" t="s">
        <v>5334</v>
      </c>
      <c r="AF4021" s="3" t="s">
        <v>5339</v>
      </c>
      <c r="AG4021" s="3" t="s">
        <v>5340</v>
      </c>
      <c r="AH4021" s="3" t="s">
        <v>5341</v>
      </c>
    </row>
    <row r="4022">
      <c r="A4022" s="3">
        <v>1474.0</v>
      </c>
      <c r="B4022" s="3" t="s">
        <v>6738</v>
      </c>
      <c r="C4022" s="3" t="s">
        <v>190</v>
      </c>
      <c r="D4022" s="3" t="s">
        <v>5342</v>
      </c>
      <c r="E4022" s="3" t="s">
        <v>7719</v>
      </c>
      <c r="F4022" s="3" t="s">
        <v>5321</v>
      </c>
      <c r="G4022" s="3" t="str">
        <f>IFERROR(__xludf.DUMMYFUNCTION("GOOGLETRANSLATE(D4022,""fr"",""es"")"),"muñeca")</f>
        <v>muñeca</v>
      </c>
    </row>
    <row r="4023">
      <c r="A4023" s="3">
        <v>1475.0</v>
      </c>
      <c r="B4023" s="3" t="s">
        <v>6738</v>
      </c>
      <c r="C4023" s="3" t="s">
        <v>190</v>
      </c>
      <c r="D4023" s="3" t="s">
        <v>5343</v>
      </c>
      <c r="E4023" s="3" t="s">
        <v>7720</v>
      </c>
      <c r="F4023" s="3" t="s">
        <v>5345</v>
      </c>
      <c r="G4023" s="3" t="str">
        <f>IFERROR(__xludf.DUMMYFUNCTION("GOOGLETRANSLATE(D4023,""fr"",""es"")"),"vertedero")</f>
        <v>vertedero</v>
      </c>
    </row>
    <row r="4024">
      <c r="A4024" s="3">
        <v>1476.0</v>
      </c>
      <c r="B4024" s="3" t="s">
        <v>6738</v>
      </c>
      <c r="C4024" s="3" t="s">
        <v>190</v>
      </c>
      <c r="D4024" s="3" t="s">
        <v>5346</v>
      </c>
      <c r="E4024" s="3" t="s">
        <v>7720</v>
      </c>
      <c r="F4024" s="3" t="s">
        <v>5345</v>
      </c>
      <c r="G4024" s="3" t="str">
        <f>IFERROR(__xludf.DUMMYFUNCTION("GOOGLETRANSLATE(D4024,""fr"",""es"")"),"deshecho")</f>
        <v>deshecho</v>
      </c>
    </row>
    <row r="4025">
      <c r="A4025" s="3">
        <v>1477.0</v>
      </c>
      <c r="B4025" s="3" t="s">
        <v>6738</v>
      </c>
      <c r="C4025" s="3" t="s">
        <v>190</v>
      </c>
      <c r="D4025" s="3" t="s">
        <v>7721</v>
      </c>
      <c r="E4025" s="3" t="s">
        <v>7722</v>
      </c>
      <c r="F4025" s="3" t="s">
        <v>5349</v>
      </c>
      <c r="G4025" s="3" t="str">
        <f>IFERROR(__xludf.DUMMYFUNCTION("GOOGLETRANSLATE(D4025,""fr"",""es"")"),"pusse")</f>
        <v>pusse</v>
      </c>
    </row>
    <row r="4026">
      <c r="A4026" s="3">
        <v>1478.0</v>
      </c>
      <c r="B4026" s="3" t="s">
        <v>6738</v>
      </c>
      <c r="C4026" s="3" t="s">
        <v>190</v>
      </c>
      <c r="D4026" s="3" t="s">
        <v>5353</v>
      </c>
      <c r="E4026" s="3" t="s">
        <v>7723</v>
      </c>
      <c r="F4026" s="3" t="s">
        <v>5355</v>
      </c>
      <c r="G4026" s="3" t="str">
        <f>IFERROR(__xludf.DUMMYFUNCTION("GOOGLETRANSLATE(D4026,""fr"",""es"")"),"emprendedor")</f>
        <v>emprendedor</v>
      </c>
    </row>
    <row r="4027">
      <c r="A4027" s="3">
        <v>1479.0</v>
      </c>
      <c r="B4027" s="3" t="s">
        <v>6738</v>
      </c>
      <c r="C4027" s="3" t="s">
        <v>190</v>
      </c>
      <c r="D4027" s="3" t="s">
        <v>7724</v>
      </c>
      <c r="E4027" s="3" t="s">
        <v>7722</v>
      </c>
      <c r="F4027" s="3" t="s">
        <v>5349</v>
      </c>
      <c r="G4027" s="3" t="str">
        <f>IFERROR(__xludf.DUMMYFUNCTION("GOOGLETRANSLATE(D4027,""fr"",""es"")"),"pusse")</f>
        <v>pusse</v>
      </c>
    </row>
    <row r="4028">
      <c r="A4028" s="3">
        <v>1480.0</v>
      </c>
      <c r="B4028" s="3" t="s">
        <v>6738</v>
      </c>
      <c r="C4028" s="3" t="s">
        <v>190</v>
      </c>
      <c r="D4028" s="3" t="s">
        <v>5356</v>
      </c>
      <c r="E4028" s="3" t="s">
        <v>7725</v>
      </c>
      <c r="F4028" s="3" t="s">
        <v>5358</v>
      </c>
      <c r="G4028" s="3" t="str">
        <f>IFERROR(__xludf.DUMMYFUNCTION("GOOGLETRANSLATE(D4028,""fr"",""es"")"),"pusse")</f>
        <v>pusse</v>
      </c>
    </row>
    <row r="4029">
      <c r="A4029" s="3">
        <v>1481.0</v>
      </c>
      <c r="B4029" s="3" t="s">
        <v>6738</v>
      </c>
      <c r="C4029" s="3" t="s">
        <v>190</v>
      </c>
      <c r="D4029" s="3" t="s">
        <v>5359</v>
      </c>
      <c r="E4029" s="3" t="s">
        <v>7725</v>
      </c>
      <c r="F4029" s="3" t="s">
        <v>5358</v>
      </c>
      <c r="G4029" s="3" t="str">
        <f>IFERROR(__xludf.DUMMYFUNCTION("GOOGLETRANSLATE(D4029,""fr"",""es"")"),"empujar")</f>
        <v>empujar</v>
      </c>
    </row>
    <row r="4030">
      <c r="A4030" s="3">
        <v>1482.0</v>
      </c>
      <c r="B4030" s="3" t="s">
        <v>6738</v>
      </c>
      <c r="C4030" s="3" t="s">
        <v>190</v>
      </c>
      <c r="D4030" s="3" t="s">
        <v>5360</v>
      </c>
      <c r="E4030" s="3" t="s">
        <v>7725</v>
      </c>
      <c r="F4030" s="3" t="s">
        <v>5358</v>
      </c>
      <c r="G4030" s="3" t="str">
        <f>IFERROR(__xludf.DUMMYFUNCTION("GOOGLETRANSLATE(D4030,""fr"",""es"")"),"Pousssasses")</f>
        <v>Pousssasses</v>
      </c>
    </row>
    <row r="4031">
      <c r="A4031" s="3">
        <v>1483.0</v>
      </c>
      <c r="B4031" s="3" t="s">
        <v>6738</v>
      </c>
      <c r="C4031" s="3" t="s">
        <v>190</v>
      </c>
      <c r="D4031" s="3" t="s">
        <v>7726</v>
      </c>
      <c r="E4031" s="3" t="s">
        <v>7722</v>
      </c>
      <c r="F4031" s="3" t="s">
        <v>5349</v>
      </c>
      <c r="G4031" s="3" t="str">
        <f>IFERROR(__xludf.DUMMYFUNCTION("GOOGLETRANSLATE(D4031,""fr"",""es"")"),"emprendedor")</f>
        <v>emprendedor</v>
      </c>
    </row>
    <row r="4032">
      <c r="A4032" s="3">
        <v>1484.0</v>
      </c>
      <c r="B4032" s="3" t="s">
        <v>6738</v>
      </c>
      <c r="C4032" s="3" t="s">
        <v>190</v>
      </c>
      <c r="D4032" s="3" t="s">
        <v>5361</v>
      </c>
      <c r="E4032" s="3" t="s">
        <v>175</v>
      </c>
      <c r="F4032" s="3" t="s">
        <v>174</v>
      </c>
      <c r="G4032" s="3" t="str">
        <f>IFERROR(__xludf.DUMMYFUNCTION("GOOGLETRANSLATE(D4032,""fr"",""es"")"),"crecimiento")</f>
        <v>crecimiento</v>
      </c>
      <c r="H4032" s="3" t="s">
        <v>5362</v>
      </c>
      <c r="I4032" s="3" t="s">
        <v>5363</v>
      </c>
      <c r="J4032" s="3" t="s">
        <v>5364</v>
      </c>
      <c r="K4032" s="3" t="s">
        <v>5365</v>
      </c>
      <c r="L4032" s="3" t="s">
        <v>5366</v>
      </c>
      <c r="M4032" s="3" t="s">
        <v>5367</v>
      </c>
      <c r="N4032" s="3" t="s">
        <v>5368</v>
      </c>
      <c r="O4032" s="3" t="s">
        <v>5368</v>
      </c>
      <c r="P4032" s="3" t="s">
        <v>5368</v>
      </c>
    </row>
    <row r="4033">
      <c r="A4033" s="3">
        <v>1485.0</v>
      </c>
      <c r="B4033" s="3" t="s">
        <v>6738</v>
      </c>
      <c r="C4033" s="3" t="s">
        <v>190</v>
      </c>
      <c r="D4033" s="3" t="s">
        <v>5369</v>
      </c>
      <c r="E4033" s="3" t="s">
        <v>175</v>
      </c>
      <c r="F4033" s="3" t="s">
        <v>174</v>
      </c>
      <c r="G4033" s="3" t="str">
        <f>IFERROR(__xludf.DUMMYFUNCTION("GOOGLETRANSLATE(D4033,""fr"",""es"")"),"crecer")</f>
        <v>crecer</v>
      </c>
    </row>
    <row r="4034">
      <c r="A4034" s="3">
        <v>1486.0</v>
      </c>
      <c r="B4034" s="3" t="s">
        <v>6738</v>
      </c>
      <c r="C4034" s="3" t="s">
        <v>190</v>
      </c>
      <c r="D4034" s="3" t="s">
        <v>5370</v>
      </c>
      <c r="E4034" s="3" t="s">
        <v>175</v>
      </c>
      <c r="F4034" s="3" t="s">
        <v>174</v>
      </c>
      <c r="G4034" s="3" t="str">
        <f>IFERROR(__xludf.DUMMYFUNCTION("GOOGLETRANSLATE(D4034,""fr"",""es"")"),"brotes")</f>
        <v>brotes</v>
      </c>
    </row>
    <row r="4035">
      <c r="A4035" s="3">
        <v>1487.0</v>
      </c>
      <c r="B4035" s="3" t="s">
        <v>6738</v>
      </c>
      <c r="C4035" s="3" t="s">
        <v>190</v>
      </c>
      <c r="D4035" s="3" t="s">
        <v>5371</v>
      </c>
      <c r="E4035" s="3" t="s">
        <v>7727</v>
      </c>
      <c r="F4035" s="3" t="s">
        <v>5373</v>
      </c>
      <c r="G4035" s="3" t="str">
        <f>IFERROR(__xludf.DUMMYFUNCTION("GOOGLETRANSLATE(D4035,""fr"",""es"")"),"polluelo")</f>
        <v>polluelo</v>
      </c>
    </row>
    <row r="4036">
      <c r="A4036" s="3">
        <v>1488.0</v>
      </c>
      <c r="B4036" s="3" t="s">
        <v>6738</v>
      </c>
      <c r="C4036" s="3" t="s">
        <v>190</v>
      </c>
      <c r="D4036" s="3" t="s">
        <v>5374</v>
      </c>
      <c r="E4036" s="3" t="s">
        <v>7727</v>
      </c>
      <c r="F4036" s="3" t="s">
        <v>5373</v>
      </c>
      <c r="G4036" s="3" t="str">
        <f>IFERROR(__xludf.DUMMYFUNCTION("GOOGLETRANSLATE(D4036,""fr"",""es"")"),"chicas")</f>
        <v>chicas</v>
      </c>
    </row>
    <row r="4037">
      <c r="A4037" s="3">
        <v>1489.0</v>
      </c>
      <c r="B4037" s="3" t="s">
        <v>6738</v>
      </c>
      <c r="C4037" s="3" t="s">
        <v>190</v>
      </c>
      <c r="D4037" s="3" t="s">
        <v>7728</v>
      </c>
      <c r="E4037" s="3" t="s">
        <v>7729</v>
      </c>
      <c r="F4037" s="3" t="s">
        <v>7730</v>
      </c>
      <c r="G4037" s="3" t="str">
        <f>IFERROR(__xludf.DUMMYFUNCTION("GOOGLETRANSLATE(D4037,""fr"",""es"")"),"pitia")</f>
        <v>pitia</v>
      </c>
      <c r="H4037" s="3" t="s">
        <v>7731</v>
      </c>
      <c r="I4037" s="3" t="s">
        <v>7732</v>
      </c>
    </row>
    <row r="4038">
      <c r="A4038" s="3">
        <v>1490.0</v>
      </c>
      <c r="B4038" s="3" t="s">
        <v>6738</v>
      </c>
      <c r="C4038" s="3" t="s">
        <v>190</v>
      </c>
      <c r="D4038" s="3" t="s">
        <v>7733</v>
      </c>
      <c r="E4038" s="3" t="s">
        <v>7729</v>
      </c>
      <c r="F4038" s="3" t="s">
        <v>7730</v>
      </c>
      <c r="G4038" s="3" t="str">
        <f>IFERROR(__xludf.DUMMYFUNCTION("GOOGLETRANSLATE(D4038,""fr"",""es"")"),"pities")</f>
        <v>pities</v>
      </c>
    </row>
    <row r="4039">
      <c r="A4039" s="3">
        <v>1491.0</v>
      </c>
      <c r="B4039" s="3" t="s">
        <v>6738</v>
      </c>
      <c r="C4039" s="3" t="s">
        <v>190</v>
      </c>
      <c r="D4039" s="3" t="s">
        <v>5407</v>
      </c>
      <c r="E4039" s="3" t="s">
        <v>5408</v>
      </c>
      <c r="F4039" s="3" t="s">
        <v>5409</v>
      </c>
      <c r="G4039" s="3" t="str">
        <f>IFERROR(__xludf.DUMMYFUNCTION("GOOGLETRANSLATE(D4039,""fr"",""es"")"),"quién")</f>
        <v>quién</v>
      </c>
      <c r="H4039" s="3" t="s">
        <v>5410</v>
      </c>
      <c r="I4039" s="3" t="s">
        <v>5411</v>
      </c>
    </row>
    <row r="4040">
      <c r="A4040" s="3">
        <v>1492.0</v>
      </c>
      <c r="B4040" s="3" t="s">
        <v>6738</v>
      </c>
      <c r="C4040" s="3" t="s">
        <v>190</v>
      </c>
      <c r="D4040" s="3" t="s">
        <v>5412</v>
      </c>
      <c r="E4040" s="3" t="s">
        <v>7734</v>
      </c>
      <c r="F4040" s="3" t="s">
        <v>5414</v>
      </c>
      <c r="G4040" s="3" t="str">
        <f>IFERROR(__xludf.DUMMYFUNCTION("GOOGLETRANSLATE(D4040,""fr"",""es"")"),"Quiche")</f>
        <v>Quiche</v>
      </c>
      <c r="H4040" s="3" t="s">
        <v>5412</v>
      </c>
    </row>
    <row r="4041">
      <c r="A4041" s="3">
        <v>1493.0</v>
      </c>
      <c r="B4041" s="3" t="s">
        <v>6738</v>
      </c>
      <c r="C4041" s="3" t="s">
        <v>190</v>
      </c>
      <c r="D4041" s="3" t="s">
        <v>5415</v>
      </c>
      <c r="E4041" s="3" t="s">
        <v>7734</v>
      </c>
      <c r="F4041" s="3" t="s">
        <v>5414</v>
      </c>
      <c r="G4041" s="3" t="str">
        <f>IFERROR(__xludf.DUMMYFUNCTION("GOOGLETRANSLATE(D4041,""fr"",""es"")"),"quiches")</f>
        <v>quiches</v>
      </c>
    </row>
    <row r="4042">
      <c r="A4042" s="3">
        <v>1494.0</v>
      </c>
      <c r="B4042" s="3" t="s">
        <v>6738</v>
      </c>
      <c r="C4042" s="3" t="s">
        <v>190</v>
      </c>
      <c r="D4042" s="3" t="s">
        <v>5416</v>
      </c>
      <c r="E4042" s="3" t="s">
        <v>7735</v>
      </c>
      <c r="F4042" s="3" t="s">
        <v>5418</v>
      </c>
      <c r="G4042" s="3" t="str">
        <f>IFERROR(__xludf.DUMMYFUNCTION("GOOGLETRANSLATE(D4042,""fr"",""es"")"),"quilla")</f>
        <v>quilla</v>
      </c>
      <c r="H4042" s="3" t="s">
        <v>5419</v>
      </c>
      <c r="I4042" s="3" t="s">
        <v>5420</v>
      </c>
      <c r="J4042" s="3" t="s">
        <v>5421</v>
      </c>
      <c r="K4042" s="3" t="s">
        <v>5422</v>
      </c>
      <c r="L4042" s="3" t="s">
        <v>5423</v>
      </c>
      <c r="M4042" s="3" t="s">
        <v>5424</v>
      </c>
      <c r="N4042" s="3" t="s">
        <v>5425</v>
      </c>
      <c r="O4042" s="3" t="s">
        <v>5426</v>
      </c>
      <c r="P4042" s="3" t="s">
        <v>5426</v>
      </c>
    </row>
    <row r="4043">
      <c r="A4043" s="3">
        <v>1495.0</v>
      </c>
      <c r="B4043" s="3" t="s">
        <v>6738</v>
      </c>
      <c r="C4043" s="3" t="s">
        <v>190</v>
      </c>
      <c r="D4043" s="3" t="s">
        <v>5427</v>
      </c>
      <c r="E4043" s="3" t="s">
        <v>7735</v>
      </c>
      <c r="F4043" s="3" t="s">
        <v>5418</v>
      </c>
      <c r="G4043" s="3" t="str">
        <f>IFERROR(__xludf.DUMMYFUNCTION("GOOGLETRANSLATE(D4043,""fr"",""es"")"),"juego de bolos")</f>
        <v>juego de bolos</v>
      </c>
    </row>
    <row r="4044">
      <c r="A4044" s="3">
        <v>1496.0</v>
      </c>
      <c r="B4044" s="3" t="s">
        <v>6738</v>
      </c>
      <c r="C4044" s="3" t="s">
        <v>190</v>
      </c>
      <c r="D4044" s="3" t="s">
        <v>5428</v>
      </c>
      <c r="E4044" s="3" t="s">
        <v>7736</v>
      </c>
      <c r="F4044" s="3" t="s">
        <v>5430</v>
      </c>
      <c r="G4044" s="3" t="str">
        <f>IFERROR(__xludf.DUMMYFUNCTION("GOOGLETRANSLATE(D4044,""fr"",""es"")"),"quinina")</f>
        <v>quinina</v>
      </c>
      <c r="H4044" s="3" t="s">
        <v>5428</v>
      </c>
      <c r="I4044" s="3" t="s">
        <v>5428</v>
      </c>
      <c r="J4044" s="3" t="s">
        <v>5431</v>
      </c>
      <c r="K4044" s="3" t="s">
        <v>5432</v>
      </c>
      <c r="L4044" s="3" t="s">
        <v>5433</v>
      </c>
      <c r="M4044" s="3" t="s">
        <v>5434</v>
      </c>
    </row>
    <row r="4045">
      <c r="A4045" s="3">
        <v>1497.0</v>
      </c>
      <c r="B4045" s="3" t="s">
        <v>6738</v>
      </c>
      <c r="C4045" s="3" t="s">
        <v>190</v>
      </c>
      <c r="D4045" s="3" t="s">
        <v>5435</v>
      </c>
      <c r="E4045" s="3" t="s">
        <v>7736</v>
      </c>
      <c r="F4045" s="3" t="s">
        <v>5430</v>
      </c>
      <c r="G4045" s="3" t="str">
        <f>IFERROR(__xludf.DUMMYFUNCTION("GOOGLETRANSLATE(D4045,""fr"",""es"")"),"quinines")</f>
        <v>quinines</v>
      </c>
    </row>
    <row r="4046">
      <c r="A4046" s="3">
        <v>1498.0</v>
      </c>
      <c r="B4046" s="3" t="s">
        <v>6738</v>
      </c>
      <c r="C4046" s="3" t="s">
        <v>190</v>
      </c>
      <c r="D4046" s="3" t="s">
        <v>7737</v>
      </c>
      <c r="E4046" s="3" t="s">
        <v>7738</v>
      </c>
      <c r="F4046" s="3" t="s">
        <v>5438</v>
      </c>
      <c r="G4046" s="3" t="str">
        <f>IFERROR(__xludf.DUMMYFUNCTION("GOOGLETRANSLATE(D4046,""fr"",""es"")"),"izquierda")</f>
        <v>izquierda</v>
      </c>
    </row>
    <row r="4047">
      <c r="A4047" s="3">
        <v>1499.0</v>
      </c>
      <c r="B4047" s="3" t="s">
        <v>6738</v>
      </c>
      <c r="C4047" s="3" t="s">
        <v>190</v>
      </c>
      <c r="D4047" s="3" t="s">
        <v>5442</v>
      </c>
      <c r="E4047" s="3" t="s">
        <v>7739</v>
      </c>
      <c r="F4047" s="3" t="s">
        <v>5444</v>
      </c>
      <c r="G4047" s="3" t="str">
        <f>IFERROR(__xludf.DUMMYFUNCTION("GOOGLETRANSLATE(D4047,""fr"",""es"")"),"izquierda")</f>
        <v>izquierda</v>
      </c>
    </row>
    <row r="4048">
      <c r="A4048" s="3">
        <v>1500.0</v>
      </c>
      <c r="B4048" s="3" t="s">
        <v>6738</v>
      </c>
      <c r="C4048" s="3" t="s">
        <v>190</v>
      </c>
      <c r="D4048" s="3" t="s">
        <v>7740</v>
      </c>
      <c r="E4048" s="3" t="s">
        <v>7738</v>
      </c>
      <c r="F4048" s="3" t="s">
        <v>5438</v>
      </c>
      <c r="G4048" s="3" t="str">
        <f>IFERROR(__xludf.DUMMYFUNCTION("GOOGLETRANSLATE(D4048,""fr"",""es"")"),"izquierda izquierda")</f>
        <v>izquierda izquierda</v>
      </c>
    </row>
    <row r="4049">
      <c r="A4049" s="3">
        <v>1501.0</v>
      </c>
      <c r="B4049" s="3" t="s">
        <v>6738</v>
      </c>
      <c r="C4049" s="3" t="s">
        <v>190</v>
      </c>
      <c r="D4049" s="3" t="s">
        <v>5445</v>
      </c>
      <c r="E4049" s="3" t="s">
        <v>7741</v>
      </c>
      <c r="F4049" s="3" t="s">
        <v>5447</v>
      </c>
      <c r="G4049" s="3" t="str">
        <f>IFERROR(__xludf.DUMMYFUNCTION("GOOGLETRANSLATE(D4049,""fr"",""es"")"),"abandonar")</f>
        <v>abandonar</v>
      </c>
    </row>
    <row r="4050">
      <c r="A4050" s="3">
        <v>1502.0</v>
      </c>
      <c r="B4050" s="3" t="s">
        <v>6738</v>
      </c>
      <c r="C4050" s="3" t="s">
        <v>190</v>
      </c>
      <c r="D4050" s="3" t="s">
        <v>5448</v>
      </c>
      <c r="E4050" s="3" t="s">
        <v>7741</v>
      </c>
      <c r="F4050" s="3" t="s">
        <v>5447</v>
      </c>
      <c r="G4050" s="3" t="str">
        <f>IFERROR(__xludf.DUMMYFUNCTION("GOOGLETRANSLATE(D4050,""fr"",""es"")"),"abandonar")</f>
        <v>abandonar</v>
      </c>
    </row>
    <row r="4051">
      <c r="A4051" s="3">
        <v>1503.0</v>
      </c>
      <c r="B4051" s="3" t="s">
        <v>6738</v>
      </c>
      <c r="C4051" s="3" t="s">
        <v>190</v>
      </c>
      <c r="D4051" s="3" t="s">
        <v>5449</v>
      </c>
      <c r="E4051" s="3" t="s">
        <v>7741</v>
      </c>
      <c r="F4051" s="3" t="s">
        <v>5447</v>
      </c>
      <c r="G4051" s="3" t="str">
        <f>IFERROR(__xludf.DUMMYFUNCTION("GOOGLETRANSLATE(D4051,""fr"",""es"")"),"salpicadura")</f>
        <v>salpicadura</v>
      </c>
    </row>
    <row r="4052">
      <c r="A4052" s="3">
        <v>1504.0</v>
      </c>
      <c r="B4052" s="3" t="s">
        <v>6738</v>
      </c>
      <c r="C4052" s="3" t="s">
        <v>190</v>
      </c>
      <c r="D4052" s="3" t="s">
        <v>7742</v>
      </c>
      <c r="E4052" s="3" t="s">
        <v>7738</v>
      </c>
      <c r="F4052" s="3" t="s">
        <v>5438</v>
      </c>
      <c r="G4052" s="3" t="str">
        <f>IFERROR(__xludf.DUMMYFUNCTION("GOOGLETRANSLATE(D4052,""fr"",""es"")"),"izquierda")</f>
        <v>izquierda</v>
      </c>
    </row>
    <row r="4053">
      <c r="A4053" s="3">
        <v>1505.0</v>
      </c>
      <c r="B4053" s="3" t="s">
        <v>6738</v>
      </c>
      <c r="C4053" s="3" t="s">
        <v>190</v>
      </c>
      <c r="D4053" s="3" t="s">
        <v>5457</v>
      </c>
      <c r="E4053" s="3" t="s">
        <v>964</v>
      </c>
      <c r="F4053" s="3" t="s">
        <v>965</v>
      </c>
      <c r="G4053" s="3" t="str">
        <f>IFERROR(__xludf.DUMMYFUNCTION("GOOGLETRANSLATE(D4053,""fr"",""es"")"),"s'")</f>
        <v>s'</v>
      </c>
    </row>
    <row r="4054">
      <c r="A4054" s="3">
        <v>1506.0</v>
      </c>
      <c r="B4054" s="3" t="s">
        <v>6738</v>
      </c>
      <c r="C4054" s="3" t="s">
        <v>190</v>
      </c>
      <c r="D4054" s="3" t="s">
        <v>178</v>
      </c>
      <c r="E4054" s="3" t="s">
        <v>1435</v>
      </c>
      <c r="F4054" s="3" t="s">
        <v>178</v>
      </c>
      <c r="G4054" s="3" t="str">
        <f>IFERROR(__xludf.DUMMYFUNCTION("GOOGLETRANSLATE(D4054,""fr"",""es"")"),"su")</f>
        <v>su</v>
      </c>
      <c r="H4054" s="3" t="s">
        <v>180</v>
      </c>
      <c r="I4054" s="3" t="s">
        <v>181</v>
      </c>
      <c r="J4054" s="3" t="s">
        <v>182</v>
      </c>
      <c r="K4054" s="3" t="s">
        <v>5458</v>
      </c>
    </row>
    <row r="4055">
      <c r="A4055" s="3">
        <v>1507.0</v>
      </c>
      <c r="B4055" s="3" t="s">
        <v>6738</v>
      </c>
      <c r="C4055" s="3" t="s">
        <v>190</v>
      </c>
      <c r="D4055" s="3" t="s">
        <v>5459</v>
      </c>
      <c r="E4055" s="3" t="s">
        <v>5460</v>
      </c>
      <c r="F4055" s="3" t="s">
        <v>5461</v>
      </c>
      <c r="G4055" s="3" t="str">
        <f>IFERROR(__xludf.DUMMYFUNCTION("GOOGLETRANSLATE(D4055,""fr"",""es"")"),"Bolso")</f>
        <v>Bolso</v>
      </c>
      <c r="H4055" s="3" t="s">
        <v>5462</v>
      </c>
      <c r="I4055" s="3" t="s">
        <v>5158</v>
      </c>
      <c r="J4055" s="3" t="s">
        <v>4805</v>
      </c>
      <c r="K4055" s="3" t="s">
        <v>5158</v>
      </c>
      <c r="L4055" s="3" t="s">
        <v>5158</v>
      </c>
      <c r="M4055" s="3" t="s">
        <v>5463</v>
      </c>
      <c r="N4055" s="3" t="s">
        <v>5158</v>
      </c>
      <c r="O4055" s="3" t="s">
        <v>5464</v>
      </c>
      <c r="P4055" s="3" t="s">
        <v>5158</v>
      </c>
      <c r="Q4055" s="3" t="s">
        <v>5158</v>
      </c>
      <c r="R4055" s="3" t="s">
        <v>5158</v>
      </c>
      <c r="S4055" s="3" t="s">
        <v>5158</v>
      </c>
      <c r="T4055" s="3" t="s">
        <v>5465</v>
      </c>
      <c r="U4055" s="3" t="s">
        <v>5466</v>
      </c>
      <c r="V4055" s="3" t="s">
        <v>5467</v>
      </c>
      <c r="W4055" s="3" t="s">
        <v>5468</v>
      </c>
      <c r="X4055" s="3" t="s">
        <v>5158</v>
      </c>
      <c r="Y4055" s="3" t="s">
        <v>5469</v>
      </c>
      <c r="Z4055" s="3" t="s">
        <v>5470</v>
      </c>
      <c r="AA4055" s="3" t="s">
        <v>5471</v>
      </c>
      <c r="AB4055" s="3" t="s">
        <v>5472</v>
      </c>
      <c r="AC4055" s="3" t="s">
        <v>5158</v>
      </c>
      <c r="AD4055" s="3" t="s">
        <v>5473</v>
      </c>
      <c r="AE4055" s="3" t="s">
        <v>2132</v>
      </c>
      <c r="AF4055" s="3" t="s">
        <v>5474</v>
      </c>
      <c r="AG4055" s="3" t="s">
        <v>5475</v>
      </c>
      <c r="AH4055" s="3" t="s">
        <v>5158</v>
      </c>
      <c r="AI4055" s="3" t="s">
        <v>5476</v>
      </c>
      <c r="AJ4055" s="3" t="s">
        <v>5158</v>
      </c>
      <c r="AK4055" s="3" t="s">
        <v>5158</v>
      </c>
      <c r="AL4055" s="3" t="s">
        <v>5477</v>
      </c>
      <c r="AM4055" s="3" t="s">
        <v>5478</v>
      </c>
      <c r="AN4055" s="3" t="s">
        <v>5459</v>
      </c>
      <c r="AO4055" s="3" t="s">
        <v>5473</v>
      </c>
      <c r="AP4055" s="3" t="s">
        <v>5463</v>
      </c>
      <c r="AQ4055" s="3" t="s">
        <v>5479</v>
      </c>
      <c r="AR4055" s="3" t="s">
        <v>5480</v>
      </c>
      <c r="AS4055" s="3" t="s">
        <v>5481</v>
      </c>
    </row>
    <row r="4056">
      <c r="A4056" s="3">
        <v>1508.0</v>
      </c>
      <c r="B4056" s="3" t="s">
        <v>6738</v>
      </c>
      <c r="C4056" s="3" t="s">
        <v>190</v>
      </c>
      <c r="D4056" s="3" t="s">
        <v>5483</v>
      </c>
      <c r="E4056" s="3" t="s">
        <v>5484</v>
      </c>
      <c r="F4056" s="3" t="s">
        <v>5485</v>
      </c>
      <c r="G4056" s="3" t="str">
        <f>IFERROR(__xludf.DUMMYFUNCTION("GOOGLETRANSLATE(D4056,""fr"",""es"")"),"haz")</f>
        <v>haz</v>
      </c>
    </row>
    <row r="4057">
      <c r="A4057" s="3">
        <v>1509.0</v>
      </c>
      <c r="B4057" s="3" t="s">
        <v>6738</v>
      </c>
      <c r="C4057" s="3" t="s">
        <v>190</v>
      </c>
      <c r="D4057" s="3" t="s">
        <v>5486</v>
      </c>
      <c r="E4057" s="3" t="s">
        <v>5484</v>
      </c>
      <c r="F4057" s="3" t="s">
        <v>5485</v>
      </c>
      <c r="G4057" s="3" t="str">
        <f>IFERROR(__xludf.DUMMYFUNCTION("GOOGLETRANSLATE(D4057,""fr"",""es"")"),"saber")</f>
        <v>saber</v>
      </c>
    </row>
    <row r="4058">
      <c r="A4058" s="3">
        <v>1510.0</v>
      </c>
      <c r="B4058" s="3" t="s">
        <v>6738</v>
      </c>
      <c r="C4058" s="3" t="s">
        <v>190</v>
      </c>
      <c r="D4058" s="3" t="s">
        <v>5487</v>
      </c>
      <c r="E4058" s="3" t="s">
        <v>5484</v>
      </c>
      <c r="F4058" s="3" t="s">
        <v>5485</v>
      </c>
      <c r="G4058" s="3" t="str">
        <f>IFERROR(__xludf.DUMMYFUNCTION("GOOGLETRANSLATE(D4058,""fr"",""es"")"),"saber")</f>
        <v>saber</v>
      </c>
    </row>
    <row r="4059">
      <c r="A4059" s="3">
        <v>1511.0</v>
      </c>
      <c r="B4059" s="3" t="s">
        <v>6738</v>
      </c>
      <c r="C4059" s="3" t="s">
        <v>190</v>
      </c>
      <c r="D4059" s="3" t="s">
        <v>7743</v>
      </c>
      <c r="E4059" s="3" t="s">
        <v>5493</v>
      </c>
      <c r="F4059" s="3" t="s">
        <v>5494</v>
      </c>
      <c r="G4059" s="3" t="str">
        <f>IFERROR(__xludf.DUMMYFUNCTION("GOOGLETRANSLATE(D4059,""fr"",""es"")"),"bolsa")</f>
        <v>bolsa</v>
      </c>
    </row>
    <row r="4060">
      <c r="A4060" s="3">
        <v>1512.0</v>
      </c>
      <c r="B4060" s="3" t="s">
        <v>6738</v>
      </c>
      <c r="C4060" s="3" t="s">
        <v>190</v>
      </c>
      <c r="D4060" s="3" t="s">
        <v>5498</v>
      </c>
      <c r="E4060" s="3" t="s">
        <v>5499</v>
      </c>
      <c r="F4060" s="3" t="s">
        <v>5500</v>
      </c>
      <c r="G4060" s="3" t="str">
        <f>IFERROR(__xludf.DUMMYFUNCTION("GOOGLETRANSLATE(D4060,""fr"",""es"")"),"sacqua")</f>
        <v>sacqua</v>
      </c>
    </row>
    <row r="4061">
      <c r="A4061" s="3">
        <v>1513.0</v>
      </c>
      <c r="B4061" s="3" t="s">
        <v>6738</v>
      </c>
      <c r="C4061" s="3" t="s">
        <v>190</v>
      </c>
      <c r="D4061" s="3" t="s">
        <v>7744</v>
      </c>
      <c r="E4061" s="3" t="s">
        <v>5493</v>
      </c>
      <c r="F4061" s="3" t="s">
        <v>5494</v>
      </c>
      <c r="G4061" s="3" t="str">
        <f>IFERROR(__xludf.DUMMYFUNCTION("GOOGLETRANSLATE(D4061,""fr"",""es"")"),"sacquas")</f>
        <v>sacquas</v>
      </c>
    </row>
    <row r="4062">
      <c r="A4062" s="3">
        <v>1514.0</v>
      </c>
      <c r="B4062" s="3" t="s">
        <v>6738</v>
      </c>
      <c r="C4062" s="3" t="s">
        <v>190</v>
      </c>
      <c r="D4062" s="3" t="s">
        <v>5501</v>
      </c>
      <c r="E4062" s="3" t="s">
        <v>5502</v>
      </c>
      <c r="F4062" s="3" t="s">
        <v>5503</v>
      </c>
      <c r="G4062" s="3" t="str">
        <f>IFERROR(__xludf.DUMMYFUNCTION("GOOGLETRANSLATE(D4062,""fr"",""es"")"),"bolsa")</f>
        <v>bolsa</v>
      </c>
    </row>
    <row r="4063">
      <c r="A4063" s="3">
        <v>1515.0</v>
      </c>
      <c r="B4063" s="3" t="s">
        <v>6738</v>
      </c>
      <c r="C4063" s="3" t="s">
        <v>190</v>
      </c>
      <c r="D4063" s="3" t="s">
        <v>5504</v>
      </c>
      <c r="E4063" s="3" t="s">
        <v>5502</v>
      </c>
      <c r="F4063" s="3" t="s">
        <v>5503</v>
      </c>
      <c r="G4063" s="3" t="str">
        <f>IFERROR(__xludf.DUMMYFUNCTION("GOOGLETRANSLATE(D4063,""fr"",""es"")"),"bolsa")</f>
        <v>bolsa</v>
      </c>
    </row>
    <row r="4064">
      <c r="A4064" s="3">
        <v>1516.0</v>
      </c>
      <c r="B4064" s="3" t="s">
        <v>6738</v>
      </c>
      <c r="C4064" s="3" t="s">
        <v>190</v>
      </c>
      <c r="D4064" s="3" t="s">
        <v>5505</v>
      </c>
      <c r="E4064" s="3" t="s">
        <v>5502</v>
      </c>
      <c r="F4064" s="3" t="s">
        <v>5503</v>
      </c>
      <c r="G4064" s="3" t="str">
        <f>IFERROR(__xludf.DUMMYFUNCTION("GOOGLETRANSLATE(D4064,""fr"",""es"")"),"bolsa")</f>
        <v>bolsa</v>
      </c>
    </row>
    <row r="4065">
      <c r="A4065" s="3">
        <v>1517.0</v>
      </c>
      <c r="B4065" s="3" t="s">
        <v>6738</v>
      </c>
      <c r="C4065" s="3" t="s">
        <v>190</v>
      </c>
      <c r="D4065" s="3" t="s">
        <v>7745</v>
      </c>
      <c r="E4065" s="3" t="s">
        <v>5493</v>
      </c>
      <c r="F4065" s="3" t="s">
        <v>5494</v>
      </c>
      <c r="G4065" s="3" t="str">
        <f>IFERROR(__xludf.DUMMYFUNCTION("GOOGLETRANSLATE(D4065,""fr"",""es"")"),"sacquât")</f>
        <v>sacquât</v>
      </c>
    </row>
    <row r="4066">
      <c r="A4066" s="3">
        <v>1518.0</v>
      </c>
      <c r="B4066" s="3" t="s">
        <v>6738</v>
      </c>
      <c r="C4066" s="3" t="s">
        <v>190</v>
      </c>
      <c r="D4066" s="3" t="s">
        <v>5506</v>
      </c>
      <c r="E4066" s="3" t="s">
        <v>5460</v>
      </c>
      <c r="F4066" s="3" t="s">
        <v>5461</v>
      </c>
      <c r="G4066" s="3" t="str">
        <f>IFERROR(__xludf.DUMMYFUNCTION("GOOGLETRANSLATE(D4066,""fr"",""es"")"),"sacque")</f>
        <v>sacque</v>
      </c>
    </row>
    <row r="4067">
      <c r="A4067" s="3">
        <v>1519.0</v>
      </c>
      <c r="B4067" s="3" t="s">
        <v>6738</v>
      </c>
      <c r="C4067" s="3" t="s">
        <v>190</v>
      </c>
      <c r="D4067" s="3" t="s">
        <v>5507</v>
      </c>
      <c r="E4067" s="3" t="s">
        <v>5460</v>
      </c>
      <c r="F4067" s="3" t="s">
        <v>5461</v>
      </c>
      <c r="G4067" s="3" t="str">
        <f>IFERROR(__xludf.DUMMYFUNCTION("GOOGLETRANSLATE(D4067,""fr"",""es"")"),"bolsa")</f>
        <v>bolsa</v>
      </c>
    </row>
    <row r="4068">
      <c r="A4068" s="3">
        <v>1520.0</v>
      </c>
      <c r="B4068" s="3" t="s">
        <v>6738</v>
      </c>
      <c r="C4068" s="3" t="s">
        <v>190</v>
      </c>
      <c r="D4068" s="3" t="s">
        <v>5508</v>
      </c>
      <c r="E4068" s="3" t="s">
        <v>5460</v>
      </c>
      <c r="F4068" s="3" t="s">
        <v>5461</v>
      </c>
      <c r="G4068" s="3" t="str">
        <f>IFERROR(__xludf.DUMMYFUNCTION("GOOGLETRANSLATE(D4068,""fr"",""es"")"),"sacques")</f>
        <v>sacques</v>
      </c>
    </row>
    <row r="4069">
      <c r="A4069" s="3">
        <v>1521.0</v>
      </c>
      <c r="B4069" s="3" t="s">
        <v>6738</v>
      </c>
      <c r="C4069" s="3" t="s">
        <v>190</v>
      </c>
      <c r="D4069" s="3" t="s">
        <v>5517</v>
      </c>
      <c r="E4069" s="3" t="s">
        <v>5460</v>
      </c>
      <c r="F4069" s="3" t="s">
        <v>5461</v>
      </c>
      <c r="G4069" s="3" t="str">
        <f>IFERROR(__xludf.DUMMYFUNCTION("GOOGLETRANSLATE(D4069,""fr"",""es"")"),"bolsas")</f>
        <v>bolsas</v>
      </c>
    </row>
    <row r="4070">
      <c r="A4070" s="3">
        <v>1522.0</v>
      </c>
      <c r="B4070" s="3" t="s">
        <v>6738</v>
      </c>
      <c r="C4070" s="3" t="s">
        <v>190</v>
      </c>
      <c r="D4070" s="3" t="s">
        <v>5533</v>
      </c>
      <c r="E4070" s="3" t="s">
        <v>5534</v>
      </c>
      <c r="F4070" s="3" t="s">
        <v>5535</v>
      </c>
      <c r="G4070" s="3" t="str">
        <f>IFERROR(__xludf.DUMMYFUNCTION("GOOGLETRANSLATE(D4070,""fr"",""es"")"),"proyección")</f>
        <v>proyección</v>
      </c>
      <c r="H4070" s="3" t="s">
        <v>5536</v>
      </c>
      <c r="I4070" s="3" t="s">
        <v>5537</v>
      </c>
      <c r="J4070" s="3" t="s">
        <v>5538</v>
      </c>
      <c r="K4070" s="3" t="s">
        <v>5539</v>
      </c>
      <c r="L4070" s="3" t="s">
        <v>5540</v>
      </c>
      <c r="M4070" s="3" t="s">
        <v>5541</v>
      </c>
      <c r="N4070" s="3" t="s">
        <v>5542</v>
      </c>
      <c r="O4070" s="3" t="s">
        <v>5543</v>
      </c>
      <c r="P4070" s="3" t="s">
        <v>5544</v>
      </c>
      <c r="Q4070" s="3" t="s">
        <v>5545</v>
      </c>
      <c r="R4070" s="3" t="s">
        <v>5546</v>
      </c>
      <c r="S4070" s="3" t="s">
        <v>5547</v>
      </c>
      <c r="T4070" s="3" t="s">
        <v>5548</v>
      </c>
      <c r="U4070" s="3" t="s">
        <v>5549</v>
      </c>
      <c r="V4070" s="3" t="s">
        <v>5550</v>
      </c>
      <c r="W4070" s="3" t="s">
        <v>5537</v>
      </c>
      <c r="X4070" s="3" t="s">
        <v>5537</v>
      </c>
      <c r="Y4070" s="3" t="s">
        <v>5537</v>
      </c>
      <c r="Z4070" s="3" t="s">
        <v>5551</v>
      </c>
      <c r="AA4070" s="3" t="s">
        <v>5537</v>
      </c>
      <c r="AB4070" s="3" t="s">
        <v>5537</v>
      </c>
      <c r="AC4070" s="3" t="s">
        <v>5537</v>
      </c>
      <c r="AD4070" s="3" t="s">
        <v>5552</v>
      </c>
      <c r="AE4070" s="3" t="s">
        <v>5553</v>
      </c>
      <c r="AF4070" s="3" t="s">
        <v>5537</v>
      </c>
      <c r="AG4070" s="3" t="s">
        <v>5464</v>
      </c>
      <c r="AH4070" s="3" t="s">
        <v>5554</v>
      </c>
      <c r="AI4070" s="3" t="s">
        <v>5555</v>
      </c>
      <c r="AJ4070" s="3" t="s">
        <v>5479</v>
      </c>
      <c r="AK4070" s="3" t="s">
        <v>5556</v>
      </c>
      <c r="AL4070" s="3" t="s">
        <v>5557</v>
      </c>
      <c r="AM4070" s="3" t="s">
        <v>5538</v>
      </c>
      <c r="AN4070" s="3" t="s">
        <v>5558</v>
      </c>
      <c r="AO4070" s="3" t="s">
        <v>5559</v>
      </c>
      <c r="AP4070" s="3" t="s">
        <v>5536</v>
      </c>
      <c r="AQ4070" s="3" t="s">
        <v>5560</v>
      </c>
      <c r="AR4070" s="3" t="s">
        <v>5561</v>
      </c>
      <c r="AS4070" s="3" t="s">
        <v>5537</v>
      </c>
      <c r="AT4070" s="3" t="s">
        <v>5559</v>
      </c>
    </row>
    <row r="4071">
      <c r="A4071" s="3">
        <v>1523.0</v>
      </c>
      <c r="B4071" s="3" t="s">
        <v>6738</v>
      </c>
      <c r="C4071" s="3" t="s">
        <v>190</v>
      </c>
      <c r="D4071" s="3" t="s">
        <v>5562</v>
      </c>
      <c r="E4071" s="3" t="s">
        <v>5534</v>
      </c>
      <c r="F4071" s="3" t="s">
        <v>5535</v>
      </c>
      <c r="G4071" s="3" t="str">
        <f>IFERROR(__xludf.DUMMYFUNCTION("GOOGLETRANSLATE(D4071,""fr"",""es"")"),"proyecciones")</f>
        <v>proyecciones</v>
      </c>
    </row>
    <row r="4072">
      <c r="A4072" s="3">
        <v>1524.0</v>
      </c>
      <c r="B4072" s="3" t="s">
        <v>6738</v>
      </c>
      <c r="C4072" s="3" t="s">
        <v>190</v>
      </c>
      <c r="D4072" s="3" t="s">
        <v>5580</v>
      </c>
      <c r="E4072" s="3" t="s">
        <v>5579</v>
      </c>
      <c r="F4072" s="3" t="s">
        <v>5580</v>
      </c>
      <c r="G4072" s="3" t="str">
        <f>IFERROR(__xludf.DUMMYFUNCTION("GOOGLETRANSLATE(D4072,""fr"",""es"")"),"sala")</f>
        <v>sala</v>
      </c>
      <c r="H4072" s="3" t="s">
        <v>7746</v>
      </c>
      <c r="I4072" s="3" t="s">
        <v>4374</v>
      </c>
      <c r="J4072" s="3" t="s">
        <v>7747</v>
      </c>
      <c r="K4072" s="3" t="s">
        <v>7748</v>
      </c>
      <c r="L4072" s="3" t="s">
        <v>7749</v>
      </c>
    </row>
    <row r="4073">
      <c r="A4073" s="3">
        <v>1525.0</v>
      </c>
      <c r="B4073" s="3" t="s">
        <v>6738</v>
      </c>
      <c r="C4073" s="3" t="s">
        <v>190</v>
      </c>
      <c r="D4073" s="3" t="s">
        <v>5567</v>
      </c>
      <c r="E4073" s="3" t="s">
        <v>5568</v>
      </c>
      <c r="F4073" s="3" t="s">
        <v>5569</v>
      </c>
      <c r="G4073" s="3" t="str">
        <f>IFERROR(__xludf.DUMMYFUNCTION("GOOGLETRANSLATE(D4073,""fr"",""es"")"),"salaz")</f>
        <v>salaz</v>
      </c>
      <c r="H4073" s="3" t="s">
        <v>5570</v>
      </c>
      <c r="I4073" s="3" t="s">
        <v>5571</v>
      </c>
      <c r="J4073" s="3" t="s">
        <v>5572</v>
      </c>
      <c r="K4073" s="3" t="s">
        <v>5573</v>
      </c>
      <c r="L4073" s="3" t="s">
        <v>5574</v>
      </c>
      <c r="M4073" s="3" t="s">
        <v>5575</v>
      </c>
      <c r="N4073" s="3" t="s">
        <v>5576</v>
      </c>
      <c r="O4073" s="3" t="s">
        <v>5573</v>
      </c>
    </row>
    <row r="4074">
      <c r="A4074" s="3">
        <v>1526.0</v>
      </c>
      <c r="B4074" s="3" t="s">
        <v>6738</v>
      </c>
      <c r="C4074" s="3" t="s">
        <v>190</v>
      </c>
      <c r="D4074" s="3" t="s">
        <v>5577</v>
      </c>
      <c r="E4074" s="3" t="s">
        <v>5568</v>
      </c>
      <c r="F4074" s="3" t="s">
        <v>5569</v>
      </c>
      <c r="G4074" s="3" t="str">
        <f>IFERROR(__xludf.DUMMYFUNCTION("GOOGLETRANSLATE(D4074,""fr"",""es"")"),"salarios")</f>
        <v>salarios</v>
      </c>
    </row>
    <row r="4075">
      <c r="A4075" s="3">
        <v>1527.0</v>
      </c>
      <c r="B4075" s="3" t="s">
        <v>6738</v>
      </c>
      <c r="C4075" s="3" t="s">
        <v>190</v>
      </c>
      <c r="D4075" s="3" t="s">
        <v>5587</v>
      </c>
      <c r="E4075" s="3" t="s">
        <v>5588</v>
      </c>
      <c r="F4075" s="3" t="s">
        <v>5589</v>
      </c>
      <c r="G4075" s="3" t="str">
        <f>IFERROR(__xludf.DUMMYFUNCTION("GOOGLETRANSLATE(D4075,""fr"",""es"")"),"salmes")</f>
        <v>salmes</v>
      </c>
    </row>
    <row r="4076">
      <c r="A4076" s="3">
        <v>1528.0</v>
      </c>
      <c r="B4076" s="3" t="s">
        <v>6738</v>
      </c>
      <c r="C4076" s="3" t="s">
        <v>190</v>
      </c>
      <c r="D4076" s="3" t="s">
        <v>5590</v>
      </c>
      <c r="E4076" s="3" t="s">
        <v>5591</v>
      </c>
      <c r="F4076" s="3" t="s">
        <v>5590</v>
      </c>
      <c r="G4076" s="3" t="str">
        <f>IFERROR(__xludf.DUMMYFUNCTION("GOOGLETRANSLATE(D4076,""fr"",""es"")"),"salami")</f>
        <v>salami</v>
      </c>
      <c r="H4076" s="3" t="s">
        <v>5590</v>
      </c>
    </row>
    <row r="4077">
      <c r="A4077" s="3">
        <v>1529.0</v>
      </c>
      <c r="B4077" s="3" t="s">
        <v>6738</v>
      </c>
      <c r="C4077" s="3" t="s">
        <v>190</v>
      </c>
      <c r="D4077" s="3" t="s">
        <v>5592</v>
      </c>
      <c r="E4077" s="3" t="s">
        <v>5591</v>
      </c>
      <c r="F4077" s="3" t="s">
        <v>5590</v>
      </c>
      <c r="G4077" s="3" t="str">
        <f>IFERROR(__xludf.DUMMYFUNCTION("GOOGLETRANSLATE(D4077,""fr"",""es"")"),"salamis")</f>
        <v>salamis</v>
      </c>
    </row>
    <row r="4078">
      <c r="A4078" s="3">
        <v>1530.0</v>
      </c>
      <c r="B4078" s="3" t="s">
        <v>6738</v>
      </c>
      <c r="C4078" s="3" t="s">
        <v>190</v>
      </c>
      <c r="D4078" s="3" t="s">
        <v>5569</v>
      </c>
      <c r="E4078" s="3" t="s">
        <v>5579</v>
      </c>
      <c r="F4078" s="3" t="s">
        <v>5580</v>
      </c>
      <c r="G4078" s="3" t="str">
        <f>IFERROR(__xludf.DUMMYFUNCTION("GOOGLETRANSLATE(D4078,""fr"",""es"")"),"salas")</f>
        <v>salas</v>
      </c>
    </row>
    <row r="4079">
      <c r="A4079" s="3">
        <v>1531.0</v>
      </c>
      <c r="B4079" s="3" t="s">
        <v>6738</v>
      </c>
      <c r="C4079" s="3" t="s">
        <v>190</v>
      </c>
      <c r="D4079" s="3" t="s">
        <v>5593</v>
      </c>
      <c r="E4079" s="3" t="s">
        <v>5568</v>
      </c>
      <c r="F4079" s="3" t="s">
        <v>5569</v>
      </c>
      <c r="G4079" s="3" t="str">
        <f>IFERROR(__xludf.DUMMYFUNCTION("GOOGLETRANSLATE(D4079,""fr"",""es"")"),"bastardo")</f>
        <v>bastardo</v>
      </c>
    </row>
    <row r="4080">
      <c r="A4080" s="3">
        <v>1532.0</v>
      </c>
      <c r="B4080" s="3" t="s">
        <v>6738</v>
      </c>
      <c r="C4080" s="3" t="s">
        <v>190</v>
      </c>
      <c r="D4080" s="3" t="s">
        <v>5594</v>
      </c>
      <c r="E4080" s="3" t="s">
        <v>5568</v>
      </c>
      <c r="F4080" s="3" t="s">
        <v>5569</v>
      </c>
      <c r="G4080" s="3" t="str">
        <f>IFERROR(__xludf.DUMMYFUNCTION("GOOGLETRANSLATE(D4080,""fr"",""es"")"),"apenas")</f>
        <v>apenas</v>
      </c>
    </row>
    <row r="4081">
      <c r="A4081" s="3">
        <v>1533.0</v>
      </c>
      <c r="B4081" s="3" t="s">
        <v>6738</v>
      </c>
      <c r="C4081" s="3" t="s">
        <v>190</v>
      </c>
      <c r="D4081" s="3" t="s">
        <v>5595</v>
      </c>
      <c r="E4081" s="3" t="s">
        <v>5568</v>
      </c>
      <c r="F4081" s="3" t="s">
        <v>5569</v>
      </c>
      <c r="G4081" s="3" t="str">
        <f>IFERROR(__xludf.DUMMYFUNCTION("GOOGLETRANSLATE(D4081,""fr"",""es"")"),"salas")</f>
        <v>salas</v>
      </c>
    </row>
    <row r="4082">
      <c r="A4082" s="3">
        <v>1534.0</v>
      </c>
      <c r="B4082" s="3" t="s">
        <v>6738</v>
      </c>
      <c r="C4082" s="3" t="s">
        <v>190</v>
      </c>
      <c r="D4082" s="3" t="s">
        <v>7750</v>
      </c>
      <c r="E4082" s="3" t="s">
        <v>5579</v>
      </c>
      <c r="F4082" s="3" t="s">
        <v>5580</v>
      </c>
      <c r="G4082" s="3" t="str">
        <f>IFERROR(__xludf.DUMMYFUNCTION("GOOGLETRANSLATE(D4082,""fr"",""es"")"),"salfo")</f>
        <v>salfo</v>
      </c>
      <c r="H4082" s="3" t="s">
        <v>7751</v>
      </c>
      <c r="I4082" s="3" t="s">
        <v>7752</v>
      </c>
      <c r="J4082" s="3" t="s">
        <v>7753</v>
      </c>
      <c r="K4082" s="3" t="s">
        <v>7754</v>
      </c>
    </row>
    <row r="4083">
      <c r="A4083" s="3">
        <v>1535.0</v>
      </c>
      <c r="B4083" s="3" t="s">
        <v>6738</v>
      </c>
      <c r="C4083" s="3" t="s">
        <v>190</v>
      </c>
      <c r="D4083" s="3" t="s">
        <v>5596</v>
      </c>
      <c r="E4083" s="3" t="s">
        <v>1411</v>
      </c>
      <c r="F4083" s="3" t="s">
        <v>1412</v>
      </c>
      <c r="G4083" s="3" t="str">
        <f>IFERROR(__xludf.DUMMYFUNCTION("GOOGLETRANSLATE(D4083,""fr"",""es"")"),"sucio")</f>
        <v>sucio</v>
      </c>
      <c r="H4083" s="3" t="s">
        <v>5597</v>
      </c>
      <c r="I4083" s="3" t="s">
        <v>5597</v>
      </c>
      <c r="J4083" s="3" t="s">
        <v>5598</v>
      </c>
      <c r="K4083" s="3" t="s">
        <v>5599</v>
      </c>
      <c r="L4083" s="3" t="s">
        <v>5597</v>
      </c>
      <c r="M4083" s="3" t="s">
        <v>5597</v>
      </c>
      <c r="N4083" s="3" t="s">
        <v>5600</v>
      </c>
      <c r="O4083" s="3" t="s">
        <v>5597</v>
      </c>
      <c r="P4083" s="3" t="s">
        <v>3067</v>
      </c>
      <c r="Q4083" s="3" t="s">
        <v>5601</v>
      </c>
      <c r="R4083" s="3" t="s">
        <v>5597</v>
      </c>
      <c r="S4083" s="3" t="s">
        <v>5602</v>
      </c>
      <c r="T4083" s="3" t="s">
        <v>5603</v>
      </c>
      <c r="U4083" s="3" t="s">
        <v>5604</v>
      </c>
      <c r="V4083" s="3" t="s">
        <v>5597</v>
      </c>
      <c r="W4083" s="3" t="s">
        <v>5597</v>
      </c>
      <c r="X4083" s="3" t="s">
        <v>5605</v>
      </c>
      <c r="Y4083" s="3" t="s">
        <v>5597</v>
      </c>
      <c r="Z4083" s="3" t="s">
        <v>5602</v>
      </c>
      <c r="AA4083" s="3" t="s">
        <v>5606</v>
      </c>
      <c r="AB4083" s="3" t="s">
        <v>5597</v>
      </c>
      <c r="AC4083" s="3" t="s">
        <v>5607</v>
      </c>
      <c r="AD4083" s="3" t="s">
        <v>5608</v>
      </c>
      <c r="AE4083" s="3" t="s">
        <v>5597</v>
      </c>
      <c r="AF4083" s="3" t="s">
        <v>5609</v>
      </c>
      <c r="AG4083" s="3" t="s">
        <v>5610</v>
      </c>
      <c r="AH4083" s="3" t="s">
        <v>5611</v>
      </c>
      <c r="AI4083" s="3" t="s">
        <v>5597</v>
      </c>
      <c r="AJ4083" s="3" t="s">
        <v>5612</v>
      </c>
    </row>
    <row r="4084">
      <c r="A4084" s="3">
        <v>1536.0</v>
      </c>
      <c r="B4084" s="3" t="s">
        <v>6738</v>
      </c>
      <c r="C4084" s="3" t="s">
        <v>190</v>
      </c>
      <c r="D4084" s="3" t="s">
        <v>5613</v>
      </c>
      <c r="E4084" s="3" t="s">
        <v>1411</v>
      </c>
      <c r="F4084" s="3" t="s">
        <v>1412</v>
      </c>
      <c r="G4084" s="3" t="str">
        <f>IFERROR(__xludf.DUMMYFUNCTION("GOOGLETRANSLATE(D4084,""fr"",""es"")"),"sal")</f>
        <v>sal</v>
      </c>
    </row>
    <row r="4085">
      <c r="A4085" s="3">
        <v>1537.0</v>
      </c>
      <c r="B4085" s="3" t="s">
        <v>6738</v>
      </c>
      <c r="C4085" s="3" t="s">
        <v>190</v>
      </c>
      <c r="D4085" s="3" t="s">
        <v>5614</v>
      </c>
      <c r="E4085" s="3" t="s">
        <v>1411</v>
      </c>
      <c r="F4085" s="3" t="s">
        <v>1412</v>
      </c>
      <c r="G4085" s="3" t="str">
        <f>IFERROR(__xludf.DUMMYFUNCTION("GOOGLETRANSLATE(D4085,""fr"",""es"")"),"sucio")</f>
        <v>sucio</v>
      </c>
    </row>
    <row r="4086">
      <c r="A4086" s="3">
        <v>1538.0</v>
      </c>
      <c r="B4086" s="3" t="s">
        <v>6738</v>
      </c>
      <c r="C4086" s="3" t="s">
        <v>190</v>
      </c>
      <c r="D4086" s="3" t="s">
        <v>5615</v>
      </c>
      <c r="E4086" s="3" t="s">
        <v>5616</v>
      </c>
      <c r="F4086" s="3" t="s">
        <v>5615</v>
      </c>
      <c r="G4086" s="3" t="str">
        <f>IFERROR(__xludf.DUMMYFUNCTION("GOOGLETRANSLATE(D4086,""fr"",""es"")"),"sal")</f>
        <v>sal</v>
      </c>
    </row>
    <row r="4087">
      <c r="A4087" s="3">
        <v>1539.0</v>
      </c>
      <c r="B4087" s="3" t="s">
        <v>6738</v>
      </c>
      <c r="C4087" s="3" t="s">
        <v>190</v>
      </c>
      <c r="D4087" s="3" t="s">
        <v>5617</v>
      </c>
      <c r="E4087" s="3" t="s">
        <v>7755</v>
      </c>
      <c r="F4087" s="3" t="s">
        <v>5619</v>
      </c>
      <c r="G4087" s="3" t="str">
        <f>IFERROR(__xludf.DUMMYFUNCTION("GOOGLETRANSLATE(D4087,""fr"",""es"")"),"salicílico")</f>
        <v>salicílico</v>
      </c>
    </row>
    <row r="4088">
      <c r="A4088" s="3">
        <v>1540.0</v>
      </c>
      <c r="B4088" s="3" t="s">
        <v>6738</v>
      </c>
      <c r="C4088" s="3" t="s">
        <v>190</v>
      </c>
      <c r="D4088" s="3" t="s">
        <v>5620</v>
      </c>
      <c r="E4088" s="3" t="s">
        <v>7755</v>
      </c>
      <c r="F4088" s="3" t="s">
        <v>5619</v>
      </c>
      <c r="G4088" s="3" t="str">
        <f>IFERROR(__xludf.DUMMYFUNCTION("GOOGLETRANSLATE(D4088,""fr"",""es"")"),"salicílico")</f>
        <v>salicílico</v>
      </c>
    </row>
    <row r="4089">
      <c r="A4089" s="3">
        <v>1541.0</v>
      </c>
      <c r="B4089" s="3" t="s">
        <v>6738</v>
      </c>
      <c r="C4089" s="3" t="s">
        <v>190</v>
      </c>
      <c r="D4089" s="3" t="s">
        <v>5621</v>
      </c>
      <c r="E4089" s="3" t="s">
        <v>5616</v>
      </c>
      <c r="F4089" s="3" t="s">
        <v>5615</v>
      </c>
      <c r="G4089" s="3" t="str">
        <f>IFERROR(__xludf.DUMMYFUNCTION("GOOGLETRANSLATE(D4089,""fr"",""es"")"),"sucio")</f>
        <v>sucio</v>
      </c>
    </row>
    <row r="4090">
      <c r="A4090" s="3">
        <v>1542.0</v>
      </c>
      <c r="B4090" s="3" t="s">
        <v>6738</v>
      </c>
      <c r="C4090" s="3" t="s">
        <v>190</v>
      </c>
      <c r="D4090" s="3" t="s">
        <v>5622</v>
      </c>
      <c r="E4090" s="3" t="s">
        <v>5616</v>
      </c>
      <c r="F4090" s="3" t="s">
        <v>5615</v>
      </c>
      <c r="G4090" s="3" t="str">
        <f>IFERROR(__xludf.DUMMYFUNCTION("GOOGLETRANSLATE(D4090,""fr"",""es"")"),"sucio")</f>
        <v>sucio</v>
      </c>
    </row>
    <row r="4091">
      <c r="A4091" s="3">
        <v>1543.0</v>
      </c>
      <c r="B4091" s="3" t="s">
        <v>6738</v>
      </c>
      <c r="C4091" s="3" t="s">
        <v>190</v>
      </c>
      <c r="D4091" s="3" t="s">
        <v>5623</v>
      </c>
      <c r="E4091" s="3" t="s">
        <v>7756</v>
      </c>
      <c r="F4091" s="3" t="s">
        <v>5625</v>
      </c>
      <c r="G4091" s="3" t="str">
        <f>IFERROR(__xludf.DUMMYFUNCTION("GOOGLETRANSLATE(D4091,""fr"",""es"")"),"salado")</f>
        <v>salado</v>
      </c>
    </row>
    <row r="4092">
      <c r="A4092" s="3">
        <v>1544.0</v>
      </c>
      <c r="B4092" s="3" t="s">
        <v>6738</v>
      </c>
      <c r="C4092" s="3" t="s">
        <v>190</v>
      </c>
      <c r="D4092" s="3" t="s">
        <v>5626</v>
      </c>
      <c r="E4092" s="3" t="s">
        <v>7757</v>
      </c>
      <c r="F4092" s="3" t="s">
        <v>5628</v>
      </c>
      <c r="G4092" s="3" t="str">
        <f>IFERROR(__xludf.DUMMYFUNCTION("GOOGLETRANSLATE(D4092,""fr"",""es"")"),"salina")</f>
        <v>salina</v>
      </c>
    </row>
    <row r="4093">
      <c r="A4093" s="3">
        <v>1545.0</v>
      </c>
      <c r="B4093" s="3" t="s">
        <v>6738</v>
      </c>
      <c r="C4093" s="3" t="s">
        <v>190</v>
      </c>
      <c r="D4093" s="3" t="s">
        <v>5629</v>
      </c>
      <c r="E4093" s="3" t="s">
        <v>7757</v>
      </c>
      <c r="F4093" s="3" t="s">
        <v>5628</v>
      </c>
      <c r="G4093" s="3" t="str">
        <f>IFERROR(__xludf.DUMMYFUNCTION("GOOGLETRANSLATE(D4093,""fr"",""es"")"),"salina")</f>
        <v>salina</v>
      </c>
    </row>
    <row r="4094">
      <c r="A4094" s="3">
        <v>1546.0</v>
      </c>
      <c r="B4094" s="3" t="s">
        <v>6738</v>
      </c>
      <c r="C4094" s="3" t="s">
        <v>190</v>
      </c>
      <c r="D4094" s="3" t="s">
        <v>5630</v>
      </c>
      <c r="E4094" s="3" t="s">
        <v>7758</v>
      </c>
      <c r="F4094" s="3" t="s">
        <v>5632</v>
      </c>
      <c r="G4094" s="3" t="str">
        <f>IFERROR(__xludf.DUMMYFUNCTION("GOOGLETRANSLATE(D4094,""fr"",""es"")"),"sálico")</f>
        <v>sálico</v>
      </c>
    </row>
    <row r="4095">
      <c r="A4095" s="3">
        <v>1547.0</v>
      </c>
      <c r="B4095" s="3" t="s">
        <v>6738</v>
      </c>
      <c r="C4095" s="3" t="s">
        <v>190</v>
      </c>
      <c r="D4095" s="3" t="s">
        <v>5633</v>
      </c>
      <c r="E4095" s="3" t="s">
        <v>7758</v>
      </c>
      <c r="F4095" s="3" t="s">
        <v>5632</v>
      </c>
      <c r="G4095" s="3" t="str">
        <f>IFERROR(__xludf.DUMMYFUNCTION("GOOGLETRANSLATE(D4095,""fr"",""es"")"),"que se puede tener un sorbo")</f>
        <v>que se puede tener un sorbo</v>
      </c>
    </row>
    <row r="4096">
      <c r="A4096" s="3">
        <v>1548.0</v>
      </c>
      <c r="B4096" s="3" t="s">
        <v>6738</v>
      </c>
      <c r="C4096" s="3" t="s">
        <v>190</v>
      </c>
      <c r="D4096" s="3" t="s">
        <v>5634</v>
      </c>
      <c r="E4096" s="3" t="s">
        <v>5616</v>
      </c>
      <c r="F4096" s="3" t="s">
        <v>5615</v>
      </c>
      <c r="G4096" s="3" t="str">
        <f>IFERROR(__xludf.DUMMYFUNCTION("GOOGLETRANSLATE(D4096,""fr"",""es"")"),"salis")</f>
        <v>salis</v>
      </c>
    </row>
    <row r="4097">
      <c r="A4097" s="3">
        <v>1549.0</v>
      </c>
      <c r="B4097" s="3" t="s">
        <v>6738</v>
      </c>
      <c r="C4097" s="3" t="s">
        <v>190</v>
      </c>
      <c r="D4097" s="3" t="s">
        <v>5640</v>
      </c>
      <c r="E4097" s="3" t="s">
        <v>7759</v>
      </c>
      <c r="F4097" s="3" t="s">
        <v>5634</v>
      </c>
      <c r="G4097" s="3" t="str">
        <f>IFERROR(__xludf.DUMMYFUNCTION("GOOGLETRANSLATE(D4097,""fr"",""es"")"),"salisco")</f>
        <v>salisco</v>
      </c>
    </row>
    <row r="4098">
      <c r="A4098" s="3">
        <v>1550.0</v>
      </c>
      <c r="B4098" s="3" t="s">
        <v>6738</v>
      </c>
      <c r="C4098" s="3" t="s">
        <v>190</v>
      </c>
      <c r="D4098" s="3" t="s">
        <v>5642</v>
      </c>
      <c r="E4098" s="3" t="s">
        <v>7759</v>
      </c>
      <c r="F4098" s="3" t="s">
        <v>5634</v>
      </c>
      <c r="G4098" s="3" t="str">
        <f>IFERROR(__xludf.DUMMYFUNCTION("GOOGLETRANSLATE(D4098,""fr"",""es"")"),"sucio")</f>
        <v>sucio</v>
      </c>
    </row>
    <row r="4099">
      <c r="A4099" s="3">
        <v>1551.0</v>
      </c>
      <c r="B4099" s="3" t="s">
        <v>6738</v>
      </c>
      <c r="C4099" s="3" t="s">
        <v>190</v>
      </c>
      <c r="D4099" s="3" t="s">
        <v>5643</v>
      </c>
      <c r="E4099" s="3" t="s">
        <v>7759</v>
      </c>
      <c r="F4099" s="3" t="s">
        <v>5634</v>
      </c>
      <c r="G4099" s="3" t="str">
        <f>IFERROR(__xludf.DUMMYFUNCTION("GOOGLETRANSLATE(D4099,""fr"",""es"")"),"pasión")</f>
        <v>pasión</v>
      </c>
    </row>
    <row r="4100">
      <c r="A4100" s="3">
        <v>1552.0</v>
      </c>
      <c r="B4100" s="3" t="s">
        <v>6738</v>
      </c>
      <c r="C4100" s="3" t="s">
        <v>190</v>
      </c>
      <c r="D4100" s="3" t="s">
        <v>5644</v>
      </c>
      <c r="E4100" s="3" t="s">
        <v>5616</v>
      </c>
      <c r="F4100" s="3" t="s">
        <v>5615</v>
      </c>
      <c r="G4100" s="3" t="str">
        <f>IFERROR(__xludf.DUMMYFUNCTION("GOOGLETRANSLATE(D4100,""fr"",""es"")"),"sucio")</f>
        <v>sucio</v>
      </c>
    </row>
    <row r="4101">
      <c r="A4101" s="3">
        <v>1553.0</v>
      </c>
      <c r="B4101" s="3" t="s">
        <v>6738</v>
      </c>
      <c r="C4101" s="3" t="s">
        <v>190</v>
      </c>
      <c r="D4101" s="3" t="s">
        <v>5645</v>
      </c>
      <c r="E4101" s="3" t="s">
        <v>5616</v>
      </c>
      <c r="F4101" s="3" t="s">
        <v>5615</v>
      </c>
      <c r="G4101" s="3" t="str">
        <f>IFERROR(__xludf.DUMMYFUNCTION("GOOGLETRANSLATE(D4101,""fr"",""es"")"),"sucio")</f>
        <v>sucio</v>
      </c>
    </row>
    <row r="4102">
      <c r="A4102" s="3">
        <v>1554.0</v>
      </c>
      <c r="B4102" s="3" t="s">
        <v>6738</v>
      </c>
      <c r="C4102" s="3" t="s">
        <v>190</v>
      </c>
      <c r="D4102" s="3" t="s">
        <v>5646</v>
      </c>
      <c r="E4102" s="3" t="s">
        <v>1411</v>
      </c>
      <c r="F4102" s="3" t="s">
        <v>1412</v>
      </c>
      <c r="G4102" s="3" t="str">
        <f>IFERROR(__xludf.DUMMYFUNCTION("GOOGLETRANSLATE(D4102,""fr"",""es"")"),"Sala")</f>
        <v>Sala</v>
      </c>
      <c r="H4102" s="3" t="s">
        <v>5647</v>
      </c>
      <c r="I4102" s="3" t="s">
        <v>5648</v>
      </c>
      <c r="J4102" s="3" t="s">
        <v>5649</v>
      </c>
      <c r="K4102" s="3" t="s">
        <v>5650</v>
      </c>
      <c r="L4102" s="3" t="s">
        <v>5651</v>
      </c>
      <c r="M4102" s="3" t="s">
        <v>5652</v>
      </c>
      <c r="N4102" s="3" t="s">
        <v>5647</v>
      </c>
      <c r="O4102" s="3" t="s">
        <v>5653</v>
      </c>
      <c r="P4102" s="3" t="s">
        <v>5654</v>
      </c>
      <c r="Q4102" s="3" t="s">
        <v>5655</v>
      </c>
      <c r="R4102" s="3" t="s">
        <v>5647</v>
      </c>
      <c r="S4102" s="3" t="s">
        <v>5647</v>
      </c>
      <c r="T4102" s="3" t="s">
        <v>5656</v>
      </c>
      <c r="U4102" s="3" t="s">
        <v>5649</v>
      </c>
      <c r="V4102" s="3" t="s">
        <v>5655</v>
      </c>
      <c r="W4102" s="3" t="s">
        <v>5657</v>
      </c>
      <c r="X4102" s="3" t="s">
        <v>5647</v>
      </c>
      <c r="Y4102" s="3" t="s">
        <v>4389</v>
      </c>
      <c r="Z4102" s="3" t="s">
        <v>4392</v>
      </c>
      <c r="AA4102" s="3" t="s">
        <v>4393</v>
      </c>
      <c r="AB4102" s="3" t="s">
        <v>4394</v>
      </c>
      <c r="AC4102" s="3" t="s">
        <v>4395</v>
      </c>
      <c r="AD4102" s="3" t="s">
        <v>4396</v>
      </c>
      <c r="AE4102" s="3" t="s">
        <v>4397</v>
      </c>
      <c r="AF4102" s="3" t="s">
        <v>5649</v>
      </c>
      <c r="AG4102" s="3" t="s">
        <v>5658</v>
      </c>
      <c r="AH4102" s="3" t="s">
        <v>5647</v>
      </c>
      <c r="AI4102" s="3" t="s">
        <v>4389</v>
      </c>
      <c r="AJ4102" s="3" t="s">
        <v>5649</v>
      </c>
    </row>
    <row r="4103">
      <c r="A4103" s="3">
        <v>1555.0</v>
      </c>
      <c r="B4103" s="3" t="s">
        <v>6738</v>
      </c>
      <c r="C4103" s="3" t="s">
        <v>190</v>
      </c>
      <c r="D4103" s="3" t="s">
        <v>5659</v>
      </c>
      <c r="E4103" s="3" t="s">
        <v>1411</v>
      </c>
      <c r="F4103" s="3" t="s">
        <v>1412</v>
      </c>
      <c r="G4103" s="3" t="str">
        <f>IFERROR(__xludf.DUMMYFUNCTION("GOOGLETRANSLATE(D4103,""fr"",""es"")"),"habitaciones")</f>
        <v>habitaciones</v>
      </c>
    </row>
    <row r="4104">
      <c r="A4104" s="3">
        <v>1556.0</v>
      </c>
      <c r="B4104" s="3" t="s">
        <v>6738</v>
      </c>
      <c r="C4104" s="3" t="s">
        <v>190</v>
      </c>
      <c r="D4104" s="3" t="s">
        <v>5660</v>
      </c>
      <c r="E4104" s="3" t="s">
        <v>7760</v>
      </c>
      <c r="F4104" s="3" t="s">
        <v>5662</v>
      </c>
      <c r="G4104" s="3" t="str">
        <f>IFERROR(__xludf.DUMMYFUNCTION("GOOGLETRANSLATE(D4104,""fr"",""es"")"),"salón")</f>
        <v>salón</v>
      </c>
    </row>
    <row r="4105">
      <c r="A4105" s="3">
        <v>1557.0</v>
      </c>
      <c r="B4105" s="3" t="s">
        <v>6738</v>
      </c>
      <c r="C4105" s="3" t="s">
        <v>190</v>
      </c>
      <c r="D4105" s="3" t="s">
        <v>5663</v>
      </c>
      <c r="E4105" s="3" t="s">
        <v>7760</v>
      </c>
      <c r="F4105" s="3" t="s">
        <v>5662</v>
      </c>
      <c r="G4105" s="3" t="str">
        <f>IFERROR(__xludf.DUMMYFUNCTION("GOOGLETRANSLATE(D4105,""fr"",""es"")"),"salones")</f>
        <v>salones</v>
      </c>
    </row>
    <row r="4106">
      <c r="A4106" s="3">
        <v>1558.0</v>
      </c>
      <c r="B4106" s="3" t="s">
        <v>6738</v>
      </c>
      <c r="C4106" s="3" t="s">
        <v>190</v>
      </c>
      <c r="D4106" s="3" t="s">
        <v>5664</v>
      </c>
      <c r="E4106" s="3" t="s">
        <v>5665</v>
      </c>
      <c r="F4106" s="3" t="s">
        <v>5666</v>
      </c>
      <c r="G4106" s="3" t="str">
        <f>IFERROR(__xludf.DUMMYFUNCTION("GOOGLETRANSLATE(D4106,""fr"",""es"")"),"Se sentó")</f>
        <v>Se sentó</v>
      </c>
    </row>
    <row r="4107">
      <c r="A4107" s="3">
        <v>1559.0</v>
      </c>
      <c r="B4107" s="3" t="s">
        <v>6738</v>
      </c>
      <c r="C4107" s="3" t="s">
        <v>190</v>
      </c>
      <c r="D4107" s="3" t="s">
        <v>7761</v>
      </c>
      <c r="E4107" s="3" t="s">
        <v>7762</v>
      </c>
      <c r="F4107" s="3" t="s">
        <v>7761</v>
      </c>
      <c r="G4107" s="3" t="str">
        <f>IFERROR(__xludf.DUMMYFUNCTION("GOOGLETRANSLATE(D4107,""fr"",""es"")"),"sana")</f>
        <v>sana</v>
      </c>
    </row>
    <row r="4108">
      <c r="A4108" s="3">
        <v>1560.0</v>
      </c>
      <c r="B4108" s="3" t="s">
        <v>6738</v>
      </c>
      <c r="C4108" s="3" t="s">
        <v>190</v>
      </c>
      <c r="D4108" s="3" t="s">
        <v>7763</v>
      </c>
      <c r="E4108" s="3" t="s">
        <v>7762</v>
      </c>
      <c r="F4108" s="3" t="s">
        <v>7761</v>
      </c>
      <c r="G4108" s="3" t="str">
        <f>IFERROR(__xludf.DUMMYFUNCTION("GOOGLETRANSLATE(D4108,""fr"",""es"")"),"sanas")</f>
        <v>sanas</v>
      </c>
    </row>
    <row r="4109">
      <c r="A4109" s="3">
        <v>1561.0</v>
      </c>
      <c r="B4109" s="3" t="s">
        <v>6738</v>
      </c>
      <c r="C4109" s="3" t="s">
        <v>190</v>
      </c>
      <c r="D4109" s="3" t="s">
        <v>5667</v>
      </c>
      <c r="E4109" s="3" t="s">
        <v>5668</v>
      </c>
      <c r="F4109" s="3" t="s">
        <v>5669</v>
      </c>
      <c r="G4109" s="3" t="str">
        <f>IFERROR(__xludf.DUMMYFUNCTION("GOOGLETRANSLATE(D4109,""fr"",""es"")"),"ebrio")</f>
        <v>ebrio</v>
      </c>
    </row>
    <row r="4110">
      <c r="A4110" s="3">
        <v>1562.0</v>
      </c>
      <c r="B4110" s="3" t="s">
        <v>6738</v>
      </c>
      <c r="C4110" s="3" t="s">
        <v>190</v>
      </c>
      <c r="D4110" s="3" t="s">
        <v>7764</v>
      </c>
      <c r="E4110" s="3" t="s">
        <v>7765</v>
      </c>
      <c r="F4110" s="3" t="s">
        <v>5672</v>
      </c>
      <c r="G4110" s="3" t="str">
        <f>IFERROR(__xludf.DUMMYFUNCTION("GOOGLETRANSLATE(D4110,""fr"",""es"")"),"saula")</f>
        <v>saula</v>
      </c>
    </row>
    <row r="4111">
      <c r="A4111" s="3">
        <v>1563.0</v>
      </c>
      <c r="B4111" s="3" t="s">
        <v>6738</v>
      </c>
      <c r="C4111" s="3" t="s">
        <v>190</v>
      </c>
      <c r="D4111" s="3" t="s">
        <v>5676</v>
      </c>
      <c r="E4111" s="3" t="s">
        <v>7766</v>
      </c>
      <c r="F4111" s="3" t="s">
        <v>5678</v>
      </c>
      <c r="G4111" s="3" t="str">
        <f>IFERROR(__xludf.DUMMYFUNCTION("GOOGLETRANSLATE(D4111,""fr"",""es"")"),"ebrio")</f>
        <v>ebrio</v>
      </c>
    </row>
    <row r="4112">
      <c r="A4112" s="3">
        <v>1564.0</v>
      </c>
      <c r="B4112" s="3" t="s">
        <v>6738</v>
      </c>
      <c r="C4112" s="3" t="s">
        <v>190</v>
      </c>
      <c r="D4112" s="3" t="s">
        <v>7767</v>
      </c>
      <c r="E4112" s="3" t="s">
        <v>7765</v>
      </c>
      <c r="F4112" s="3" t="s">
        <v>5672</v>
      </c>
      <c r="G4112" s="3" t="str">
        <f>IFERROR(__xludf.DUMMYFUNCTION("GOOGLETRANSLATE(D4112,""fr"",""es"")"),"saulas")</f>
        <v>saulas</v>
      </c>
    </row>
    <row r="4113">
      <c r="A4113" s="3">
        <v>1565.0</v>
      </c>
      <c r="B4113" s="3" t="s">
        <v>6738</v>
      </c>
      <c r="C4113" s="3" t="s">
        <v>190</v>
      </c>
      <c r="D4113" s="3" t="s">
        <v>5679</v>
      </c>
      <c r="E4113" s="3" t="s">
        <v>7768</v>
      </c>
      <c r="F4113" s="3" t="s">
        <v>5681</v>
      </c>
      <c r="G4113" s="3" t="str">
        <f>IFERROR(__xludf.DUMMYFUNCTION("GOOGLETRANSLATE(D4113,""fr"",""es"")"),"ebrio")</f>
        <v>ebrio</v>
      </c>
    </row>
    <row r="4114">
      <c r="A4114" s="3">
        <v>1566.0</v>
      </c>
      <c r="B4114" s="3" t="s">
        <v>6738</v>
      </c>
      <c r="C4114" s="3" t="s">
        <v>190</v>
      </c>
      <c r="D4114" s="3" t="s">
        <v>5682</v>
      </c>
      <c r="E4114" s="3" t="s">
        <v>7768</v>
      </c>
      <c r="F4114" s="3" t="s">
        <v>5681</v>
      </c>
      <c r="G4114" s="3" t="str">
        <f>IFERROR(__xludf.DUMMYFUNCTION("GOOGLETRANSLATE(D4114,""fr"",""es"")"),"ebrio")</f>
        <v>ebrio</v>
      </c>
    </row>
    <row r="4115">
      <c r="A4115" s="3">
        <v>1567.0</v>
      </c>
      <c r="B4115" s="3" t="s">
        <v>6738</v>
      </c>
      <c r="C4115" s="3" t="s">
        <v>190</v>
      </c>
      <c r="D4115" s="3" t="s">
        <v>5683</v>
      </c>
      <c r="E4115" s="3" t="s">
        <v>7768</v>
      </c>
      <c r="F4115" s="3" t="s">
        <v>5681</v>
      </c>
      <c r="G4115" s="3" t="str">
        <f>IFERROR(__xludf.DUMMYFUNCTION("GOOGLETRANSLATE(D4115,""fr"",""es"")"),"ebrio")</f>
        <v>ebrio</v>
      </c>
    </row>
    <row r="4116">
      <c r="A4116" s="3">
        <v>1568.0</v>
      </c>
      <c r="B4116" s="3" t="s">
        <v>6738</v>
      </c>
      <c r="C4116" s="3" t="s">
        <v>190</v>
      </c>
      <c r="D4116" s="3" t="s">
        <v>7769</v>
      </c>
      <c r="E4116" s="3" t="s">
        <v>7765</v>
      </c>
      <c r="F4116" s="3" t="s">
        <v>5672</v>
      </c>
      <c r="G4116" s="3" t="str">
        <f>IFERROR(__xludf.DUMMYFUNCTION("GOOGLETRANSLATE(D4116,""fr"",""es"")"),"ebrio")</f>
        <v>ebrio</v>
      </c>
    </row>
    <row r="4117">
      <c r="A4117" s="3">
        <v>1569.0</v>
      </c>
      <c r="B4117" s="3" t="s">
        <v>6738</v>
      </c>
      <c r="C4117" s="3" t="s">
        <v>190</v>
      </c>
      <c r="D4117" s="3" t="s">
        <v>5684</v>
      </c>
      <c r="E4117" s="3" t="s">
        <v>7770</v>
      </c>
      <c r="F4117" s="3" t="s">
        <v>5686</v>
      </c>
      <c r="G4117" s="3" t="str">
        <f>IFERROR(__xludf.DUMMYFUNCTION("GOOGLETRANSLATE(D4117,""fr"",""es"")"),"ebrio")</f>
        <v>ebrio</v>
      </c>
    </row>
    <row r="4118">
      <c r="A4118" s="3">
        <v>1570.0</v>
      </c>
      <c r="B4118" s="3" t="s">
        <v>6738</v>
      </c>
      <c r="C4118" s="3" t="s">
        <v>190</v>
      </c>
      <c r="D4118" s="3" t="s">
        <v>5687</v>
      </c>
      <c r="E4118" s="3" t="s">
        <v>7770</v>
      </c>
      <c r="F4118" s="3" t="s">
        <v>5686</v>
      </c>
      <c r="G4118" s="3" t="str">
        <f>IFERROR(__xludf.DUMMYFUNCTION("GOOGLETRANSLATE(D4118,""fr"",""es"")"),"ebrio")</f>
        <v>ebrio</v>
      </c>
    </row>
    <row r="4119">
      <c r="A4119" s="3">
        <v>1571.0</v>
      </c>
      <c r="B4119" s="3" t="s">
        <v>6738</v>
      </c>
      <c r="C4119" s="3" t="s">
        <v>190</v>
      </c>
      <c r="D4119" s="3" t="s">
        <v>5688</v>
      </c>
      <c r="E4119" s="3" t="s">
        <v>7770</v>
      </c>
      <c r="F4119" s="3" t="s">
        <v>5686</v>
      </c>
      <c r="G4119" s="3" t="str">
        <f>IFERROR(__xludf.DUMMYFUNCTION("GOOGLETRANSLATE(D4119,""fr"",""es"")"),"ebrio")</f>
        <v>ebrio</v>
      </c>
    </row>
    <row r="4120">
      <c r="A4120" s="3">
        <v>1572.0</v>
      </c>
      <c r="B4120" s="3" t="s">
        <v>6738</v>
      </c>
      <c r="C4120" s="3" t="s">
        <v>190</v>
      </c>
      <c r="D4120" s="3" t="s">
        <v>5689</v>
      </c>
      <c r="E4120" s="3" t="s">
        <v>5668</v>
      </c>
      <c r="F4120" s="3" t="s">
        <v>5669</v>
      </c>
      <c r="G4120" s="3" t="str">
        <f>IFERROR(__xludf.DUMMYFUNCTION("GOOGLETRANSLATE(D4120,""fr"",""es"")"),"ebrio")</f>
        <v>ebrio</v>
      </c>
    </row>
    <row r="4121">
      <c r="A4121" s="3">
        <v>1573.0</v>
      </c>
      <c r="B4121" s="3" t="s">
        <v>6738</v>
      </c>
      <c r="C4121" s="3" t="s">
        <v>190</v>
      </c>
      <c r="D4121" s="3" t="s">
        <v>5692</v>
      </c>
      <c r="E4121" s="3" t="s">
        <v>5691</v>
      </c>
      <c r="F4121" s="3" t="s">
        <v>5692</v>
      </c>
      <c r="G4121" s="3" t="str">
        <f>IFERROR(__xludf.DUMMYFUNCTION("GOOGLETRANSLATE(D4121,""fr"",""es"")"),"Sapa")</f>
        <v>Sapa</v>
      </c>
    </row>
    <row r="4122">
      <c r="A4122" s="3">
        <v>1574.0</v>
      </c>
      <c r="B4122" s="3" t="s">
        <v>6738</v>
      </c>
      <c r="C4122" s="3" t="s">
        <v>190</v>
      </c>
      <c r="D4122" s="3" t="s">
        <v>5696</v>
      </c>
      <c r="E4122" s="3" t="s">
        <v>5697</v>
      </c>
      <c r="F4122" s="3" t="s">
        <v>5698</v>
      </c>
      <c r="G4122" s="3" t="str">
        <f>IFERROR(__xludf.DUMMYFUNCTION("GOOGLETRANSLATE(D4122,""fr"",""es"")"),"savia")</f>
        <v>savia</v>
      </c>
    </row>
    <row r="4123">
      <c r="A4123" s="3">
        <v>1575.0</v>
      </c>
      <c r="B4123" s="3" t="s">
        <v>6738</v>
      </c>
      <c r="C4123" s="3" t="s">
        <v>190</v>
      </c>
      <c r="D4123" s="3" t="s">
        <v>5701</v>
      </c>
      <c r="E4123" s="3" t="s">
        <v>5691</v>
      </c>
      <c r="F4123" s="3" t="s">
        <v>5692</v>
      </c>
      <c r="G4123" s="3" t="str">
        <f>IFERROR(__xludf.DUMMYFUNCTION("GOOGLETRANSLATE(D4123,""fr"",""es"")"),"sapas")</f>
        <v>sapas</v>
      </c>
    </row>
    <row r="4124">
      <c r="A4124" s="3">
        <v>1576.0</v>
      </c>
      <c r="B4124" s="3" t="s">
        <v>6738</v>
      </c>
      <c r="C4124" s="3" t="s">
        <v>190</v>
      </c>
      <c r="D4124" s="3" t="s">
        <v>5699</v>
      </c>
      <c r="E4124" s="3" t="s">
        <v>5700</v>
      </c>
      <c r="F4124" s="3" t="s">
        <v>5701</v>
      </c>
      <c r="G4124" s="3" t="str">
        <f>IFERROR(__xludf.DUMMYFUNCTION("GOOGLETRANSLATE(D4124,""fr"",""es"")"),"skasse")</f>
        <v>skasse</v>
      </c>
    </row>
    <row r="4125">
      <c r="A4125" s="3">
        <v>1577.0</v>
      </c>
      <c r="B4125" s="3" t="s">
        <v>6738</v>
      </c>
      <c r="C4125" s="3" t="s">
        <v>190</v>
      </c>
      <c r="D4125" s="3" t="s">
        <v>5702</v>
      </c>
      <c r="E4125" s="3" t="s">
        <v>5700</v>
      </c>
      <c r="F4125" s="3" t="s">
        <v>5701</v>
      </c>
      <c r="G4125" s="3" t="str">
        <f>IFERROR(__xludf.DUMMYFUNCTION("GOOGLETRANSLATE(D4125,""fr"",""es"")"),"pan de molde")</f>
        <v>pan de molde</v>
      </c>
    </row>
    <row r="4126">
      <c r="A4126" s="3">
        <v>1578.0</v>
      </c>
      <c r="B4126" s="3" t="s">
        <v>6738</v>
      </c>
      <c r="C4126" s="3" t="s">
        <v>190</v>
      </c>
      <c r="D4126" s="3" t="s">
        <v>5703</v>
      </c>
      <c r="E4126" s="3" t="s">
        <v>5700</v>
      </c>
      <c r="F4126" s="3" t="s">
        <v>5701</v>
      </c>
      <c r="G4126" s="3" t="str">
        <f>IFERROR(__xludf.DUMMYFUNCTION("GOOGLETRANSLATE(D4126,""fr"",""es"")"),"conejito")</f>
        <v>conejito</v>
      </c>
    </row>
    <row r="4127">
      <c r="A4127" s="3">
        <v>1579.0</v>
      </c>
      <c r="B4127" s="3" t="s">
        <v>6738</v>
      </c>
      <c r="C4127" s="3" t="s">
        <v>190</v>
      </c>
      <c r="D4127" s="3" t="s">
        <v>7771</v>
      </c>
      <c r="E4127" s="3" t="s">
        <v>5691</v>
      </c>
      <c r="F4127" s="3" t="s">
        <v>5692</v>
      </c>
      <c r="G4127" s="3" t="str">
        <f>IFERROR(__xludf.DUMMYFUNCTION("GOOGLETRANSLATE(D4127,""fr"",""es"")"),"savia")</f>
        <v>savia</v>
      </c>
    </row>
    <row r="4128">
      <c r="A4128" s="3">
        <v>1580.0</v>
      </c>
      <c r="B4128" s="3" t="s">
        <v>6738</v>
      </c>
      <c r="C4128" s="3" t="s">
        <v>190</v>
      </c>
      <c r="D4128" s="3" t="s">
        <v>5704</v>
      </c>
      <c r="E4128" s="3" t="s">
        <v>1426</v>
      </c>
      <c r="F4128" s="3" t="s">
        <v>1427</v>
      </c>
      <c r="G4128" s="3" t="str">
        <f>IFERROR(__xludf.DUMMYFUNCTION("GOOGLETRANSLATE(D4128,""fr"",""es"")"),"savia")</f>
        <v>savia</v>
      </c>
    </row>
    <row r="4129">
      <c r="A4129" s="3">
        <v>1581.0</v>
      </c>
      <c r="B4129" s="3" t="s">
        <v>6738</v>
      </c>
      <c r="C4129" s="3" t="s">
        <v>190</v>
      </c>
      <c r="D4129" s="3" t="s">
        <v>5705</v>
      </c>
      <c r="E4129" s="3" t="s">
        <v>1426</v>
      </c>
      <c r="F4129" s="3" t="s">
        <v>1427</v>
      </c>
      <c r="G4129" s="3" t="str">
        <f>IFERROR(__xludf.DUMMYFUNCTION("GOOGLETRANSLATE(D4129,""fr"",""es"")"),"socavado")</f>
        <v>socavado</v>
      </c>
    </row>
    <row r="4130">
      <c r="A4130" s="3">
        <v>1582.0</v>
      </c>
      <c r="B4130" s="3" t="s">
        <v>6738</v>
      </c>
      <c r="C4130" s="3" t="s">
        <v>190</v>
      </c>
      <c r="D4130" s="3" t="s">
        <v>5706</v>
      </c>
      <c r="E4130" s="3" t="s">
        <v>1426</v>
      </c>
      <c r="F4130" s="3" t="s">
        <v>1427</v>
      </c>
      <c r="G4130" s="3" t="str">
        <f>IFERROR(__xludf.DUMMYFUNCTION("GOOGLETRANSLATE(D4130,""fr"",""es"")"),"SAPS")</f>
        <v>SAPS</v>
      </c>
    </row>
    <row r="4131">
      <c r="A4131" s="3">
        <v>1583.0</v>
      </c>
      <c r="B4131" s="3" t="s">
        <v>6738</v>
      </c>
      <c r="C4131" s="3" t="s">
        <v>190</v>
      </c>
      <c r="D4131" s="3" t="s">
        <v>5707</v>
      </c>
      <c r="E4131" s="3" t="s">
        <v>7772</v>
      </c>
      <c r="F4131" s="3" t="s">
        <v>5709</v>
      </c>
      <c r="G4131" s="3" t="str">
        <f>IFERROR(__xludf.DUMMYFUNCTION("GOOGLETRANSLATE(D4131,""fr"",""es"")"),"sapina")</f>
        <v>sapina</v>
      </c>
    </row>
    <row r="4132">
      <c r="A4132" s="3">
        <v>1584.0</v>
      </c>
      <c r="B4132" s="3" t="s">
        <v>6738</v>
      </c>
      <c r="C4132" s="3" t="s">
        <v>190</v>
      </c>
      <c r="D4132" s="3" t="s">
        <v>5710</v>
      </c>
      <c r="E4132" s="3" t="s">
        <v>7772</v>
      </c>
      <c r="F4132" s="3" t="s">
        <v>5709</v>
      </c>
      <c r="G4132" s="3" t="str">
        <f>IFERROR(__xludf.DUMMYFUNCTION("GOOGLETRANSLATE(D4132,""fr"",""es"")"),"sapina")</f>
        <v>sapina</v>
      </c>
    </row>
    <row r="4133">
      <c r="A4133" s="3">
        <v>1585.0</v>
      </c>
      <c r="B4133" s="3" t="s">
        <v>6738</v>
      </c>
      <c r="C4133" s="3" t="s">
        <v>190</v>
      </c>
      <c r="D4133" s="3" t="s">
        <v>7773</v>
      </c>
      <c r="E4133" s="3" t="s">
        <v>5493</v>
      </c>
      <c r="F4133" s="3" t="s">
        <v>5494</v>
      </c>
      <c r="G4133" s="3" t="str">
        <f>IFERROR(__xludf.DUMMYFUNCTION("GOOGLETRANSLATE(D4133,""fr"",""es"")"),"saqua")</f>
        <v>saqua</v>
      </c>
    </row>
    <row r="4134">
      <c r="A4134" s="3">
        <v>1586.0</v>
      </c>
      <c r="B4134" s="3" t="s">
        <v>6738</v>
      </c>
      <c r="C4134" s="3" t="s">
        <v>190</v>
      </c>
      <c r="D4134" s="3" t="s">
        <v>5715</v>
      </c>
      <c r="E4134" s="3" t="s">
        <v>5499</v>
      </c>
      <c r="F4134" s="3" t="s">
        <v>5500</v>
      </c>
      <c r="G4134" s="3" t="str">
        <f>IFERROR(__xludf.DUMMYFUNCTION("GOOGLETRANSLATE(D4134,""fr"",""es"")"),"bolsa")</f>
        <v>bolsa</v>
      </c>
    </row>
    <row r="4135">
      <c r="A4135" s="3">
        <v>1587.0</v>
      </c>
      <c r="B4135" s="3" t="s">
        <v>6738</v>
      </c>
      <c r="C4135" s="3" t="s">
        <v>190</v>
      </c>
      <c r="D4135" s="3" t="s">
        <v>7774</v>
      </c>
      <c r="E4135" s="3" t="s">
        <v>5493</v>
      </c>
      <c r="F4135" s="3" t="s">
        <v>5494</v>
      </c>
      <c r="G4135" s="3" t="str">
        <f>IFERROR(__xludf.DUMMYFUNCTION("GOOGLETRANSLATE(D4135,""fr"",""es"")"),"saquas")</f>
        <v>saquas</v>
      </c>
    </row>
    <row r="4136">
      <c r="A4136" s="3">
        <v>1588.0</v>
      </c>
      <c r="B4136" s="3" t="s">
        <v>6738</v>
      </c>
      <c r="C4136" s="3" t="s">
        <v>190</v>
      </c>
      <c r="D4136" s="3" t="s">
        <v>5716</v>
      </c>
      <c r="E4136" s="3" t="s">
        <v>5502</v>
      </c>
      <c r="F4136" s="3" t="s">
        <v>5503</v>
      </c>
      <c r="G4136" s="3" t="str">
        <f>IFERROR(__xludf.DUMMYFUNCTION("GOOGLETRANSLATE(D4136,""fr"",""es"")"),"bolsa")</f>
        <v>bolsa</v>
      </c>
    </row>
    <row r="4137">
      <c r="A4137" s="3">
        <v>1589.0</v>
      </c>
      <c r="B4137" s="3" t="s">
        <v>6738</v>
      </c>
      <c r="C4137" s="3" t="s">
        <v>190</v>
      </c>
      <c r="D4137" s="3" t="s">
        <v>5717</v>
      </c>
      <c r="E4137" s="3" t="s">
        <v>5502</v>
      </c>
      <c r="F4137" s="3" t="s">
        <v>5503</v>
      </c>
      <c r="G4137" s="3" t="str">
        <f>IFERROR(__xludf.DUMMYFUNCTION("GOOGLETRANSLATE(D4137,""fr"",""es"")"),"bolsa")</f>
        <v>bolsa</v>
      </c>
    </row>
    <row r="4138">
      <c r="A4138" s="3">
        <v>1590.0</v>
      </c>
      <c r="B4138" s="3" t="s">
        <v>6738</v>
      </c>
      <c r="C4138" s="3" t="s">
        <v>190</v>
      </c>
      <c r="D4138" s="3" t="s">
        <v>5718</v>
      </c>
      <c r="E4138" s="3" t="s">
        <v>5502</v>
      </c>
      <c r="F4138" s="3" t="s">
        <v>5503</v>
      </c>
      <c r="G4138" s="3" t="str">
        <f>IFERROR(__xludf.DUMMYFUNCTION("GOOGLETRANSLATE(D4138,""fr"",""es"")"),"saquaso")</f>
        <v>saquaso</v>
      </c>
    </row>
    <row r="4139">
      <c r="A4139" s="3">
        <v>1591.0</v>
      </c>
      <c r="B4139" s="3" t="s">
        <v>6738</v>
      </c>
      <c r="C4139" s="3" t="s">
        <v>190</v>
      </c>
      <c r="D4139" s="3" t="s">
        <v>7775</v>
      </c>
      <c r="E4139" s="3" t="s">
        <v>5493</v>
      </c>
      <c r="F4139" s="3" t="s">
        <v>5494</v>
      </c>
      <c r="G4139" s="3" t="str">
        <f>IFERROR(__xludf.DUMMYFUNCTION("GOOGLETRANSLATE(D4139,""fr"",""es"")"),"sauquât")</f>
        <v>sauquât</v>
      </c>
    </row>
    <row r="4140">
      <c r="A4140" s="3">
        <v>1592.0</v>
      </c>
      <c r="B4140" s="3" t="s">
        <v>6738</v>
      </c>
      <c r="C4140" s="3" t="s">
        <v>190</v>
      </c>
      <c r="D4140" s="3" t="s">
        <v>5719</v>
      </c>
      <c r="E4140" s="3" t="s">
        <v>5460</v>
      </c>
      <c r="F4140" s="3" t="s">
        <v>5461</v>
      </c>
      <c r="G4140" s="3" t="str">
        <f>IFERROR(__xludf.DUMMYFUNCTION("GOOGLETRANSLATE(D4140,""fr"",""es"")"),"tedioso")</f>
        <v>tedioso</v>
      </c>
    </row>
    <row r="4141">
      <c r="A4141" s="3">
        <v>1593.0</v>
      </c>
      <c r="B4141" s="3" t="s">
        <v>6738</v>
      </c>
      <c r="C4141" s="3" t="s">
        <v>190</v>
      </c>
      <c r="D4141" s="3" t="s">
        <v>5720</v>
      </c>
      <c r="E4141" s="3" t="s">
        <v>5460</v>
      </c>
      <c r="F4141" s="3" t="s">
        <v>5461</v>
      </c>
      <c r="G4141" s="3" t="str">
        <f>IFERROR(__xludf.DUMMYFUNCTION("GOOGLETRANSLATE(D4141,""fr"",""es"")"),"ahorrar")</f>
        <v>ahorrar</v>
      </c>
    </row>
    <row r="4142">
      <c r="A4142" s="3">
        <v>1594.0</v>
      </c>
      <c r="B4142" s="3" t="s">
        <v>6738</v>
      </c>
      <c r="C4142" s="3" t="s">
        <v>190</v>
      </c>
      <c r="D4142" s="3" t="s">
        <v>5721</v>
      </c>
      <c r="E4142" s="3" t="s">
        <v>5460</v>
      </c>
      <c r="F4142" s="3" t="s">
        <v>5461</v>
      </c>
      <c r="G4142" s="3" t="str">
        <f>IFERROR(__xludf.DUMMYFUNCTION("GOOGLETRANSLATE(D4142,""fr"",""es"")"),"soda")</f>
        <v>soda</v>
      </c>
    </row>
    <row r="4143">
      <c r="A4143" s="3">
        <v>1595.0</v>
      </c>
      <c r="B4143" s="3" t="s">
        <v>6738</v>
      </c>
      <c r="C4143" s="3" t="s">
        <v>190</v>
      </c>
      <c r="D4143" s="3" t="s">
        <v>1452</v>
      </c>
      <c r="E4143" s="3" t="s">
        <v>1451</v>
      </c>
      <c r="F4143" s="3" t="s">
        <v>1452</v>
      </c>
      <c r="G4143" s="3" t="str">
        <f>IFERROR(__xludf.DUMMYFUNCTION("GOOGLETRANSLATE(D4143,""fr"",""es"")"),"SAS")</f>
        <v>SAS</v>
      </c>
      <c r="H4143" s="3" t="s">
        <v>5722</v>
      </c>
      <c r="I4143" s="3" t="s">
        <v>5723</v>
      </c>
      <c r="J4143" s="3" t="s">
        <v>5724</v>
      </c>
      <c r="K4143" s="3" t="s">
        <v>5725</v>
      </c>
    </row>
    <row r="4144">
      <c r="A4144" s="3">
        <v>1596.0</v>
      </c>
      <c r="B4144" s="3" t="s">
        <v>6738</v>
      </c>
      <c r="C4144" s="3" t="s">
        <v>190</v>
      </c>
      <c r="D4144" s="3" t="s">
        <v>5726</v>
      </c>
      <c r="E4144" s="3" t="s">
        <v>7776</v>
      </c>
      <c r="F4144" s="3" t="s">
        <v>5728</v>
      </c>
      <c r="G4144" s="3" t="str">
        <f>IFERROR(__xludf.DUMMYFUNCTION("GOOGLETRANSLATE(D4144,""fr"",""es"")"),"satánico")</f>
        <v>satánico</v>
      </c>
      <c r="H4144" s="3" t="s">
        <v>5729</v>
      </c>
      <c r="I4144" s="3" t="s">
        <v>5730</v>
      </c>
      <c r="J4144" s="3" t="s">
        <v>5731</v>
      </c>
      <c r="K4144" s="3" t="s">
        <v>5732</v>
      </c>
      <c r="L4144" s="3" t="s">
        <v>5733</v>
      </c>
      <c r="M4144" s="3" t="s">
        <v>5734</v>
      </c>
      <c r="N4144" s="3" t="s">
        <v>5735</v>
      </c>
      <c r="O4144" s="3" t="s">
        <v>5736</v>
      </c>
    </row>
    <row r="4145">
      <c r="A4145" s="3">
        <v>1597.0</v>
      </c>
      <c r="B4145" s="3" t="s">
        <v>6738</v>
      </c>
      <c r="C4145" s="3" t="s">
        <v>190</v>
      </c>
      <c r="D4145" s="3" t="s">
        <v>5737</v>
      </c>
      <c r="E4145" s="3" t="s">
        <v>7776</v>
      </c>
      <c r="F4145" s="3" t="s">
        <v>5728</v>
      </c>
      <c r="G4145" s="3" t="str">
        <f>IFERROR(__xludf.DUMMYFUNCTION("GOOGLETRANSLATE(D4145,""fr"",""es"")"),"satánico")</f>
        <v>satánico</v>
      </c>
    </row>
    <row r="4146">
      <c r="A4146" s="3">
        <v>1598.0</v>
      </c>
      <c r="B4146" s="3" t="s">
        <v>6738</v>
      </c>
      <c r="C4146" s="3" t="s">
        <v>190</v>
      </c>
      <c r="D4146" s="3" t="s">
        <v>7777</v>
      </c>
      <c r="E4146" s="3" t="s">
        <v>7778</v>
      </c>
      <c r="F4146" s="3" t="s">
        <v>7777</v>
      </c>
      <c r="G4146" s="3" t="str">
        <f>IFERROR(__xludf.DUMMYFUNCTION("GOOGLETRANSLATE(D4146,""fr"",""es"")"),"Satina")</f>
        <v>Satina</v>
      </c>
    </row>
    <row r="4147">
      <c r="A4147" s="3">
        <v>1599.0</v>
      </c>
      <c r="B4147" s="3" t="s">
        <v>6738</v>
      </c>
      <c r="C4147" s="3" t="s">
        <v>190</v>
      </c>
      <c r="D4147" s="3" t="s">
        <v>7779</v>
      </c>
      <c r="E4147" s="3" t="s">
        <v>7780</v>
      </c>
      <c r="F4147" s="3" t="s">
        <v>7781</v>
      </c>
      <c r="G4147" s="3" t="str">
        <f>IFERROR(__xludf.DUMMYFUNCTION("GOOGLETRANSLATE(D4147,""fr"",""es"")"),"satín")</f>
        <v>satín</v>
      </c>
    </row>
    <row r="4148">
      <c r="A4148" s="3">
        <v>1600.0</v>
      </c>
      <c r="B4148" s="3" t="s">
        <v>6738</v>
      </c>
      <c r="C4148" s="3" t="s">
        <v>190</v>
      </c>
      <c r="D4148" s="3" t="s">
        <v>7782</v>
      </c>
      <c r="E4148" s="3" t="s">
        <v>7778</v>
      </c>
      <c r="F4148" s="3" t="s">
        <v>7777</v>
      </c>
      <c r="G4148" s="3" t="str">
        <f>IFERROR(__xludf.DUMMYFUNCTION("GOOGLETRANSLATE(D4148,""fr"",""es"")"),"satinas")</f>
        <v>satinas</v>
      </c>
    </row>
    <row r="4149">
      <c r="A4149" s="3">
        <v>1601.0</v>
      </c>
      <c r="B4149" s="3" t="s">
        <v>6738</v>
      </c>
      <c r="C4149" s="3" t="s">
        <v>190</v>
      </c>
      <c r="D4149" s="3" t="s">
        <v>7783</v>
      </c>
      <c r="E4149" s="3" t="s">
        <v>7784</v>
      </c>
      <c r="F4149" s="3" t="s">
        <v>7782</v>
      </c>
      <c r="G4149" s="3" t="str">
        <f>IFERROR(__xludf.DUMMYFUNCTION("GOOGLETRANSLATE(D4149,""fr"",""es"")"),"satina")</f>
        <v>satina</v>
      </c>
    </row>
    <row r="4150">
      <c r="A4150" s="3">
        <v>1602.0</v>
      </c>
      <c r="B4150" s="3" t="s">
        <v>6738</v>
      </c>
      <c r="C4150" s="3" t="s">
        <v>190</v>
      </c>
      <c r="D4150" s="3" t="s">
        <v>7785</v>
      </c>
      <c r="E4150" s="3" t="s">
        <v>7784</v>
      </c>
      <c r="F4150" s="3" t="s">
        <v>7782</v>
      </c>
      <c r="G4150" s="3" t="str">
        <f>IFERROR(__xludf.DUMMYFUNCTION("GOOGLETRANSLATE(D4150,""fr"",""es"")"),"satinizar")</f>
        <v>satinizar</v>
      </c>
    </row>
    <row r="4151">
      <c r="A4151" s="3">
        <v>1603.0</v>
      </c>
      <c r="B4151" s="3" t="s">
        <v>6738</v>
      </c>
      <c r="C4151" s="3" t="s">
        <v>190</v>
      </c>
      <c r="D4151" s="3" t="s">
        <v>7786</v>
      </c>
      <c r="E4151" s="3" t="s">
        <v>7784</v>
      </c>
      <c r="F4151" s="3" t="s">
        <v>7782</v>
      </c>
      <c r="G4151" s="3" t="str">
        <f>IFERROR(__xludf.DUMMYFUNCTION("GOOGLETRANSLATE(D4151,""fr"",""es"")"),"Satinas")</f>
        <v>Satinas</v>
      </c>
    </row>
    <row r="4152">
      <c r="A4152" s="3">
        <v>1604.0</v>
      </c>
      <c r="B4152" s="3" t="s">
        <v>6738</v>
      </c>
      <c r="C4152" s="3" t="s">
        <v>190</v>
      </c>
      <c r="D4152" s="3" t="s">
        <v>7787</v>
      </c>
      <c r="E4152" s="3" t="s">
        <v>7778</v>
      </c>
      <c r="F4152" s="3" t="s">
        <v>7777</v>
      </c>
      <c r="G4152" s="3" t="str">
        <f>IFERROR(__xludf.DUMMYFUNCTION("GOOGLETRANSLATE(D4152,""fr"",""es"")"),"satén")</f>
        <v>satén</v>
      </c>
    </row>
    <row r="4153">
      <c r="A4153" s="3">
        <v>1605.0</v>
      </c>
      <c r="B4153" s="3" t="s">
        <v>6738</v>
      </c>
      <c r="C4153" s="3" t="s">
        <v>190</v>
      </c>
      <c r="D4153" s="3" t="s">
        <v>7788</v>
      </c>
      <c r="E4153" s="3" t="s">
        <v>7789</v>
      </c>
      <c r="F4153" s="3" t="s">
        <v>7790</v>
      </c>
      <c r="G4153" s="3" t="str">
        <f>IFERROR(__xludf.DUMMYFUNCTION("GOOGLETRANSLATE(D4153,""fr"",""es"")"),"satín")</f>
        <v>satín</v>
      </c>
    </row>
    <row r="4154">
      <c r="A4154" s="3">
        <v>1606.0</v>
      </c>
      <c r="B4154" s="3" t="s">
        <v>6738</v>
      </c>
      <c r="C4154" s="3" t="s">
        <v>190</v>
      </c>
      <c r="D4154" s="3" t="s">
        <v>7791</v>
      </c>
      <c r="E4154" s="3" t="s">
        <v>7789</v>
      </c>
      <c r="F4154" s="3" t="s">
        <v>7790</v>
      </c>
      <c r="G4154" s="3" t="str">
        <f>IFERROR(__xludf.DUMMYFUNCTION("GOOGLETRANSLATE(D4154,""fr"",""es"")"),"satinente")</f>
        <v>satinente</v>
      </c>
    </row>
    <row r="4155">
      <c r="A4155" s="3">
        <v>1607.0</v>
      </c>
      <c r="B4155" s="3" t="s">
        <v>6738</v>
      </c>
      <c r="C4155" s="3" t="s">
        <v>190</v>
      </c>
      <c r="D4155" s="3" t="s">
        <v>7792</v>
      </c>
      <c r="E4155" s="3" t="s">
        <v>7789</v>
      </c>
      <c r="F4155" s="3" t="s">
        <v>7790</v>
      </c>
      <c r="G4155" s="3" t="str">
        <f>IFERROR(__xludf.DUMMYFUNCTION("GOOGLETRANSLATE(D4155,""fr"",""es"")"),"satín")</f>
        <v>satín</v>
      </c>
    </row>
    <row r="4156">
      <c r="A4156" s="3">
        <v>1608.0</v>
      </c>
      <c r="B4156" s="3" t="s">
        <v>6738</v>
      </c>
      <c r="C4156" s="3" t="s">
        <v>190</v>
      </c>
      <c r="D4156" s="3" t="s">
        <v>5767</v>
      </c>
      <c r="E4156" s="3" t="s">
        <v>7793</v>
      </c>
      <c r="F4156" s="3" t="s">
        <v>5769</v>
      </c>
      <c r="G4156" s="3" t="str">
        <f>IFERROR(__xludf.DUMMYFUNCTION("GOOGLETRANSLATE(D4156,""fr"",""es"")"),"Recta")</f>
        <v>Recta</v>
      </c>
    </row>
    <row r="4157">
      <c r="A4157" s="3">
        <v>1609.0</v>
      </c>
      <c r="B4157" s="3" t="s">
        <v>6738</v>
      </c>
      <c r="C4157" s="3" t="s">
        <v>190</v>
      </c>
      <c r="D4157" s="3" t="s">
        <v>5770</v>
      </c>
      <c r="E4157" s="3" t="s">
        <v>1909</v>
      </c>
      <c r="F4157" s="3" t="s">
        <v>1910</v>
      </c>
      <c r="G4157" s="3" t="str">
        <f>IFERROR(__xludf.DUMMYFUNCTION("GOOGLETRANSLATE(D4157,""fr"",""es"")"),"sierra")</f>
        <v>sierra</v>
      </c>
      <c r="H4157" s="3" t="s">
        <v>5771</v>
      </c>
      <c r="I4157" s="3" t="s">
        <v>5772</v>
      </c>
      <c r="J4157" s="3" t="s">
        <v>5773</v>
      </c>
      <c r="K4157" s="3" t="s">
        <v>5774</v>
      </c>
      <c r="L4157" s="3" t="s">
        <v>5775</v>
      </c>
      <c r="M4157" s="3" t="s">
        <v>5776</v>
      </c>
      <c r="N4157" s="3" t="s">
        <v>5777</v>
      </c>
      <c r="O4157" s="3" t="s">
        <v>5776</v>
      </c>
      <c r="P4157" s="3" t="s">
        <v>5778</v>
      </c>
      <c r="Q4157" s="3" t="s">
        <v>5779</v>
      </c>
      <c r="R4157" s="3" t="s">
        <v>5776</v>
      </c>
      <c r="S4157" s="3" t="s">
        <v>5780</v>
      </c>
    </row>
    <row r="4158">
      <c r="A4158" s="3">
        <v>1610.0</v>
      </c>
      <c r="B4158" s="3" t="s">
        <v>6738</v>
      </c>
      <c r="C4158" s="3" t="s">
        <v>190</v>
      </c>
      <c r="D4158" s="3" t="s">
        <v>5781</v>
      </c>
      <c r="E4158" s="3" t="s">
        <v>1909</v>
      </c>
      <c r="F4158" s="3" t="s">
        <v>1910</v>
      </c>
      <c r="G4158" s="3" t="str">
        <f>IFERROR(__xludf.DUMMYFUNCTION("GOOGLETRANSLATE(D4158,""fr"",""es"")"),"científico")</f>
        <v>científico</v>
      </c>
    </row>
    <row r="4159">
      <c r="A4159" s="3">
        <v>1611.0</v>
      </c>
      <c r="B4159" s="3" t="s">
        <v>6738</v>
      </c>
      <c r="C4159" s="3" t="s">
        <v>190</v>
      </c>
      <c r="D4159" s="3" t="s">
        <v>5782</v>
      </c>
      <c r="E4159" s="3" t="s">
        <v>1909</v>
      </c>
      <c r="F4159" s="3" t="s">
        <v>1910</v>
      </c>
      <c r="G4159" s="3" t="str">
        <f>IFERROR(__xludf.DUMMYFUNCTION("GOOGLETRANSLATE(D4159,""fr"",""es"")"),"sierras")</f>
        <v>sierras</v>
      </c>
    </row>
    <row r="4160">
      <c r="A4160" s="3">
        <v>1612.0</v>
      </c>
      <c r="B4160" s="3" t="s">
        <v>6738</v>
      </c>
      <c r="C4160" s="3" t="s">
        <v>190</v>
      </c>
      <c r="D4160" s="3" t="s">
        <v>5825</v>
      </c>
      <c r="E4160" s="3" t="s">
        <v>7794</v>
      </c>
      <c r="F4160" s="3" t="s">
        <v>5828</v>
      </c>
      <c r="G4160" s="3" t="str">
        <f>IFERROR(__xludf.DUMMYFUNCTION("GOOGLETRANSLATE(D4160,""fr"",""es"")"),"Jábega")</f>
        <v>Jábega</v>
      </c>
      <c r="H4160" s="3" t="s">
        <v>5825</v>
      </c>
      <c r="I4160" s="3" t="s">
        <v>5825</v>
      </c>
      <c r="J4160" s="3" t="s">
        <v>5824</v>
      </c>
      <c r="K4160" s="3" t="s">
        <v>5826</v>
      </c>
      <c r="L4160" s="3" t="s">
        <v>5824</v>
      </c>
      <c r="M4160" s="3" t="s">
        <v>5826</v>
      </c>
    </row>
    <row r="4161">
      <c r="A4161" s="3">
        <v>1613.0</v>
      </c>
      <c r="B4161" s="3" t="s">
        <v>6738</v>
      </c>
      <c r="C4161" s="3" t="s">
        <v>190</v>
      </c>
      <c r="D4161" s="3" t="s">
        <v>5829</v>
      </c>
      <c r="E4161" s="3" t="s">
        <v>7794</v>
      </c>
      <c r="F4161" s="3" t="s">
        <v>5828</v>
      </c>
      <c r="G4161" s="3" t="str">
        <f>IFERROR(__xludf.DUMMYFUNCTION("GOOGLETRANSLATE(D4161,""fr"",""es"")"),"gamas")</f>
        <v>gamas</v>
      </c>
    </row>
    <row r="4162">
      <c r="A4162" s="3">
        <v>1614.0</v>
      </c>
      <c r="B4162" s="3" t="s">
        <v>6738</v>
      </c>
      <c r="C4162" s="3" t="s">
        <v>190</v>
      </c>
      <c r="D4162" s="3" t="s">
        <v>7795</v>
      </c>
      <c r="E4162" s="3" t="s">
        <v>1473</v>
      </c>
      <c r="F4162" s="3" t="s">
        <v>1474</v>
      </c>
      <c r="G4162" s="3" t="str">
        <f>IFERROR(__xludf.DUMMYFUNCTION("GOOGLETRANSLATE(D4162,""fr"",""es"")"),"cha")</f>
        <v>cha</v>
      </c>
      <c r="H4162" s="3" t="s">
        <v>6959</v>
      </c>
      <c r="I4162" s="3" t="s">
        <v>6960</v>
      </c>
    </row>
    <row r="4163">
      <c r="A4163" s="3">
        <v>1615.0</v>
      </c>
      <c r="B4163" s="3" t="s">
        <v>6738</v>
      </c>
      <c r="C4163" s="3" t="s">
        <v>190</v>
      </c>
      <c r="D4163" s="3" t="s">
        <v>7796</v>
      </c>
      <c r="E4163" s="3" t="s">
        <v>1473</v>
      </c>
      <c r="F4163" s="3" t="s">
        <v>1474</v>
      </c>
      <c r="G4163" s="3" t="str">
        <f>IFERROR(__xludf.DUMMYFUNCTION("GOOGLETRANSLATE(D4163,""fr"",""es"")"),"shahs")</f>
        <v>shahs</v>
      </c>
    </row>
    <row r="4164">
      <c r="A4164" s="3">
        <v>1616.0</v>
      </c>
      <c r="B4164" s="3" t="s">
        <v>6738</v>
      </c>
      <c r="C4164" s="3" t="s">
        <v>190</v>
      </c>
      <c r="D4164" s="3" t="s">
        <v>7797</v>
      </c>
      <c r="E4164" s="3" t="s">
        <v>7798</v>
      </c>
      <c r="F4164" s="3" t="s">
        <v>5870</v>
      </c>
      <c r="G4164" s="3" t="str">
        <f>IFERROR(__xludf.DUMMYFUNCTION("GOOGLETRANSLATE(D4164,""fr"",""es"")"),"shoota")</f>
        <v>shoota</v>
      </c>
    </row>
    <row r="4165">
      <c r="A4165" s="3">
        <v>1617.0</v>
      </c>
      <c r="B4165" s="3" t="s">
        <v>6738</v>
      </c>
      <c r="C4165" s="3" t="s">
        <v>190</v>
      </c>
      <c r="D4165" s="3" t="s">
        <v>5874</v>
      </c>
      <c r="E4165" s="3" t="s">
        <v>7799</v>
      </c>
      <c r="F4165" s="3" t="s">
        <v>5876</v>
      </c>
      <c r="G4165" s="3" t="str">
        <f>IFERROR(__xludf.DUMMYFUNCTION("GOOGLETRANSLATE(D4165,""fr"",""es"")"),"disparar")</f>
        <v>disparar</v>
      </c>
    </row>
    <row r="4166">
      <c r="A4166" s="3">
        <v>1618.0</v>
      </c>
      <c r="B4166" s="3" t="s">
        <v>6738</v>
      </c>
      <c r="C4166" s="3" t="s">
        <v>190</v>
      </c>
      <c r="D4166" s="3" t="s">
        <v>7800</v>
      </c>
      <c r="E4166" s="3" t="s">
        <v>7798</v>
      </c>
      <c r="F4166" s="3" t="s">
        <v>5870</v>
      </c>
      <c r="G4166" s="3" t="str">
        <f>IFERROR(__xludf.DUMMYFUNCTION("GOOGLETRANSLATE(D4166,""fr"",""es"")"),"sotos")</f>
        <v>sotos</v>
      </c>
    </row>
    <row r="4167">
      <c r="A4167" s="3">
        <v>1619.0</v>
      </c>
      <c r="B4167" s="3" t="s">
        <v>6738</v>
      </c>
      <c r="C4167" s="3" t="s">
        <v>190</v>
      </c>
      <c r="D4167" s="3" t="s">
        <v>5877</v>
      </c>
      <c r="E4167" s="3" t="s">
        <v>7801</v>
      </c>
      <c r="F4167" s="3" t="s">
        <v>5879</v>
      </c>
      <c r="G4167" s="3" t="str">
        <f>IFERROR(__xludf.DUMMYFUNCTION("GOOGLETRANSLATE(D4167,""fr"",""es"")"),"shootasse")</f>
        <v>shootasse</v>
      </c>
    </row>
    <row r="4168">
      <c r="A4168" s="3">
        <v>1620.0</v>
      </c>
      <c r="B4168" s="3" t="s">
        <v>6738</v>
      </c>
      <c r="C4168" s="3" t="s">
        <v>190</v>
      </c>
      <c r="D4168" s="3" t="s">
        <v>5880</v>
      </c>
      <c r="E4168" s="3" t="s">
        <v>7801</v>
      </c>
      <c r="F4168" s="3" t="s">
        <v>5879</v>
      </c>
      <c r="G4168" s="3" t="str">
        <f>IFERROR(__xludf.DUMMYFUNCTION("GOOGLETRANSLATE(D4168,""fr"",""es"")"),"Disparo")</f>
        <v>Disparo</v>
      </c>
    </row>
    <row r="4169">
      <c r="A4169" s="3">
        <v>1621.0</v>
      </c>
      <c r="B4169" s="3" t="s">
        <v>6738</v>
      </c>
      <c r="C4169" s="3" t="s">
        <v>190</v>
      </c>
      <c r="D4169" s="3" t="s">
        <v>5881</v>
      </c>
      <c r="E4169" s="3" t="s">
        <v>7801</v>
      </c>
      <c r="F4169" s="3" t="s">
        <v>5879</v>
      </c>
      <c r="G4169" s="3" t="str">
        <f>IFERROR(__xludf.DUMMYFUNCTION("GOOGLETRANSLATE(D4169,""fr"",""es"")"),"shootasse")</f>
        <v>shootasse</v>
      </c>
    </row>
    <row r="4170">
      <c r="A4170" s="3">
        <v>1622.0</v>
      </c>
      <c r="B4170" s="3" t="s">
        <v>6738</v>
      </c>
      <c r="C4170" s="3" t="s">
        <v>190</v>
      </c>
      <c r="D4170" s="3" t="s">
        <v>7802</v>
      </c>
      <c r="E4170" s="3" t="s">
        <v>7798</v>
      </c>
      <c r="F4170" s="3" t="s">
        <v>5870</v>
      </c>
      <c r="G4170" s="3" t="str">
        <f>IFERROR(__xludf.DUMMYFUNCTION("GOOGLETRANSLATE(D4170,""fr"",""es"")"),"disparar")</f>
        <v>disparar</v>
      </c>
    </row>
    <row r="4171">
      <c r="A4171" s="3">
        <v>1623.0</v>
      </c>
      <c r="B4171" s="3" t="s">
        <v>6738</v>
      </c>
      <c r="C4171" s="3" t="s">
        <v>190</v>
      </c>
      <c r="D4171" s="3" t="s">
        <v>1910</v>
      </c>
      <c r="E4171" s="3" t="s">
        <v>1909</v>
      </c>
      <c r="F4171" s="3" t="s">
        <v>1910</v>
      </c>
      <c r="G4171" s="3" t="str">
        <f>IFERROR(__xludf.DUMMYFUNCTION("GOOGLETRANSLATE(D4171,""fr"",""es"")"),"si")</f>
        <v>si</v>
      </c>
      <c r="H4171" s="3" t="s">
        <v>5882</v>
      </c>
      <c r="I4171" s="3" t="s">
        <v>5883</v>
      </c>
      <c r="J4171" s="3" t="s">
        <v>5884</v>
      </c>
      <c r="K4171" s="3" t="s">
        <v>5885</v>
      </c>
      <c r="L4171" s="3" t="s">
        <v>5886</v>
      </c>
      <c r="M4171" s="3" t="s">
        <v>5887</v>
      </c>
      <c r="N4171" s="3" t="s">
        <v>5888</v>
      </c>
      <c r="O4171" s="3" t="s">
        <v>5889</v>
      </c>
      <c r="P4171" s="3" t="s">
        <v>5890</v>
      </c>
      <c r="Q4171" s="3" t="s">
        <v>5891</v>
      </c>
      <c r="R4171" s="3" t="s">
        <v>5892</v>
      </c>
      <c r="S4171" s="3" t="s">
        <v>5893</v>
      </c>
    </row>
    <row r="4172">
      <c r="A4172" s="3">
        <v>1624.0</v>
      </c>
      <c r="B4172" s="3" t="s">
        <v>6738</v>
      </c>
      <c r="C4172" s="3" t="s">
        <v>190</v>
      </c>
      <c r="D4172" s="3" t="s">
        <v>5894</v>
      </c>
      <c r="E4172" s="3" t="s">
        <v>7803</v>
      </c>
      <c r="F4172" s="3" t="s">
        <v>2228</v>
      </c>
      <c r="G4172" s="3" t="str">
        <f>IFERROR(__xludf.DUMMYFUNCTION("GOOGLETRANSLATE(D4172,""fr"",""es"")"),"sic")</f>
        <v>sic</v>
      </c>
      <c r="H4172" s="3" t="s">
        <v>5894</v>
      </c>
    </row>
    <row r="4173">
      <c r="A4173" s="3">
        <v>1625.0</v>
      </c>
      <c r="B4173" s="3" t="s">
        <v>6738</v>
      </c>
      <c r="C4173" s="3" t="s">
        <v>190</v>
      </c>
      <c r="D4173" s="3" t="s">
        <v>5895</v>
      </c>
      <c r="E4173" s="3" t="s">
        <v>7804</v>
      </c>
      <c r="F4173" s="3" t="s">
        <v>5897</v>
      </c>
      <c r="G4173" s="3" t="str">
        <f>IFERROR(__xludf.DUMMYFUNCTION("GOOGLETRANSLATE(D4173,""fr"",""es"")"),"Sicilia")</f>
        <v>Sicilia</v>
      </c>
      <c r="H4173" s="3" t="s">
        <v>5898</v>
      </c>
      <c r="I4173" s="3" t="s">
        <v>5899</v>
      </c>
      <c r="J4173" s="3" t="s">
        <v>5898</v>
      </c>
      <c r="K4173" s="3" t="s">
        <v>5899</v>
      </c>
    </row>
    <row r="4174">
      <c r="A4174" s="3">
        <v>1626.0</v>
      </c>
      <c r="B4174" s="3" t="s">
        <v>6738</v>
      </c>
      <c r="C4174" s="3" t="s">
        <v>190</v>
      </c>
      <c r="D4174" s="3" t="s">
        <v>7805</v>
      </c>
      <c r="E4174" s="3" t="s">
        <v>5901</v>
      </c>
      <c r="F4174" s="3" t="s">
        <v>5902</v>
      </c>
      <c r="G4174" s="3" t="str">
        <f>IFERROR(__xludf.DUMMYFUNCTION("GOOGLETRANSLATE(D4174,""fr"",""es"")"),"señal")</f>
        <v>señal</v>
      </c>
    </row>
    <row r="4175">
      <c r="A4175" s="3">
        <v>1627.0</v>
      </c>
      <c r="B4175" s="3" t="s">
        <v>6738</v>
      </c>
      <c r="C4175" s="3" t="s">
        <v>190</v>
      </c>
      <c r="D4175" s="3" t="s">
        <v>5906</v>
      </c>
      <c r="E4175" s="3" t="s">
        <v>5907</v>
      </c>
      <c r="F4175" s="3" t="s">
        <v>5908</v>
      </c>
      <c r="G4175" s="3" t="str">
        <f>IFERROR(__xludf.DUMMYFUNCTION("GOOGLETRANSLATE(D4175,""fr"",""es"")"),"señal")</f>
        <v>señal</v>
      </c>
      <c r="H4175" s="3" t="s">
        <v>5909</v>
      </c>
      <c r="I4175" s="3" t="s">
        <v>5906</v>
      </c>
      <c r="J4175" s="3" t="s">
        <v>5910</v>
      </c>
      <c r="K4175" s="3" t="s">
        <v>5911</v>
      </c>
      <c r="L4175" s="3" t="s">
        <v>5906</v>
      </c>
      <c r="M4175" s="3" t="s">
        <v>5912</v>
      </c>
      <c r="N4175" s="3" t="s">
        <v>5906</v>
      </c>
      <c r="O4175" s="3" t="s">
        <v>5913</v>
      </c>
      <c r="P4175" s="3" t="s">
        <v>5909</v>
      </c>
      <c r="Q4175" s="3" t="s">
        <v>5909</v>
      </c>
      <c r="R4175" s="3" t="s">
        <v>5906</v>
      </c>
      <c r="S4175" s="3" t="s">
        <v>5906</v>
      </c>
    </row>
    <row r="4176">
      <c r="A4176" s="3">
        <v>1628.0</v>
      </c>
      <c r="B4176" s="3" t="s">
        <v>6738</v>
      </c>
      <c r="C4176" s="3" t="s">
        <v>190</v>
      </c>
      <c r="D4176" s="3" t="s">
        <v>7806</v>
      </c>
      <c r="E4176" s="3" t="s">
        <v>5915</v>
      </c>
      <c r="F4176" s="3" t="s">
        <v>5916</v>
      </c>
      <c r="G4176" s="3" t="str">
        <f>IFERROR(__xludf.DUMMYFUNCTION("GOOGLETRANSLATE(D4176,""fr"",""es"")"),"señalado")</f>
        <v>señalado</v>
      </c>
    </row>
    <row r="4177">
      <c r="A4177" s="3">
        <v>1629.0</v>
      </c>
      <c r="B4177" s="3" t="s">
        <v>6738</v>
      </c>
      <c r="C4177" s="3" t="s">
        <v>190</v>
      </c>
      <c r="D4177" s="3" t="s">
        <v>5920</v>
      </c>
      <c r="E4177" s="3" t="s">
        <v>5921</v>
      </c>
      <c r="F4177" s="3" t="s">
        <v>5922</v>
      </c>
      <c r="G4177" s="3" t="str">
        <f>IFERROR(__xludf.DUMMYFUNCTION("GOOGLETRANSLATE(D4177,""fr"",""es"")"),"señal")</f>
        <v>señal</v>
      </c>
    </row>
    <row r="4178">
      <c r="A4178" s="3">
        <v>1630.0</v>
      </c>
      <c r="B4178" s="3" t="s">
        <v>6738</v>
      </c>
      <c r="C4178" s="3" t="s">
        <v>190</v>
      </c>
      <c r="D4178" s="3" t="s">
        <v>7807</v>
      </c>
      <c r="E4178" s="3" t="s">
        <v>5915</v>
      </c>
      <c r="F4178" s="3" t="s">
        <v>5916</v>
      </c>
      <c r="G4178" s="3" t="str">
        <f>IFERROR(__xludf.DUMMYFUNCTION("GOOGLETRANSLATE(D4178,""fr"",""es"")"),"señales")</f>
        <v>señales</v>
      </c>
    </row>
    <row r="4179">
      <c r="A4179" s="3">
        <v>1631.0</v>
      </c>
      <c r="B4179" s="3" t="s">
        <v>6738</v>
      </c>
      <c r="C4179" s="3" t="s">
        <v>190</v>
      </c>
      <c r="D4179" s="3" t="s">
        <v>5923</v>
      </c>
      <c r="E4179" s="3" t="s">
        <v>5924</v>
      </c>
      <c r="F4179" s="3" t="s">
        <v>5925</v>
      </c>
      <c r="G4179" s="3" t="str">
        <f>IFERROR(__xludf.DUMMYFUNCTION("GOOGLETRANSLATE(D4179,""fr"",""es"")"),"señal")</f>
        <v>señal</v>
      </c>
    </row>
    <row r="4180">
      <c r="A4180" s="3">
        <v>1632.0</v>
      </c>
      <c r="B4180" s="3" t="s">
        <v>6738</v>
      </c>
      <c r="C4180" s="3" t="s">
        <v>190</v>
      </c>
      <c r="D4180" s="3" t="s">
        <v>5926</v>
      </c>
      <c r="E4180" s="3" t="s">
        <v>5924</v>
      </c>
      <c r="F4180" s="3" t="s">
        <v>5925</v>
      </c>
      <c r="G4180" s="3" t="str">
        <f>IFERROR(__xludf.DUMMYFUNCTION("GOOGLETRANSLATE(D4180,""fr"",""es"")"),"señal")</f>
        <v>señal</v>
      </c>
    </row>
    <row r="4181">
      <c r="A4181" s="3">
        <v>1633.0</v>
      </c>
      <c r="B4181" s="3" t="s">
        <v>6738</v>
      </c>
      <c r="C4181" s="3" t="s">
        <v>190</v>
      </c>
      <c r="D4181" s="3" t="s">
        <v>5927</v>
      </c>
      <c r="E4181" s="3" t="s">
        <v>5924</v>
      </c>
      <c r="F4181" s="3" t="s">
        <v>5925</v>
      </c>
      <c r="G4181" s="3" t="str">
        <f>IFERROR(__xludf.DUMMYFUNCTION("GOOGLETRANSLATE(D4181,""fr"",""es"")"),"señal")</f>
        <v>señal</v>
      </c>
    </row>
    <row r="4182">
      <c r="A4182" s="3">
        <v>1634.0</v>
      </c>
      <c r="B4182" s="3" t="s">
        <v>6738</v>
      </c>
      <c r="C4182" s="3" t="s">
        <v>190</v>
      </c>
      <c r="D4182" s="3" t="s">
        <v>7808</v>
      </c>
      <c r="E4182" s="3" t="s">
        <v>5915</v>
      </c>
      <c r="F4182" s="3" t="s">
        <v>5916</v>
      </c>
      <c r="G4182" s="3" t="str">
        <f>IFERROR(__xludf.DUMMYFUNCTION("GOOGLETRANSLATE(D4182,""fr"",""es"")"),"señal")</f>
        <v>señal</v>
      </c>
    </row>
    <row r="4183">
      <c r="A4183" s="3">
        <v>1635.0</v>
      </c>
      <c r="B4183" s="3" t="s">
        <v>6738</v>
      </c>
      <c r="C4183" s="3" t="s">
        <v>190</v>
      </c>
      <c r="D4183" s="3" t="s">
        <v>5928</v>
      </c>
      <c r="E4183" s="3" t="s">
        <v>5907</v>
      </c>
      <c r="F4183" s="3" t="s">
        <v>5908</v>
      </c>
      <c r="G4183" s="3" t="str">
        <f>IFERROR(__xludf.DUMMYFUNCTION("GOOGLETRANSLATE(D4183,""fr"",""es"")"),"reporte")</f>
        <v>reporte</v>
      </c>
    </row>
    <row r="4184">
      <c r="A4184" s="3">
        <v>1636.0</v>
      </c>
      <c r="B4184" s="3" t="s">
        <v>6738</v>
      </c>
      <c r="C4184" s="3" t="s">
        <v>190</v>
      </c>
      <c r="D4184" s="3" t="s">
        <v>5929</v>
      </c>
      <c r="E4184" s="3" t="s">
        <v>5907</v>
      </c>
      <c r="F4184" s="3" t="s">
        <v>5908</v>
      </c>
      <c r="G4184" s="3" t="str">
        <f>IFERROR(__xludf.DUMMYFUNCTION("GOOGLETRANSLATE(D4184,""fr"",""es"")"),"reporte")</f>
        <v>reporte</v>
      </c>
    </row>
    <row r="4185">
      <c r="A4185" s="3">
        <v>1637.0</v>
      </c>
      <c r="B4185" s="3" t="s">
        <v>6738</v>
      </c>
      <c r="C4185" s="3" t="s">
        <v>190</v>
      </c>
      <c r="D4185" s="3" t="s">
        <v>5930</v>
      </c>
      <c r="E4185" s="3" t="s">
        <v>5907</v>
      </c>
      <c r="F4185" s="3" t="s">
        <v>5908</v>
      </c>
      <c r="G4185" s="3" t="str">
        <f>IFERROR(__xludf.DUMMYFUNCTION("GOOGLETRANSLATE(D4185,""fr"",""es"")"),"informes")</f>
        <v>informes</v>
      </c>
    </row>
    <row r="4186">
      <c r="A4186" s="3">
        <v>1638.0</v>
      </c>
      <c r="B4186" s="3" t="s">
        <v>6738</v>
      </c>
      <c r="C4186" s="3" t="s">
        <v>190</v>
      </c>
      <c r="D4186" s="3" t="s">
        <v>5931</v>
      </c>
      <c r="E4186" s="3" t="s">
        <v>5932</v>
      </c>
      <c r="F4186" s="3" t="s">
        <v>5933</v>
      </c>
      <c r="G4186" s="3" t="str">
        <f>IFERROR(__xludf.DUMMYFUNCTION("GOOGLETRANSLATE(D4186,""fr"",""es"")"),"señal")</f>
        <v>señal</v>
      </c>
    </row>
    <row r="4187">
      <c r="A4187" s="3">
        <v>1639.0</v>
      </c>
      <c r="B4187" s="3" t="s">
        <v>6738</v>
      </c>
      <c r="C4187" s="3" t="s">
        <v>190</v>
      </c>
      <c r="D4187" s="3" t="s">
        <v>7809</v>
      </c>
      <c r="E4187" s="3" t="s">
        <v>5901</v>
      </c>
      <c r="F4187" s="3" t="s">
        <v>5902</v>
      </c>
      <c r="G4187" s="3" t="str">
        <f>IFERROR(__xludf.DUMMYFUNCTION("GOOGLETRANSLATE(D4187,""fr"",""es"")"),"firma")</f>
        <v>firma</v>
      </c>
    </row>
    <row r="4188">
      <c r="A4188" s="3">
        <v>1640.0</v>
      </c>
      <c r="B4188" s="3" t="s">
        <v>6738</v>
      </c>
      <c r="C4188" s="3" t="s">
        <v>190</v>
      </c>
      <c r="D4188" s="3" t="s">
        <v>5934</v>
      </c>
      <c r="E4188" s="3" t="s">
        <v>5935</v>
      </c>
      <c r="F4188" s="3" t="s">
        <v>5936</v>
      </c>
      <c r="G4188" s="3" t="str">
        <f>IFERROR(__xludf.DUMMYFUNCTION("GOOGLETRANSLATE(D4188,""fr"",""es"")"),"señalización")</f>
        <v>señalización</v>
      </c>
    </row>
    <row r="4189">
      <c r="A4189" s="3">
        <v>1641.0</v>
      </c>
      <c r="B4189" s="3" t="s">
        <v>6738</v>
      </c>
      <c r="C4189" s="3" t="s">
        <v>190</v>
      </c>
      <c r="D4189" s="3" t="s">
        <v>5937</v>
      </c>
      <c r="E4189" s="3" t="s">
        <v>5935</v>
      </c>
      <c r="F4189" s="3" t="s">
        <v>5936</v>
      </c>
      <c r="G4189" s="3" t="str">
        <f>IFERROR(__xludf.DUMMYFUNCTION("GOOGLETRANSLATE(D4189,""fr"",""es"")"),"señal")</f>
        <v>señal</v>
      </c>
    </row>
    <row r="4190">
      <c r="A4190" s="3">
        <v>1642.0</v>
      </c>
      <c r="B4190" s="3" t="s">
        <v>6738</v>
      </c>
      <c r="C4190" s="3" t="s">
        <v>190</v>
      </c>
      <c r="D4190" s="3" t="s">
        <v>5938</v>
      </c>
      <c r="E4190" s="3" t="s">
        <v>5935</v>
      </c>
      <c r="F4190" s="3" t="s">
        <v>5936</v>
      </c>
      <c r="G4190" s="3" t="str">
        <f>IFERROR(__xludf.DUMMYFUNCTION("GOOGLETRANSLATE(D4190,""fr"",""es"")"),"señal")</f>
        <v>señal</v>
      </c>
    </row>
    <row r="4191">
      <c r="A4191" s="3">
        <v>1643.0</v>
      </c>
      <c r="B4191" s="3" t="s">
        <v>6738</v>
      </c>
      <c r="C4191" s="3" t="s">
        <v>190</v>
      </c>
      <c r="D4191" s="3" t="s">
        <v>7810</v>
      </c>
      <c r="E4191" s="3" t="s">
        <v>5901</v>
      </c>
      <c r="F4191" s="3" t="s">
        <v>5902</v>
      </c>
      <c r="G4191" s="3" t="str">
        <f>IFERROR(__xludf.DUMMYFUNCTION("GOOGLETRANSLATE(D4191,""fr"",""es"")"),"señal")</f>
        <v>señal</v>
      </c>
    </row>
    <row r="4192">
      <c r="A4192" s="3">
        <v>1644.0</v>
      </c>
      <c r="B4192" s="3" t="s">
        <v>6738</v>
      </c>
      <c r="C4192" s="3" t="s">
        <v>190</v>
      </c>
      <c r="D4192" s="3" t="s">
        <v>5939</v>
      </c>
      <c r="E4192" s="3" t="s">
        <v>2243</v>
      </c>
      <c r="F4192" s="3" t="s">
        <v>2244</v>
      </c>
      <c r="G4192" s="3" t="str">
        <f>IFERROR(__xludf.DUMMYFUNCTION("GOOGLETRANSLATE(D4192,""fr"",""es"")"),"signo")</f>
        <v>signo</v>
      </c>
      <c r="H4192" s="3" t="s">
        <v>5909</v>
      </c>
      <c r="I4192" s="3" t="s">
        <v>5940</v>
      </c>
      <c r="J4192" s="3" t="s">
        <v>5906</v>
      </c>
      <c r="K4192" s="3" t="s">
        <v>5913</v>
      </c>
      <c r="L4192" s="3" t="s">
        <v>5909</v>
      </c>
      <c r="M4192" s="3" t="s">
        <v>5909</v>
      </c>
      <c r="N4192" s="3" t="s">
        <v>5940</v>
      </c>
      <c r="O4192" s="3" t="s">
        <v>5909</v>
      </c>
      <c r="P4192" s="3" t="s">
        <v>5909</v>
      </c>
      <c r="Q4192" s="3" t="s">
        <v>5941</v>
      </c>
      <c r="R4192" s="3" t="s">
        <v>5942</v>
      </c>
      <c r="S4192" s="3" t="s">
        <v>5909</v>
      </c>
      <c r="T4192" s="3" t="s">
        <v>5943</v>
      </c>
      <c r="U4192" s="3" t="s">
        <v>5944</v>
      </c>
      <c r="V4192" s="3" t="s">
        <v>5945</v>
      </c>
      <c r="W4192" s="3" t="s">
        <v>5906</v>
      </c>
      <c r="X4192" s="3" t="s">
        <v>5946</v>
      </c>
      <c r="Y4192" s="3" t="s">
        <v>5909</v>
      </c>
      <c r="Z4192" s="3" t="s">
        <v>5909</v>
      </c>
    </row>
    <row r="4193">
      <c r="A4193" s="3">
        <v>1645.0</v>
      </c>
      <c r="B4193" s="3" t="s">
        <v>6738</v>
      </c>
      <c r="C4193" s="3" t="s">
        <v>190</v>
      </c>
      <c r="D4193" s="3" t="s">
        <v>5947</v>
      </c>
      <c r="E4193" s="3" t="s">
        <v>2243</v>
      </c>
      <c r="F4193" s="3" t="s">
        <v>2244</v>
      </c>
      <c r="G4193" s="3" t="str">
        <f>IFERROR(__xludf.DUMMYFUNCTION("GOOGLETRANSLATE(D4193,""fr"",""es"")"),"señal")</f>
        <v>señal</v>
      </c>
    </row>
    <row r="4194">
      <c r="A4194" s="3">
        <v>1646.0</v>
      </c>
      <c r="B4194" s="3" t="s">
        <v>6738</v>
      </c>
      <c r="C4194" s="3" t="s">
        <v>190</v>
      </c>
      <c r="D4194" s="3" t="s">
        <v>5948</v>
      </c>
      <c r="E4194" s="3" t="s">
        <v>2243</v>
      </c>
      <c r="F4194" s="3" t="s">
        <v>2244</v>
      </c>
      <c r="G4194" s="3" t="str">
        <f>IFERROR(__xludf.DUMMYFUNCTION("GOOGLETRANSLATE(D4194,""fr"",""es"")"),"señales")</f>
        <v>señales</v>
      </c>
    </row>
    <row r="4195">
      <c r="A4195" s="3">
        <v>1647.0</v>
      </c>
      <c r="B4195" s="3" t="s">
        <v>6738</v>
      </c>
      <c r="C4195" s="3" t="s">
        <v>190</v>
      </c>
      <c r="D4195" s="3" t="s">
        <v>5953</v>
      </c>
      <c r="E4195" s="3" t="s">
        <v>7803</v>
      </c>
      <c r="F4195" s="3" t="s">
        <v>2228</v>
      </c>
      <c r="G4195" s="3" t="str">
        <f>IFERROR(__xludf.DUMMYFUNCTION("GOOGLETRANSLATE(D4195,""fr"",""es"")"),"sij")</f>
        <v>sij</v>
      </c>
    </row>
    <row r="4196">
      <c r="A4196" s="3">
        <v>1648.0</v>
      </c>
      <c r="B4196" s="3" t="s">
        <v>6738</v>
      </c>
      <c r="C4196" s="3" t="s">
        <v>190</v>
      </c>
      <c r="D4196" s="3" t="s">
        <v>1913</v>
      </c>
      <c r="E4196" s="3" t="s">
        <v>7040</v>
      </c>
      <c r="F4196" s="3" t="s">
        <v>1913</v>
      </c>
      <c r="G4196" s="3" t="str">
        <f>IFERROR(__xludf.DUMMYFUNCTION("GOOGLETRANSLATE(D4196,""fr"",""es"")"),"Sil")</f>
        <v>Sil</v>
      </c>
    </row>
    <row r="4197">
      <c r="A4197" s="3">
        <v>1649.0</v>
      </c>
      <c r="B4197" s="3" t="s">
        <v>6738</v>
      </c>
      <c r="C4197" s="3" t="s">
        <v>190</v>
      </c>
      <c r="D4197" s="3" t="s">
        <v>5954</v>
      </c>
      <c r="E4197" s="3" t="s">
        <v>7041</v>
      </c>
      <c r="F4197" s="3" t="s">
        <v>1924</v>
      </c>
      <c r="G4197" s="3" t="str">
        <f>IFERROR(__xludf.DUMMYFUNCTION("GOOGLETRANSLATE(D4197,""fr"",""es"")"),"sílice")</f>
        <v>sílice</v>
      </c>
      <c r="H4197" s="3" t="s">
        <v>5955</v>
      </c>
      <c r="I4197" s="3" t="s">
        <v>5956</v>
      </c>
      <c r="J4197" s="3" t="s">
        <v>5957</v>
      </c>
    </row>
    <row r="4198">
      <c r="A4198" s="3">
        <v>1650.0</v>
      </c>
      <c r="B4198" s="3" t="s">
        <v>6738</v>
      </c>
      <c r="C4198" s="3" t="s">
        <v>190</v>
      </c>
      <c r="D4198" s="3" t="s">
        <v>5958</v>
      </c>
      <c r="E4198" s="3" t="s">
        <v>7040</v>
      </c>
      <c r="F4198" s="3" t="s">
        <v>1913</v>
      </c>
      <c r="G4198" s="3" t="str">
        <f>IFERROR(__xludf.DUMMYFUNCTION("GOOGLETRANSLATE(D4198,""fr"",""es"")"),"si ellos")</f>
        <v>si ellos</v>
      </c>
    </row>
    <row r="4199">
      <c r="A4199" s="3">
        <v>1651.0</v>
      </c>
      <c r="B4199" s="3" t="s">
        <v>6738</v>
      </c>
      <c r="C4199" s="3" t="s">
        <v>190</v>
      </c>
      <c r="D4199" s="3" t="s">
        <v>5959</v>
      </c>
      <c r="E4199" s="3" t="s">
        <v>7811</v>
      </c>
      <c r="F4199" s="3" t="s">
        <v>5959</v>
      </c>
      <c r="G4199" s="3" t="str">
        <f>IFERROR(__xludf.DUMMYFUNCTION("GOOGLETRANSLATE(D4199,""fr"",""es"")"),"imitación")</f>
        <v>imitación</v>
      </c>
    </row>
    <row r="4200">
      <c r="A4200" s="3">
        <v>1652.0</v>
      </c>
      <c r="B4200" s="3" t="s">
        <v>6738</v>
      </c>
      <c r="C4200" s="3" t="s">
        <v>190</v>
      </c>
      <c r="D4200" s="3" t="s">
        <v>5961</v>
      </c>
      <c r="E4200" s="3" t="s">
        <v>7811</v>
      </c>
      <c r="F4200" s="3" t="s">
        <v>5959</v>
      </c>
      <c r="G4200" s="3" t="str">
        <f>IFERROR(__xludf.DUMMYFUNCTION("GOOGLETRANSLATE(D4200,""fr"",""es"")"),"similares")</f>
        <v>similares</v>
      </c>
    </row>
    <row r="4201">
      <c r="A4201" s="3">
        <v>1653.0</v>
      </c>
      <c r="B4201" s="3" t="s">
        <v>6738</v>
      </c>
      <c r="C4201" s="3" t="s">
        <v>190</v>
      </c>
      <c r="D4201" s="3" t="s">
        <v>5962</v>
      </c>
      <c r="E4201" s="3" t="s">
        <v>7812</v>
      </c>
      <c r="F4201" s="3" t="s">
        <v>5964</v>
      </c>
      <c r="G4201" s="3" t="str">
        <f>IFERROR(__xludf.DUMMYFUNCTION("GOOGLETRANSLATE(D4201,""fr"",""es"")"),"simún")</f>
        <v>simún</v>
      </c>
      <c r="H4201" s="3" t="s">
        <v>5965</v>
      </c>
      <c r="I4201" s="3" t="s">
        <v>5966</v>
      </c>
      <c r="J4201" s="3" t="s">
        <v>5967</v>
      </c>
    </row>
    <row r="4202">
      <c r="A4202" s="3">
        <v>1654.0</v>
      </c>
      <c r="B4202" s="3" t="s">
        <v>6738</v>
      </c>
      <c r="C4202" s="3" t="s">
        <v>190</v>
      </c>
      <c r="D4202" s="3" t="s">
        <v>5968</v>
      </c>
      <c r="E4202" s="3" t="s">
        <v>7812</v>
      </c>
      <c r="F4202" s="3" t="s">
        <v>5964</v>
      </c>
      <c r="G4202" s="3" t="str">
        <f>IFERROR(__xludf.DUMMYFUNCTION("GOOGLETRANSLATE(D4202,""fr"",""es"")"),"Simouns")</f>
        <v>Simouns</v>
      </c>
    </row>
    <row r="4203">
      <c r="A4203" s="3">
        <v>1655.0</v>
      </c>
      <c r="B4203" s="3" t="s">
        <v>6738</v>
      </c>
      <c r="C4203" s="3" t="s">
        <v>190</v>
      </c>
      <c r="D4203" s="3" t="s">
        <v>5969</v>
      </c>
      <c r="E4203" s="3" t="s">
        <v>7813</v>
      </c>
      <c r="F4203" s="3" t="s">
        <v>5971</v>
      </c>
      <c r="G4203" s="3" t="str">
        <f>IFERROR(__xludf.DUMMYFUNCTION("GOOGLETRANSLATE(D4203,""fr"",""es"")"),"Sinaí")</f>
        <v>Sinaí</v>
      </c>
      <c r="H4203" s="3" t="s">
        <v>5972</v>
      </c>
      <c r="I4203" s="3" t="s">
        <v>5973</v>
      </c>
      <c r="J4203" s="3" t="s">
        <v>5972</v>
      </c>
      <c r="K4203" s="3" t="s">
        <v>5974</v>
      </c>
      <c r="L4203" s="3" t="s">
        <v>5972</v>
      </c>
      <c r="M4203" s="3" t="s">
        <v>5975</v>
      </c>
    </row>
    <row r="4204">
      <c r="A4204" s="3">
        <v>1656.0</v>
      </c>
      <c r="B4204" s="3" t="s">
        <v>6738</v>
      </c>
      <c r="C4204" s="3" t="s">
        <v>190</v>
      </c>
      <c r="D4204" s="3" t="s">
        <v>5988</v>
      </c>
      <c r="E4204" s="3" t="s">
        <v>1909</v>
      </c>
      <c r="F4204" s="3" t="s">
        <v>1910</v>
      </c>
      <c r="G4204" s="3" t="str">
        <f>IFERROR(__xludf.DUMMYFUNCTION("GOOGLETRANSLATE(D4204,""fr"",""es"")"),"hermana")</f>
        <v>hermana</v>
      </c>
      <c r="H4204" s="3" t="s">
        <v>5989</v>
      </c>
      <c r="I4204" s="3" t="s">
        <v>5990</v>
      </c>
      <c r="J4204" s="3" t="s">
        <v>5991</v>
      </c>
      <c r="K4204" s="3" t="s">
        <v>5992</v>
      </c>
      <c r="L4204" s="3" t="s">
        <v>5993</v>
      </c>
      <c r="M4204" s="3" t="s">
        <v>5988</v>
      </c>
    </row>
    <row r="4205">
      <c r="A4205" s="3">
        <v>1657.0</v>
      </c>
      <c r="B4205" s="3" t="s">
        <v>6738</v>
      </c>
      <c r="C4205" s="3" t="s">
        <v>190</v>
      </c>
      <c r="D4205" s="3" t="s">
        <v>7814</v>
      </c>
      <c r="E4205" s="3" t="s">
        <v>7815</v>
      </c>
      <c r="F4205" s="3" t="s">
        <v>7816</v>
      </c>
      <c r="G4205" s="3" t="str">
        <f>IFERROR(__xludf.DUMMYFUNCTION("GOOGLETRANSLATE(D4205,""fr"",""es"")"),"sentarse en")</f>
        <v>sentarse en</v>
      </c>
      <c r="H4205" s="3" t="s">
        <v>7814</v>
      </c>
    </row>
    <row r="4206">
      <c r="A4206" s="3">
        <v>1658.0</v>
      </c>
      <c r="B4206" s="3" t="s">
        <v>6738</v>
      </c>
      <c r="C4206" s="3" t="s">
        <v>190</v>
      </c>
      <c r="D4206" s="3" t="s">
        <v>5994</v>
      </c>
      <c r="E4206" s="3" t="s">
        <v>5668</v>
      </c>
      <c r="F4206" s="3" t="s">
        <v>5669</v>
      </c>
      <c r="G4206" s="3" t="str">
        <f>IFERROR(__xludf.DUMMYFUNCTION("GOOGLETRANSLATE(D4206,""fr"",""es"")"),"sopa")</f>
        <v>sopa</v>
      </c>
      <c r="H4206" s="3" t="s">
        <v>5995</v>
      </c>
    </row>
    <row r="4207">
      <c r="A4207" s="3">
        <v>1659.0</v>
      </c>
      <c r="B4207" s="3" t="s">
        <v>6738</v>
      </c>
      <c r="C4207" s="3" t="s">
        <v>190</v>
      </c>
      <c r="D4207" s="3" t="s">
        <v>5996</v>
      </c>
      <c r="E4207" s="3" t="s">
        <v>7817</v>
      </c>
      <c r="F4207" s="3" t="s">
        <v>5998</v>
      </c>
      <c r="G4207" s="3" t="str">
        <f>IFERROR(__xludf.DUMMYFUNCTION("GOOGLETRANSLATE(D4207,""fr"",""es"")"),"tocón")</f>
        <v>tocón</v>
      </c>
      <c r="H4207" s="3" t="s">
        <v>5999</v>
      </c>
      <c r="I4207" s="3" t="s">
        <v>6000</v>
      </c>
      <c r="J4207" s="3" t="s">
        <v>6001</v>
      </c>
      <c r="K4207" s="3" t="s">
        <v>6002</v>
      </c>
      <c r="L4207" s="3" t="s">
        <v>6003</v>
      </c>
      <c r="M4207" s="3" t="s">
        <v>6004</v>
      </c>
      <c r="N4207" s="3" t="s">
        <v>6005</v>
      </c>
    </row>
    <row r="4208">
      <c r="A4208" s="3">
        <v>1660.0</v>
      </c>
      <c r="B4208" s="3" t="s">
        <v>6738</v>
      </c>
      <c r="C4208" s="3" t="s">
        <v>190</v>
      </c>
      <c r="D4208" s="3" t="s">
        <v>6006</v>
      </c>
      <c r="E4208" s="3" t="s">
        <v>7817</v>
      </c>
      <c r="F4208" s="3" t="s">
        <v>5998</v>
      </c>
      <c r="G4208" s="3" t="str">
        <f>IFERROR(__xludf.DUMMYFUNCTION("GOOGLETRANSLATE(D4208,""fr"",""es"")"),"presiones")</f>
        <v>presiones</v>
      </c>
    </row>
    <row r="4209">
      <c r="A4209" s="3">
        <v>1661.0</v>
      </c>
      <c r="B4209" s="3" t="s">
        <v>6738</v>
      </c>
      <c r="C4209" s="3" t="s">
        <v>190</v>
      </c>
      <c r="D4209" s="3" t="s">
        <v>6007</v>
      </c>
      <c r="E4209" s="3" t="s">
        <v>7818</v>
      </c>
      <c r="F4209" s="3" t="s">
        <v>6009</v>
      </c>
      <c r="G4209" s="3" t="str">
        <f>IFERROR(__xludf.DUMMYFUNCTION("GOOGLETRANSLATE(D4209,""fr"",""es"")"),"preocuparse")</f>
        <v>preocuparse</v>
      </c>
      <c r="H4209" s="3" t="s">
        <v>6010</v>
      </c>
      <c r="I4209" s="3" t="s">
        <v>6011</v>
      </c>
      <c r="J4209" s="3" t="s">
        <v>6012</v>
      </c>
      <c r="K4209" s="3" t="s">
        <v>6010</v>
      </c>
      <c r="L4209" s="3" t="s">
        <v>6013</v>
      </c>
      <c r="M4209" s="3" t="s">
        <v>6014</v>
      </c>
      <c r="N4209" s="3" t="s">
        <v>6015</v>
      </c>
      <c r="O4209" s="3" t="s">
        <v>6010</v>
      </c>
      <c r="P4209" s="3" t="s">
        <v>3336</v>
      </c>
      <c r="Q4209" s="3" t="s">
        <v>6016</v>
      </c>
      <c r="R4209" s="3" t="s">
        <v>6017</v>
      </c>
      <c r="S4209" s="3" t="s">
        <v>6018</v>
      </c>
      <c r="T4209" s="3" t="s">
        <v>6019</v>
      </c>
      <c r="U4209" s="3" t="s">
        <v>6020</v>
      </c>
    </row>
    <row r="4210">
      <c r="A4210" s="3">
        <v>1662.0</v>
      </c>
      <c r="B4210" s="3" t="s">
        <v>6738</v>
      </c>
      <c r="C4210" s="3" t="s">
        <v>190</v>
      </c>
      <c r="D4210" s="3" t="s">
        <v>6021</v>
      </c>
      <c r="E4210" s="3" t="s">
        <v>7818</v>
      </c>
      <c r="F4210" s="3" t="s">
        <v>6009</v>
      </c>
      <c r="G4210" s="3" t="str">
        <f>IFERROR(__xludf.DUMMYFUNCTION("GOOGLETRANSLATE(D4210,""fr"",""es"")"),"inquietud")</f>
        <v>inquietud</v>
      </c>
    </row>
    <row r="4211">
      <c r="A4211" s="3">
        <v>1663.0</v>
      </c>
      <c r="B4211" s="3" t="s">
        <v>6738</v>
      </c>
      <c r="C4211" s="3" t="s">
        <v>190</v>
      </c>
      <c r="D4211" s="3" t="s">
        <v>6022</v>
      </c>
      <c r="E4211" s="3" t="s">
        <v>7818</v>
      </c>
      <c r="F4211" s="3" t="s">
        <v>6009</v>
      </c>
      <c r="G4211" s="3" t="str">
        <f>IFERROR(__xludf.DUMMYFUNCTION("GOOGLETRANSLATE(D4211,""fr"",""es"")"),"soucante")</f>
        <v>soucante</v>
      </c>
    </row>
    <row r="4212">
      <c r="A4212" s="3">
        <v>1664.0</v>
      </c>
      <c r="B4212" s="3" t="s">
        <v>6738</v>
      </c>
      <c r="C4212" s="3" t="s">
        <v>190</v>
      </c>
      <c r="D4212" s="3" t="s">
        <v>6023</v>
      </c>
      <c r="E4212" s="3" t="s">
        <v>7818</v>
      </c>
      <c r="F4212" s="3" t="s">
        <v>6009</v>
      </c>
      <c r="G4212" s="3" t="str">
        <f>IFERROR(__xludf.DUMMYFUNCTION("GOOGLETRANSLATE(D4212,""fr"",""es"")"),"inquietud")</f>
        <v>inquietud</v>
      </c>
    </row>
    <row r="4213">
      <c r="A4213" s="3">
        <v>1665.0</v>
      </c>
      <c r="B4213" s="3" t="s">
        <v>6738</v>
      </c>
      <c r="C4213" s="3" t="s">
        <v>190</v>
      </c>
      <c r="D4213" s="3" t="s">
        <v>6024</v>
      </c>
      <c r="E4213" s="3" t="s">
        <v>7818</v>
      </c>
      <c r="F4213" s="3" t="s">
        <v>6009</v>
      </c>
      <c r="G4213" s="3" t="str">
        <f>IFERROR(__xludf.DUMMYFUNCTION("GOOGLETRANSLATE(D4213,""fr"",""es"")"),"preocuparse")</f>
        <v>preocuparse</v>
      </c>
      <c r="H4213" s="3" t="s">
        <v>6025</v>
      </c>
    </row>
    <row r="4214">
      <c r="A4214" s="3">
        <v>1666.0</v>
      </c>
      <c r="B4214" s="3" t="s">
        <v>6738</v>
      </c>
      <c r="C4214" s="3" t="s">
        <v>190</v>
      </c>
      <c r="D4214" s="3" t="s">
        <v>6026</v>
      </c>
      <c r="E4214" s="3" t="s">
        <v>7819</v>
      </c>
      <c r="F4214" s="3" t="s">
        <v>6028</v>
      </c>
      <c r="G4214" s="3" t="str">
        <f>IFERROR(__xludf.DUMMYFUNCTION("GOOGLETRANSLATE(D4214,""fr"",""es"")"),"platillo")</f>
        <v>platillo</v>
      </c>
      <c r="H4214" s="3" t="s">
        <v>6029</v>
      </c>
      <c r="I4214" s="3" t="s">
        <v>6030</v>
      </c>
      <c r="J4214" s="3" t="s">
        <v>4805</v>
      </c>
      <c r="K4214" s="3" t="s">
        <v>6031</v>
      </c>
      <c r="L4214" s="3" t="s">
        <v>6032</v>
      </c>
      <c r="M4214" s="3" t="s">
        <v>6030</v>
      </c>
      <c r="N4214" s="3" t="s">
        <v>6030</v>
      </c>
      <c r="O4214" s="3" t="s">
        <v>6033</v>
      </c>
      <c r="P4214" s="3" t="s">
        <v>6034</v>
      </c>
      <c r="Q4214" s="3" t="s">
        <v>6030</v>
      </c>
    </row>
    <row r="4215">
      <c r="A4215" s="3">
        <v>1667.0</v>
      </c>
      <c r="B4215" s="3" t="s">
        <v>6738</v>
      </c>
      <c r="C4215" s="3" t="s">
        <v>190</v>
      </c>
      <c r="D4215" s="3" t="s">
        <v>6035</v>
      </c>
      <c r="E4215" s="3" t="s">
        <v>7819</v>
      </c>
      <c r="F4215" s="3" t="s">
        <v>6028</v>
      </c>
      <c r="G4215" s="3" t="str">
        <f>IFERROR(__xludf.DUMMYFUNCTION("GOOGLETRANSLATE(D4215,""fr"",""es"")"),"platillo")</f>
        <v>platillo</v>
      </c>
    </row>
    <row r="4216">
      <c r="A4216" s="3">
        <v>1668.0</v>
      </c>
      <c r="B4216" s="3" t="s">
        <v>6738</v>
      </c>
      <c r="C4216" s="3" t="s">
        <v>190</v>
      </c>
      <c r="D4216" s="3" t="s">
        <v>7820</v>
      </c>
      <c r="E4216" s="3" t="s">
        <v>7821</v>
      </c>
      <c r="F4216" s="3" t="s">
        <v>6038</v>
      </c>
      <c r="G4216" s="3" t="str">
        <f>IFERROR(__xludf.DUMMYFUNCTION("GOOGLETRANSLATE(D4216,""fr"",""es"")"),"souilla")</f>
        <v>souilla</v>
      </c>
    </row>
    <row r="4217">
      <c r="A4217" s="3">
        <v>1669.0</v>
      </c>
      <c r="B4217" s="3" t="s">
        <v>6738</v>
      </c>
      <c r="C4217" s="3" t="s">
        <v>190</v>
      </c>
      <c r="D4217" s="3" t="s">
        <v>6042</v>
      </c>
      <c r="E4217" s="3" t="s">
        <v>7822</v>
      </c>
      <c r="F4217" s="3" t="s">
        <v>6044</v>
      </c>
      <c r="G4217" s="3" t="str">
        <f>IFERROR(__xludf.DUMMYFUNCTION("GOOGLETRANSLATE(D4217,""fr"",""es"")"),"alma")</f>
        <v>alma</v>
      </c>
    </row>
    <row r="4218">
      <c r="A4218" s="3">
        <v>1670.0</v>
      </c>
      <c r="B4218" s="3" t="s">
        <v>6738</v>
      </c>
      <c r="C4218" s="3" t="s">
        <v>190</v>
      </c>
      <c r="D4218" s="3" t="s">
        <v>7823</v>
      </c>
      <c r="E4218" s="3" t="s">
        <v>7821</v>
      </c>
      <c r="F4218" s="3" t="s">
        <v>6038</v>
      </c>
      <c r="G4218" s="3" t="str">
        <f>IFERROR(__xludf.DUMMYFUNCTION("GOOGLETRANSLATE(D4218,""fr"",""es"")"),"souillas")</f>
        <v>souillas</v>
      </c>
    </row>
    <row r="4219">
      <c r="A4219" s="3">
        <v>1671.0</v>
      </c>
      <c r="B4219" s="3" t="s">
        <v>6738</v>
      </c>
      <c r="C4219" s="3" t="s">
        <v>190</v>
      </c>
      <c r="D4219" s="3" t="s">
        <v>6045</v>
      </c>
      <c r="E4219" s="3" t="s">
        <v>7824</v>
      </c>
      <c r="F4219" s="3" t="s">
        <v>6047</v>
      </c>
      <c r="G4219" s="3" t="str">
        <f>IFERROR(__xludf.DUMMYFUNCTION("GOOGLETRANSLATE(D4219,""fr"",""es"")"),"zalamería")</f>
        <v>zalamería</v>
      </c>
    </row>
    <row r="4220">
      <c r="A4220" s="3">
        <v>1672.0</v>
      </c>
      <c r="B4220" s="3" t="s">
        <v>6738</v>
      </c>
      <c r="C4220" s="3" t="s">
        <v>190</v>
      </c>
      <c r="D4220" s="3" t="s">
        <v>6048</v>
      </c>
      <c r="E4220" s="3" t="s">
        <v>7824</v>
      </c>
      <c r="F4220" s="3" t="s">
        <v>6047</v>
      </c>
      <c r="G4220" s="3" t="str">
        <f>IFERROR(__xludf.DUMMYFUNCTION("GOOGLETRANSLATE(D4220,""fr"",""es"")"),"desactivar")</f>
        <v>desactivar</v>
      </c>
    </row>
    <row r="4221">
      <c r="A4221" s="3">
        <v>1673.0</v>
      </c>
      <c r="B4221" s="3" t="s">
        <v>6738</v>
      </c>
      <c r="C4221" s="3" t="s">
        <v>190</v>
      </c>
      <c r="D4221" s="3" t="s">
        <v>6049</v>
      </c>
      <c r="E4221" s="3" t="s">
        <v>7824</v>
      </c>
      <c r="F4221" s="3" t="s">
        <v>6047</v>
      </c>
      <c r="G4221" s="3" t="str">
        <f>IFERROR(__xludf.DUMMYFUNCTION("GOOGLETRANSLATE(D4221,""fr"",""es"")"),"souillasses")</f>
        <v>souillasses</v>
      </c>
    </row>
    <row r="4222">
      <c r="A4222" s="3">
        <v>1674.0</v>
      </c>
      <c r="B4222" s="3" t="s">
        <v>6738</v>
      </c>
      <c r="C4222" s="3" t="s">
        <v>190</v>
      </c>
      <c r="D4222" s="3" t="s">
        <v>7825</v>
      </c>
      <c r="E4222" s="3" t="s">
        <v>7821</v>
      </c>
      <c r="F4222" s="3" t="s">
        <v>6038</v>
      </c>
      <c r="G4222" s="3" t="str">
        <f>IFERROR(__xludf.DUMMYFUNCTION("GOOGLETRANSLATE(D4222,""fr"",""es"")"),"alma")</f>
        <v>alma</v>
      </c>
    </row>
    <row r="4223">
      <c r="A4223" s="3">
        <v>1675.0</v>
      </c>
      <c r="B4223" s="3" t="s">
        <v>6738</v>
      </c>
      <c r="C4223" s="3" t="s">
        <v>190</v>
      </c>
      <c r="D4223" s="3" t="s">
        <v>6050</v>
      </c>
      <c r="E4223" s="3" t="s">
        <v>7826</v>
      </c>
      <c r="F4223" s="3" t="s">
        <v>6052</v>
      </c>
      <c r="G4223" s="3" t="str">
        <f>IFERROR(__xludf.DUMMYFUNCTION("GOOGLETRANSLATE(D4223,""fr"",""es"")"),"desfiladero")</f>
        <v>desfiladero</v>
      </c>
    </row>
    <row r="4224">
      <c r="A4224" s="3">
        <v>1676.0</v>
      </c>
      <c r="B4224" s="3" t="s">
        <v>6738</v>
      </c>
      <c r="C4224" s="3" t="s">
        <v>190</v>
      </c>
      <c r="D4224" s="3" t="s">
        <v>6053</v>
      </c>
      <c r="E4224" s="3" t="s">
        <v>7826</v>
      </c>
      <c r="F4224" s="3" t="s">
        <v>6052</v>
      </c>
      <c r="G4224" s="3" t="str">
        <f>IFERROR(__xludf.DUMMYFUNCTION("GOOGLETRANSLATE(D4224,""fr"",""es"")"),"desfiladero")</f>
        <v>desfiladero</v>
      </c>
    </row>
    <row r="4225">
      <c r="A4225" s="3">
        <v>1677.0</v>
      </c>
      <c r="B4225" s="3" t="s">
        <v>6738</v>
      </c>
      <c r="C4225" s="3" t="s">
        <v>190</v>
      </c>
      <c r="D4225" s="3" t="s">
        <v>6054</v>
      </c>
      <c r="E4225" s="3" t="s">
        <v>7826</v>
      </c>
      <c r="F4225" s="3" t="s">
        <v>6052</v>
      </c>
      <c r="G4225" s="3" t="str">
        <f>IFERROR(__xludf.DUMMYFUNCTION("GOOGLETRANSLATE(D4225,""fr"",""es"")"),"souches")</f>
        <v>souches</v>
      </c>
    </row>
    <row r="4226">
      <c r="A4226" s="3">
        <v>1678.0</v>
      </c>
      <c r="B4226" s="3" t="s">
        <v>6738</v>
      </c>
      <c r="C4226" s="3" t="s">
        <v>190</v>
      </c>
      <c r="D4226" s="3" t="s">
        <v>6055</v>
      </c>
      <c r="E4226" s="3" t="s">
        <v>7827</v>
      </c>
      <c r="F4226" s="3" t="s">
        <v>6057</v>
      </c>
      <c r="G4226" s="3" t="str">
        <f>IFERROR(__xludf.DUMMYFUNCTION("GOOGLETRANSLATE(D4226,""fr"",""es"")"),"alero")</f>
        <v>alero</v>
      </c>
    </row>
    <row r="4227">
      <c r="A4227" s="3">
        <v>1679.0</v>
      </c>
      <c r="B4227" s="3" t="s">
        <v>6738</v>
      </c>
      <c r="C4227" s="3" t="s">
        <v>190</v>
      </c>
      <c r="D4227" s="3" t="s">
        <v>6058</v>
      </c>
      <c r="E4227" s="3" t="s">
        <v>7827</v>
      </c>
      <c r="F4227" s="3" t="s">
        <v>6057</v>
      </c>
      <c r="G4227" s="3" t="str">
        <f>IFERROR(__xludf.DUMMYFUNCTION("GOOGLETRANSLATE(D4227,""fr"",""es"")"),"zocas")</f>
        <v>zocas</v>
      </c>
    </row>
    <row r="4228">
      <c r="A4228" s="3">
        <v>1680.0</v>
      </c>
      <c r="B4228" s="3" t="s">
        <v>6738</v>
      </c>
      <c r="C4228" s="3" t="s">
        <v>190</v>
      </c>
      <c r="D4228" s="3" t="s">
        <v>6059</v>
      </c>
      <c r="E4228" s="3" t="s">
        <v>5668</v>
      </c>
      <c r="F4228" s="3" t="s">
        <v>5669</v>
      </c>
      <c r="G4228" s="3" t="str">
        <f>IFERROR(__xludf.DUMMYFUNCTION("GOOGLETRANSLATE(D4228,""fr"",""es"")"),"ebrio")</f>
        <v>ebrio</v>
      </c>
    </row>
    <row r="4229">
      <c r="A4229" s="3">
        <v>1681.0</v>
      </c>
      <c r="B4229" s="3" t="s">
        <v>6738</v>
      </c>
      <c r="C4229" s="3" t="s">
        <v>190</v>
      </c>
      <c r="D4229" s="3" t="s">
        <v>525</v>
      </c>
      <c r="E4229" s="3" t="s">
        <v>7770</v>
      </c>
      <c r="F4229" s="3" t="s">
        <v>5686</v>
      </c>
      <c r="G4229" s="3" t="str">
        <f>IFERROR(__xludf.DUMMYFUNCTION("GOOGLETRANSLATE(D4229,""fr"",""es"")"),"ebrio")</f>
        <v>ebrio</v>
      </c>
    </row>
    <row r="4230">
      <c r="A4230" s="3">
        <v>1682.0</v>
      </c>
      <c r="B4230" s="3" t="s">
        <v>6738</v>
      </c>
      <c r="C4230" s="3" t="s">
        <v>190</v>
      </c>
      <c r="D4230" s="3" t="s">
        <v>7828</v>
      </c>
      <c r="E4230" s="3" t="s">
        <v>7765</v>
      </c>
      <c r="F4230" s="3" t="s">
        <v>5672</v>
      </c>
      <c r="G4230" s="3" t="str">
        <f>IFERROR(__xludf.DUMMYFUNCTION("GOOGLETRANSLATE(D4230,""fr"",""es"")"),"ebrio")</f>
        <v>ebrio</v>
      </c>
    </row>
    <row r="4231">
      <c r="A4231" s="3">
        <v>1683.0</v>
      </c>
      <c r="B4231" s="3" t="s">
        <v>6738</v>
      </c>
      <c r="C4231" s="3" t="s">
        <v>190</v>
      </c>
      <c r="D4231" s="3" t="s">
        <v>6064</v>
      </c>
      <c r="E4231" s="3" t="s">
        <v>7766</v>
      </c>
      <c r="F4231" s="3" t="s">
        <v>5678</v>
      </c>
      <c r="G4231" s="3" t="str">
        <f>IFERROR(__xludf.DUMMYFUNCTION("GOOGLETRANSLATE(D4231,""fr"",""es"")"),"ebrio")</f>
        <v>ebrio</v>
      </c>
    </row>
    <row r="4232">
      <c r="A4232" s="3">
        <v>1684.0</v>
      </c>
      <c r="B4232" s="3" t="s">
        <v>6738</v>
      </c>
      <c r="C4232" s="3" t="s">
        <v>190</v>
      </c>
      <c r="D4232" s="3" t="s">
        <v>7829</v>
      </c>
      <c r="E4232" s="3" t="s">
        <v>7765</v>
      </c>
      <c r="F4232" s="3" t="s">
        <v>5672</v>
      </c>
      <c r="G4232" s="3" t="str">
        <f>IFERROR(__xludf.DUMMYFUNCTION("GOOGLETRANSLATE(D4232,""fr"",""es"")"),"ebrio")</f>
        <v>ebrio</v>
      </c>
    </row>
    <row r="4233">
      <c r="A4233" s="3">
        <v>1685.0</v>
      </c>
      <c r="B4233" s="3" t="s">
        <v>6738</v>
      </c>
      <c r="C4233" s="3" t="s">
        <v>190</v>
      </c>
      <c r="D4233" s="3" t="s">
        <v>6065</v>
      </c>
      <c r="E4233" s="3" t="s">
        <v>7768</v>
      </c>
      <c r="F4233" s="3" t="s">
        <v>5681</v>
      </c>
      <c r="G4233" s="3" t="str">
        <f>IFERROR(__xludf.DUMMYFUNCTION("GOOGLETRANSLATE(D4233,""fr"",""es"")"),"ebrio")</f>
        <v>ebrio</v>
      </c>
    </row>
    <row r="4234">
      <c r="A4234" s="3">
        <v>1686.0</v>
      </c>
      <c r="B4234" s="3" t="s">
        <v>6738</v>
      </c>
      <c r="C4234" s="3" t="s">
        <v>190</v>
      </c>
      <c r="D4234" s="3" t="s">
        <v>6066</v>
      </c>
      <c r="E4234" s="3" t="s">
        <v>7768</v>
      </c>
      <c r="F4234" s="3" t="s">
        <v>5681</v>
      </c>
      <c r="G4234" s="3" t="str">
        <f>IFERROR(__xludf.DUMMYFUNCTION("GOOGLETRANSLATE(D4234,""fr"",""es"")"),"ebrio")</f>
        <v>ebrio</v>
      </c>
    </row>
    <row r="4235">
      <c r="A4235" s="3">
        <v>1687.0</v>
      </c>
      <c r="B4235" s="3" t="s">
        <v>6738</v>
      </c>
      <c r="C4235" s="3" t="s">
        <v>190</v>
      </c>
      <c r="D4235" s="3" t="s">
        <v>6067</v>
      </c>
      <c r="E4235" s="3" t="s">
        <v>7768</v>
      </c>
      <c r="F4235" s="3" t="s">
        <v>5681</v>
      </c>
      <c r="G4235" s="3" t="str">
        <f>IFERROR(__xludf.DUMMYFUNCTION("GOOGLETRANSLATE(D4235,""fr"",""es"")"),"embriaguez")</f>
        <v>embriaguez</v>
      </c>
    </row>
    <row r="4236">
      <c r="A4236" s="3">
        <v>1688.0</v>
      </c>
      <c r="B4236" s="3" t="s">
        <v>6738</v>
      </c>
      <c r="C4236" s="3" t="s">
        <v>190</v>
      </c>
      <c r="D4236" s="3" t="s">
        <v>7830</v>
      </c>
      <c r="E4236" s="3" t="s">
        <v>7765</v>
      </c>
      <c r="F4236" s="3" t="s">
        <v>5672</v>
      </c>
      <c r="G4236" s="3" t="str">
        <f>IFERROR(__xludf.DUMMYFUNCTION("GOOGLETRANSLATE(D4236,""fr"",""es"")"),"ebrio")</f>
        <v>ebrio</v>
      </c>
    </row>
    <row r="4237">
      <c r="A4237" s="3">
        <v>1689.0</v>
      </c>
      <c r="B4237" s="3" t="s">
        <v>6738</v>
      </c>
      <c r="C4237" s="3" t="s">
        <v>190</v>
      </c>
      <c r="D4237" s="3" t="s">
        <v>6068</v>
      </c>
      <c r="E4237" s="3" t="s">
        <v>7770</v>
      </c>
      <c r="F4237" s="3" t="s">
        <v>5686</v>
      </c>
      <c r="G4237" s="3" t="str">
        <f>IFERROR(__xludf.DUMMYFUNCTION("GOOGLETRANSLATE(D4237,""fr"",""es"")"),"ebrio")</f>
        <v>ebrio</v>
      </c>
    </row>
    <row r="4238">
      <c r="A4238" s="3">
        <v>1690.0</v>
      </c>
      <c r="B4238" s="3" t="s">
        <v>6738</v>
      </c>
      <c r="C4238" s="3" t="s">
        <v>190</v>
      </c>
      <c r="D4238" s="3" t="s">
        <v>6069</v>
      </c>
      <c r="E4238" s="3" t="s">
        <v>7770</v>
      </c>
      <c r="F4238" s="3" t="s">
        <v>5686</v>
      </c>
      <c r="G4238" s="3" t="str">
        <f>IFERROR(__xludf.DUMMYFUNCTION("GOOGLETRANSLATE(D4238,""fr"",""es"")"),"ebrio")</f>
        <v>ebrio</v>
      </c>
    </row>
    <row r="4239">
      <c r="A4239" s="3">
        <v>1691.0</v>
      </c>
      <c r="B4239" s="3" t="s">
        <v>6738</v>
      </c>
      <c r="C4239" s="3" t="s">
        <v>190</v>
      </c>
      <c r="D4239" s="3" t="s">
        <v>6070</v>
      </c>
      <c r="E4239" s="3" t="s">
        <v>7770</v>
      </c>
      <c r="F4239" s="3" t="s">
        <v>5686</v>
      </c>
      <c r="G4239" s="3" t="str">
        <f>IFERROR(__xludf.DUMMYFUNCTION("GOOGLETRANSLATE(D4239,""fr"",""es"")"),"ebrio")</f>
        <v>ebrio</v>
      </c>
    </row>
    <row r="4240">
      <c r="A4240" s="3">
        <v>1692.0</v>
      </c>
      <c r="B4240" s="3" t="s">
        <v>6738</v>
      </c>
      <c r="C4240" s="3" t="s">
        <v>190</v>
      </c>
      <c r="D4240" s="3" t="s">
        <v>7831</v>
      </c>
      <c r="E4240" s="3" t="s">
        <v>7832</v>
      </c>
      <c r="F4240" s="3" t="s">
        <v>6073</v>
      </c>
      <c r="G4240" s="3" t="str">
        <f>IFERROR(__xludf.DUMMYFUNCTION("GOOGLETRANSLATE(D4240,""fr"",""es"")"),"subrayada")</f>
        <v>subrayada</v>
      </c>
    </row>
    <row r="4241">
      <c r="A4241" s="3">
        <v>1693.0</v>
      </c>
      <c r="B4241" s="3" t="s">
        <v>6738</v>
      </c>
      <c r="C4241" s="3" t="s">
        <v>190</v>
      </c>
      <c r="D4241" s="3" t="s">
        <v>6077</v>
      </c>
      <c r="E4241" s="3" t="s">
        <v>7833</v>
      </c>
      <c r="F4241" s="3" t="s">
        <v>6079</v>
      </c>
      <c r="G4241" s="3" t="str">
        <f>IFERROR(__xludf.DUMMYFUNCTION("GOOGLETRANSLATE(D4241,""fr"",""es"")"),"señalado")</f>
        <v>señalado</v>
      </c>
    </row>
    <row r="4242">
      <c r="A4242" s="3">
        <v>1694.0</v>
      </c>
      <c r="B4242" s="3" t="s">
        <v>6738</v>
      </c>
      <c r="C4242" s="3" t="s">
        <v>190</v>
      </c>
      <c r="D4242" s="3" t="s">
        <v>7834</v>
      </c>
      <c r="E4242" s="3" t="s">
        <v>7832</v>
      </c>
      <c r="F4242" s="3" t="s">
        <v>6073</v>
      </c>
      <c r="G4242" s="3" t="str">
        <f>IFERROR(__xludf.DUMMYFUNCTION("GOOGLETRANSLATE(D4242,""fr"",""es"")"),"subrayada")</f>
        <v>subrayada</v>
      </c>
    </row>
    <row r="4243">
      <c r="A4243" s="3">
        <v>1695.0</v>
      </c>
      <c r="B4243" s="3" t="s">
        <v>6738</v>
      </c>
      <c r="C4243" s="3" t="s">
        <v>190</v>
      </c>
      <c r="D4243" s="3" t="s">
        <v>6080</v>
      </c>
      <c r="E4243" s="3" t="s">
        <v>7835</v>
      </c>
      <c r="F4243" s="3" t="s">
        <v>6082</v>
      </c>
      <c r="G4243" s="3" t="str">
        <f>IFERROR(__xludf.DUMMYFUNCTION("GOOGLETRANSLATE(D4243,""fr"",""es"")"),"subrayada")</f>
        <v>subrayada</v>
      </c>
    </row>
    <row r="4244">
      <c r="A4244" s="3">
        <v>1696.0</v>
      </c>
      <c r="B4244" s="3" t="s">
        <v>6738</v>
      </c>
      <c r="C4244" s="3" t="s">
        <v>190</v>
      </c>
      <c r="D4244" s="3" t="s">
        <v>6083</v>
      </c>
      <c r="E4244" s="3" t="s">
        <v>7835</v>
      </c>
      <c r="F4244" s="3" t="s">
        <v>6082</v>
      </c>
      <c r="G4244" s="3" t="str">
        <f>IFERROR(__xludf.DUMMYFUNCTION("GOOGLETRANSLATE(D4244,""fr"",""es"")"),"subrayar")</f>
        <v>subrayar</v>
      </c>
    </row>
    <row r="4245">
      <c r="A4245" s="3">
        <v>1697.0</v>
      </c>
      <c r="B4245" s="3" t="s">
        <v>6738</v>
      </c>
      <c r="C4245" s="3" t="s">
        <v>190</v>
      </c>
      <c r="D4245" s="3" t="s">
        <v>6084</v>
      </c>
      <c r="E4245" s="3" t="s">
        <v>7835</v>
      </c>
      <c r="F4245" s="3" t="s">
        <v>6082</v>
      </c>
      <c r="G4245" s="3" t="str">
        <f>IFERROR(__xludf.DUMMYFUNCTION("GOOGLETRANSLATE(D4245,""fr"",""es"")"),"bajo tierra")</f>
        <v>bajo tierra</v>
      </c>
    </row>
    <row r="4246">
      <c r="A4246" s="3">
        <v>1698.0</v>
      </c>
      <c r="B4246" s="3" t="s">
        <v>6738</v>
      </c>
      <c r="C4246" s="3" t="s">
        <v>190</v>
      </c>
      <c r="D4246" s="3" t="s">
        <v>7836</v>
      </c>
      <c r="E4246" s="3" t="s">
        <v>7832</v>
      </c>
      <c r="F4246" s="3" t="s">
        <v>6073</v>
      </c>
      <c r="G4246" s="3" t="str">
        <f>IFERROR(__xludf.DUMMYFUNCTION("GOOGLETRANSLATE(D4246,""fr"",""es"")"),"señalado")</f>
        <v>señalado</v>
      </c>
    </row>
    <row r="4247">
      <c r="A4247" s="3">
        <v>1699.0</v>
      </c>
      <c r="B4247" s="3" t="s">
        <v>6738</v>
      </c>
      <c r="C4247" s="3" t="s">
        <v>190</v>
      </c>
      <c r="D4247" s="3" t="s">
        <v>6085</v>
      </c>
      <c r="E4247" s="3" t="s">
        <v>7837</v>
      </c>
      <c r="F4247" s="3" t="s">
        <v>6087</v>
      </c>
      <c r="G4247" s="3" t="str">
        <f>IFERROR(__xludf.DUMMYFUNCTION("GOOGLETRANSLATE(D4247,""fr"",""es"")"),"destacado")</f>
        <v>destacado</v>
      </c>
    </row>
    <row r="4248">
      <c r="A4248" s="3">
        <v>1700.0</v>
      </c>
      <c r="B4248" s="3" t="s">
        <v>6738</v>
      </c>
      <c r="C4248" s="3" t="s">
        <v>190</v>
      </c>
      <c r="D4248" s="3" t="s">
        <v>6088</v>
      </c>
      <c r="E4248" s="3" t="s">
        <v>7837</v>
      </c>
      <c r="F4248" s="3" t="s">
        <v>6087</v>
      </c>
      <c r="G4248" s="3" t="str">
        <f>IFERROR(__xludf.DUMMYFUNCTION("GOOGLETRANSLATE(D4248,""fr"",""es"")"),"subrayar")</f>
        <v>subrayar</v>
      </c>
    </row>
    <row r="4249">
      <c r="A4249" s="3">
        <v>1701.0</v>
      </c>
      <c r="B4249" s="3" t="s">
        <v>6738</v>
      </c>
      <c r="C4249" s="3" t="s">
        <v>190</v>
      </c>
      <c r="D4249" s="3" t="s">
        <v>6089</v>
      </c>
      <c r="E4249" s="3" t="s">
        <v>7837</v>
      </c>
      <c r="F4249" s="3" t="s">
        <v>6087</v>
      </c>
      <c r="G4249" s="3" t="str">
        <f>IFERROR(__xludf.DUMMYFUNCTION("GOOGLETRANSLATE(D4249,""fr"",""es"")"),"subrayar")</f>
        <v>subrayar</v>
      </c>
    </row>
    <row r="4250">
      <c r="A4250" s="3">
        <v>1702.0</v>
      </c>
      <c r="B4250" s="3" t="s">
        <v>6738</v>
      </c>
      <c r="C4250" s="3" t="s">
        <v>190</v>
      </c>
      <c r="D4250" s="3" t="s">
        <v>6090</v>
      </c>
      <c r="E4250" s="3" t="s">
        <v>5668</v>
      </c>
      <c r="F4250" s="3" t="s">
        <v>5669</v>
      </c>
      <c r="G4250" s="3" t="str">
        <f>IFERROR(__xludf.DUMMYFUNCTION("GOOGLETRANSLATE(D4250,""fr"",""es"")"),"ebrio")</f>
        <v>ebrio</v>
      </c>
    </row>
    <row r="4251">
      <c r="A4251" s="3">
        <v>1703.0</v>
      </c>
      <c r="B4251" s="3" t="s">
        <v>6738</v>
      </c>
      <c r="C4251" s="3" t="s">
        <v>190</v>
      </c>
      <c r="D4251" s="3" t="s">
        <v>6100</v>
      </c>
      <c r="E4251" s="3" t="s">
        <v>7838</v>
      </c>
      <c r="F4251" s="3" t="s">
        <v>6102</v>
      </c>
      <c r="G4251" s="3" t="str">
        <f>IFERROR(__xludf.DUMMYFUNCTION("GOOGLETRANSLATE(D4251,""fr"",""es"")"),"imponente")</f>
        <v>imponente</v>
      </c>
    </row>
    <row r="4252">
      <c r="A4252" s="3">
        <v>1704.0</v>
      </c>
      <c r="B4252" s="3" t="s">
        <v>6738</v>
      </c>
      <c r="C4252" s="3" t="s">
        <v>190</v>
      </c>
      <c r="D4252" s="3" t="s">
        <v>6103</v>
      </c>
      <c r="E4252" s="3" t="s">
        <v>7839</v>
      </c>
      <c r="F4252" s="3" t="s">
        <v>6105</v>
      </c>
      <c r="G4252" s="3" t="str">
        <f>IFERROR(__xludf.DUMMYFUNCTION("GOOGLETRANSLATE(D4252,""fr"",""es"")"),"presentada")</f>
        <v>presentada</v>
      </c>
    </row>
    <row r="4253">
      <c r="A4253" s="3">
        <v>1705.0</v>
      </c>
      <c r="B4253" s="3" t="s">
        <v>6738</v>
      </c>
      <c r="C4253" s="3" t="s">
        <v>190</v>
      </c>
      <c r="D4253" s="3" t="s">
        <v>6106</v>
      </c>
      <c r="E4253" s="3" t="s">
        <v>7840</v>
      </c>
      <c r="F4253" s="3" t="s">
        <v>6108</v>
      </c>
      <c r="G4253" s="3" t="str">
        <f>IFERROR(__xludf.DUMMYFUNCTION("GOOGLETRANSLATE(D4253,""fr"",""es"")"),"soumisse")</f>
        <v>soumisse</v>
      </c>
    </row>
    <row r="4254">
      <c r="A4254" s="3">
        <v>1706.0</v>
      </c>
      <c r="B4254" s="3" t="s">
        <v>6738</v>
      </c>
      <c r="C4254" s="3" t="s">
        <v>190</v>
      </c>
      <c r="D4254" s="3" t="s">
        <v>6109</v>
      </c>
      <c r="E4254" s="3" t="s">
        <v>7840</v>
      </c>
      <c r="F4254" s="3" t="s">
        <v>6108</v>
      </c>
      <c r="G4254" s="3" t="str">
        <f>IFERROR(__xludf.DUMMYFUNCTION("GOOGLETRANSLATE(D4254,""fr"",""es"")"),"soumisse")</f>
        <v>soumisse</v>
      </c>
    </row>
    <row r="4255">
      <c r="A4255" s="3">
        <v>1707.0</v>
      </c>
      <c r="B4255" s="3" t="s">
        <v>6738</v>
      </c>
      <c r="C4255" s="3" t="s">
        <v>190</v>
      </c>
      <c r="D4255" s="3" t="s">
        <v>6110</v>
      </c>
      <c r="E4255" s="3" t="s">
        <v>7840</v>
      </c>
      <c r="F4255" s="3" t="s">
        <v>6108</v>
      </c>
      <c r="G4255" s="3" t="str">
        <f>IFERROR(__xludf.DUMMYFUNCTION("GOOGLETRANSLATE(D4255,""fr"",""es"")"),"soumisses")</f>
        <v>soumisses</v>
      </c>
    </row>
    <row r="4256">
      <c r="A4256" s="3">
        <v>1708.0</v>
      </c>
      <c r="B4256" s="3" t="s">
        <v>6738</v>
      </c>
      <c r="C4256" s="3" t="s">
        <v>190</v>
      </c>
      <c r="D4256" s="3" t="s">
        <v>6111</v>
      </c>
      <c r="E4256" s="3" t="s">
        <v>7839</v>
      </c>
      <c r="F4256" s="3" t="s">
        <v>6105</v>
      </c>
      <c r="G4256" s="3" t="str">
        <f>IFERROR(__xludf.DUMMYFUNCTION("GOOGLETRANSLATE(D4256,""fr"",""es"")"),"soumita")</f>
        <v>soumita</v>
      </c>
    </row>
    <row r="4257">
      <c r="A4257" s="3">
        <v>1709.0</v>
      </c>
      <c r="B4257" s="3" t="s">
        <v>6738</v>
      </c>
      <c r="C4257" s="3" t="s">
        <v>190</v>
      </c>
      <c r="D4257" s="3" t="s">
        <v>6112</v>
      </c>
      <c r="E4257" s="3" t="s">
        <v>7839</v>
      </c>
      <c r="F4257" s="3" t="s">
        <v>6105</v>
      </c>
      <c r="G4257" s="3" t="str">
        <f>IFERROR(__xludf.DUMMYFUNCTION("GOOGLETRANSLATE(D4257,""fr"",""es"")"),"soumît")</f>
        <v>soumît</v>
      </c>
    </row>
    <row r="4258">
      <c r="A4258" s="3">
        <v>1710.0</v>
      </c>
      <c r="B4258" s="3" t="s">
        <v>6738</v>
      </c>
      <c r="C4258" s="3" t="s">
        <v>190</v>
      </c>
      <c r="D4258" s="3" t="s">
        <v>7841</v>
      </c>
      <c r="E4258" s="3" t="s">
        <v>7842</v>
      </c>
      <c r="F4258" s="3" t="s">
        <v>6115</v>
      </c>
      <c r="G4258" s="3" t="str">
        <f>IFERROR(__xludf.DUMMYFUNCTION("GOOGLETRANSLATE(D4258,""fr"",""es"")"),"Sopa")</f>
        <v>Sopa</v>
      </c>
    </row>
    <row r="4259">
      <c r="A4259" s="3">
        <v>1711.0</v>
      </c>
      <c r="B4259" s="3" t="s">
        <v>6738</v>
      </c>
      <c r="C4259" s="3" t="s">
        <v>190</v>
      </c>
      <c r="D4259" s="3" t="s">
        <v>6119</v>
      </c>
      <c r="E4259" s="3" t="s">
        <v>7843</v>
      </c>
      <c r="F4259" s="3" t="s">
        <v>6121</v>
      </c>
      <c r="G4259" s="3" t="str">
        <f>IFERROR(__xludf.DUMMYFUNCTION("GOOGLETRANSLATE(D4259,""fr"",""es"")"),"sopa")</f>
        <v>sopa</v>
      </c>
    </row>
    <row r="4260">
      <c r="A4260" s="3">
        <v>1712.0</v>
      </c>
      <c r="B4260" s="3" t="s">
        <v>6738</v>
      </c>
      <c r="C4260" s="3" t="s">
        <v>190</v>
      </c>
      <c r="D4260" s="3" t="s">
        <v>6122</v>
      </c>
      <c r="E4260" s="3" t="s">
        <v>7844</v>
      </c>
      <c r="F4260" s="3" t="s">
        <v>6124</v>
      </c>
      <c r="G4260" s="3" t="str">
        <f>IFERROR(__xludf.DUMMYFUNCTION("GOOGLETRANSLATE(D4260,""fr"",""es"")"),"válvula")</f>
        <v>válvula</v>
      </c>
      <c r="H4260" s="3" t="s">
        <v>6125</v>
      </c>
      <c r="I4260" s="3" t="s">
        <v>6126</v>
      </c>
      <c r="J4260" s="3" t="s">
        <v>6127</v>
      </c>
      <c r="K4260" s="3" t="s">
        <v>6127</v>
      </c>
      <c r="L4260" s="3" t="s">
        <v>6127</v>
      </c>
    </row>
    <row r="4261">
      <c r="A4261" s="3">
        <v>1713.0</v>
      </c>
      <c r="B4261" s="3" t="s">
        <v>6738</v>
      </c>
      <c r="C4261" s="3" t="s">
        <v>190</v>
      </c>
      <c r="D4261" s="3" t="s">
        <v>6128</v>
      </c>
      <c r="E4261" s="3" t="s">
        <v>7844</v>
      </c>
      <c r="F4261" s="3" t="s">
        <v>6124</v>
      </c>
      <c r="G4261" s="3" t="str">
        <f>IFERROR(__xludf.DUMMYFUNCTION("GOOGLETRANSLATE(D4261,""fr"",""es"")"),"válvulas")</f>
        <v>válvulas</v>
      </c>
    </row>
    <row r="4262">
      <c r="A4262" s="3">
        <v>1714.0</v>
      </c>
      <c r="B4262" s="3" t="s">
        <v>6738</v>
      </c>
      <c r="C4262" s="3" t="s">
        <v>190</v>
      </c>
      <c r="D4262" s="3" t="s">
        <v>7845</v>
      </c>
      <c r="E4262" s="3" t="s">
        <v>7842</v>
      </c>
      <c r="F4262" s="3" t="s">
        <v>6115</v>
      </c>
      <c r="G4262" s="3" t="str">
        <f>IFERROR(__xludf.DUMMYFUNCTION("GOOGLETRANSLATE(D4262,""fr"",""es"")"),"Subsejo")</f>
        <v>Subsejo</v>
      </c>
    </row>
    <row r="4263">
      <c r="A4263" s="3">
        <v>1715.0</v>
      </c>
      <c r="B4263" s="3" t="s">
        <v>6738</v>
      </c>
      <c r="C4263" s="3" t="s">
        <v>190</v>
      </c>
      <c r="D4263" s="3" t="s">
        <v>6129</v>
      </c>
      <c r="E4263" s="3" t="s">
        <v>7846</v>
      </c>
      <c r="F4263" s="3" t="s">
        <v>6131</v>
      </c>
      <c r="G4263" s="3" t="str">
        <f>IFERROR(__xludf.DUMMYFUNCTION("GOOGLETRANSLATE(D4263,""fr"",""es"")"),"válvula")</f>
        <v>válvula</v>
      </c>
    </row>
    <row r="4264">
      <c r="A4264" s="3">
        <v>1716.0</v>
      </c>
      <c r="B4264" s="3" t="s">
        <v>6738</v>
      </c>
      <c r="C4264" s="3" t="s">
        <v>190</v>
      </c>
      <c r="D4264" s="3" t="s">
        <v>6132</v>
      </c>
      <c r="E4264" s="3" t="s">
        <v>7846</v>
      </c>
      <c r="F4264" s="3" t="s">
        <v>6131</v>
      </c>
      <c r="G4264" s="3" t="str">
        <f>IFERROR(__xludf.DUMMYFUNCTION("GOOGLETRANSLATE(D4264,""fr"",""es"")"),"Bajo flujo")</f>
        <v>Bajo flujo</v>
      </c>
    </row>
    <row r="4265">
      <c r="A4265" s="3">
        <v>1717.0</v>
      </c>
      <c r="B4265" s="3" t="s">
        <v>6738</v>
      </c>
      <c r="C4265" s="3" t="s">
        <v>190</v>
      </c>
      <c r="D4265" s="3" t="s">
        <v>6133</v>
      </c>
      <c r="E4265" s="3" t="s">
        <v>7846</v>
      </c>
      <c r="F4265" s="3" t="s">
        <v>6131</v>
      </c>
      <c r="G4265" s="3" t="str">
        <f>IFERROR(__xludf.DUMMYFUNCTION("GOOGLETRANSLATE(D4265,""fr"",""es"")"),"válvula")</f>
        <v>válvula</v>
      </c>
    </row>
    <row r="4266">
      <c r="A4266" s="3">
        <v>1718.0</v>
      </c>
      <c r="B4266" s="3" t="s">
        <v>6738</v>
      </c>
      <c r="C4266" s="3" t="s">
        <v>190</v>
      </c>
      <c r="D4266" s="3" t="s">
        <v>7847</v>
      </c>
      <c r="E4266" s="3" t="s">
        <v>7842</v>
      </c>
      <c r="F4266" s="3" t="s">
        <v>6115</v>
      </c>
      <c r="G4266" s="3" t="str">
        <f>IFERROR(__xludf.DUMMYFUNCTION("GOOGLETRANSLATE(D4266,""fr"",""es"")"),"sopa")</f>
        <v>sopa</v>
      </c>
    </row>
    <row r="4267">
      <c r="A4267" s="3">
        <v>1719.0</v>
      </c>
      <c r="B4267" s="3" t="s">
        <v>6738</v>
      </c>
      <c r="C4267" s="3" t="s">
        <v>190</v>
      </c>
      <c r="D4267" s="3" t="s">
        <v>6134</v>
      </c>
      <c r="E4267" s="3" t="s">
        <v>7848</v>
      </c>
      <c r="F4267" s="3" t="s">
        <v>6136</v>
      </c>
      <c r="G4267" s="3" t="str">
        <f>IFERROR(__xludf.DUMMYFUNCTION("GOOGLETRANSLATE(D4267,""fr"",""es"")"),"sopa")</f>
        <v>sopa</v>
      </c>
      <c r="H4267" s="3" t="s">
        <v>6137</v>
      </c>
      <c r="I4267" s="3" t="s">
        <v>6137</v>
      </c>
      <c r="J4267" s="3" t="s">
        <v>6137</v>
      </c>
      <c r="K4267" s="3" t="s">
        <v>6137</v>
      </c>
    </row>
    <row r="4268">
      <c r="A4268" s="3">
        <v>1720.0</v>
      </c>
      <c r="B4268" s="3" t="s">
        <v>6738</v>
      </c>
      <c r="C4268" s="3" t="s">
        <v>190</v>
      </c>
      <c r="D4268" s="3" t="s">
        <v>6138</v>
      </c>
      <c r="E4268" s="3" t="s">
        <v>7848</v>
      </c>
      <c r="F4268" s="3" t="s">
        <v>6136</v>
      </c>
      <c r="G4268" s="3" t="str">
        <f>IFERROR(__xludf.DUMMYFUNCTION("GOOGLETRANSLATE(D4268,""fr"",""es"")"),"sopa")</f>
        <v>sopa</v>
      </c>
    </row>
    <row r="4269">
      <c r="A4269" s="3">
        <v>1721.0</v>
      </c>
      <c r="B4269" s="3" t="s">
        <v>6738</v>
      </c>
      <c r="C4269" s="3" t="s">
        <v>190</v>
      </c>
      <c r="D4269" s="3" t="s">
        <v>6139</v>
      </c>
      <c r="E4269" s="3" t="s">
        <v>7848</v>
      </c>
      <c r="F4269" s="3" t="s">
        <v>6136</v>
      </c>
      <c r="G4269" s="3" t="str">
        <f>IFERROR(__xludf.DUMMYFUNCTION("GOOGLETRANSLATE(D4269,""fr"",""es"")"),"sopas")</f>
        <v>sopas</v>
      </c>
    </row>
    <row r="4270">
      <c r="A4270" s="3">
        <v>1722.0</v>
      </c>
      <c r="B4270" s="3" t="s">
        <v>6738</v>
      </c>
      <c r="C4270" s="3" t="s">
        <v>190</v>
      </c>
      <c r="D4270" s="3" t="s">
        <v>7849</v>
      </c>
      <c r="E4270" s="3" t="s">
        <v>7850</v>
      </c>
      <c r="F4270" s="3" t="s">
        <v>6142</v>
      </c>
      <c r="G4270" s="3" t="str">
        <f>IFERROR(__xludf.DUMMYFUNCTION("GOOGLETRANSLATE(D4270,""fr"",""es"")"),"souqua")</f>
        <v>souqua</v>
      </c>
    </row>
    <row r="4271">
      <c r="A4271" s="3">
        <v>1723.0</v>
      </c>
      <c r="B4271" s="3" t="s">
        <v>6738</v>
      </c>
      <c r="C4271" s="3" t="s">
        <v>190</v>
      </c>
      <c r="D4271" s="3" t="s">
        <v>6146</v>
      </c>
      <c r="E4271" s="3" t="s">
        <v>7851</v>
      </c>
      <c r="F4271" s="3" t="s">
        <v>6148</v>
      </c>
      <c r="G4271" s="3" t="str">
        <f>IFERROR(__xludf.DUMMYFUNCTION("GOOGLETRANSLATE(D4271,""fr"",""es"")"),"souqua")</f>
        <v>souqua</v>
      </c>
    </row>
    <row r="4272">
      <c r="A4272" s="3">
        <v>1724.0</v>
      </c>
      <c r="B4272" s="3" t="s">
        <v>6738</v>
      </c>
      <c r="C4272" s="3" t="s">
        <v>190</v>
      </c>
      <c r="D4272" s="3" t="s">
        <v>7852</v>
      </c>
      <c r="E4272" s="3" t="s">
        <v>7850</v>
      </c>
      <c r="F4272" s="3" t="s">
        <v>6142</v>
      </c>
      <c r="G4272" s="3" t="str">
        <f>IFERROR(__xludf.DUMMYFUNCTION("GOOGLETRANSLATE(D4272,""fr"",""es"")"),"souquas")</f>
        <v>souquas</v>
      </c>
    </row>
    <row r="4273">
      <c r="A4273" s="3">
        <v>1725.0</v>
      </c>
      <c r="B4273" s="3" t="s">
        <v>6738</v>
      </c>
      <c r="C4273" s="3" t="s">
        <v>190</v>
      </c>
      <c r="D4273" s="3" t="s">
        <v>6149</v>
      </c>
      <c r="E4273" s="3" t="s">
        <v>7853</v>
      </c>
      <c r="F4273" s="3" t="s">
        <v>6151</v>
      </c>
      <c r="G4273" s="3" t="str">
        <f>IFERROR(__xludf.DUMMYFUNCTION("GOOGLETRANSLATE(D4273,""fr"",""es"")"),"souquasse")</f>
        <v>souquasse</v>
      </c>
    </row>
    <row r="4274">
      <c r="A4274" s="3">
        <v>1726.0</v>
      </c>
      <c r="B4274" s="3" t="s">
        <v>6738</v>
      </c>
      <c r="C4274" s="3" t="s">
        <v>190</v>
      </c>
      <c r="D4274" s="3" t="s">
        <v>6152</v>
      </c>
      <c r="E4274" s="3" t="s">
        <v>7853</v>
      </c>
      <c r="F4274" s="3" t="s">
        <v>6151</v>
      </c>
      <c r="G4274" s="3" t="str">
        <f>IFERROR(__xludf.DUMMYFUNCTION("GOOGLETRANSLATE(D4274,""fr"",""es"")"),"souquasse")</f>
        <v>souquasse</v>
      </c>
    </row>
    <row r="4275">
      <c r="A4275" s="3">
        <v>1727.0</v>
      </c>
      <c r="B4275" s="3" t="s">
        <v>6738</v>
      </c>
      <c r="C4275" s="3" t="s">
        <v>190</v>
      </c>
      <c r="D4275" s="3" t="s">
        <v>6153</v>
      </c>
      <c r="E4275" s="3" t="s">
        <v>7853</v>
      </c>
      <c r="F4275" s="3" t="s">
        <v>6151</v>
      </c>
      <c r="G4275" s="3" t="str">
        <f>IFERROR(__xludf.DUMMYFUNCTION("GOOGLETRANSLATE(D4275,""fr"",""es"")"),"souquasses")</f>
        <v>souquasses</v>
      </c>
    </row>
    <row r="4276">
      <c r="A4276" s="3">
        <v>1728.0</v>
      </c>
      <c r="B4276" s="3" t="s">
        <v>6738</v>
      </c>
      <c r="C4276" s="3" t="s">
        <v>190</v>
      </c>
      <c r="D4276" s="3" t="s">
        <v>7854</v>
      </c>
      <c r="E4276" s="3" t="s">
        <v>7850</v>
      </c>
      <c r="F4276" s="3" t="s">
        <v>6142</v>
      </c>
      <c r="G4276" s="3" t="str">
        <f>IFERROR(__xludf.DUMMYFUNCTION("GOOGLETRANSLATE(D4276,""fr"",""es"")"),"maleza")</f>
        <v>maleza</v>
      </c>
    </row>
    <row r="4277">
      <c r="A4277" s="3">
        <v>1729.0</v>
      </c>
      <c r="B4277" s="3" t="s">
        <v>6738</v>
      </c>
      <c r="C4277" s="3" t="s">
        <v>190</v>
      </c>
      <c r="D4277" s="3" t="s">
        <v>6154</v>
      </c>
      <c r="E4277" s="3" t="s">
        <v>7827</v>
      </c>
      <c r="F4277" s="3" t="s">
        <v>6057</v>
      </c>
      <c r="G4277" s="3" t="str">
        <f>IFERROR(__xludf.DUMMYFUNCTION("GOOGLETRANSLATE(D4277,""fr"",""es"")"),"despreocupado")</f>
        <v>despreocupado</v>
      </c>
    </row>
    <row r="4278">
      <c r="A4278" s="3">
        <v>1730.0</v>
      </c>
      <c r="B4278" s="3" t="s">
        <v>6738</v>
      </c>
      <c r="C4278" s="3" t="s">
        <v>190</v>
      </c>
      <c r="D4278" s="3" t="s">
        <v>6155</v>
      </c>
      <c r="E4278" s="3" t="s">
        <v>7827</v>
      </c>
      <c r="F4278" s="3" t="s">
        <v>6057</v>
      </c>
      <c r="G4278" s="3" t="str">
        <f>IFERROR(__xludf.DUMMYFUNCTION("GOOGLETRANSLATE(D4278,""fr"",""es"")"),"socavar")</f>
        <v>socavar</v>
      </c>
    </row>
    <row r="4279">
      <c r="A4279" s="3">
        <v>1731.0</v>
      </c>
      <c r="B4279" s="3" t="s">
        <v>6738</v>
      </c>
      <c r="C4279" s="3" t="s">
        <v>190</v>
      </c>
      <c r="D4279" s="3" t="s">
        <v>6156</v>
      </c>
      <c r="E4279" s="3" t="s">
        <v>7827</v>
      </c>
      <c r="F4279" s="3" t="s">
        <v>6057</v>
      </c>
      <c r="G4279" s="3" t="str">
        <f>IFERROR(__xludf.DUMMYFUNCTION("GOOGLETRANSLATE(D4279,""fr"",""es"")"),"turno")</f>
        <v>turno</v>
      </c>
    </row>
    <row r="4280">
      <c r="A4280" s="3">
        <v>1732.0</v>
      </c>
      <c r="B4280" s="3" t="s">
        <v>6738</v>
      </c>
      <c r="C4280" s="3" t="s">
        <v>190</v>
      </c>
      <c r="D4280" s="3" t="s">
        <v>6157</v>
      </c>
      <c r="E4280" s="3" t="s">
        <v>5668</v>
      </c>
      <c r="F4280" s="3" t="s">
        <v>5669</v>
      </c>
      <c r="G4280" s="3" t="str">
        <f>IFERROR(__xludf.DUMMYFUNCTION("GOOGLETRANSLATE(D4280,""fr"",""es"")"),"por debajo")</f>
        <v>por debajo</v>
      </c>
    </row>
    <row r="4281">
      <c r="A4281" s="3">
        <v>1733.0</v>
      </c>
      <c r="B4281" s="3" t="s">
        <v>6738</v>
      </c>
      <c r="C4281" s="3" t="s">
        <v>190</v>
      </c>
      <c r="D4281" s="3" t="s">
        <v>6158</v>
      </c>
      <c r="E4281" s="3" t="s">
        <v>7855</v>
      </c>
      <c r="F4281" s="3" t="s">
        <v>6160</v>
      </c>
      <c r="G4281" s="3" t="str">
        <f>IFERROR(__xludf.DUMMYFUNCTION("GOOGLETRANSLATE(D4281,""fr"",""es"")"),"bajo capa")</f>
        <v>bajo capa</v>
      </c>
      <c r="H4281" s="3" t="s">
        <v>6161</v>
      </c>
      <c r="I4281" s="3" t="s">
        <v>6162</v>
      </c>
      <c r="J4281" s="3" t="s">
        <v>6163</v>
      </c>
      <c r="K4281" s="3" t="s">
        <v>6164</v>
      </c>
      <c r="L4281" s="3" t="s">
        <v>6165</v>
      </c>
      <c r="M4281" s="3" t="s">
        <v>6166</v>
      </c>
      <c r="N4281" s="3" t="s">
        <v>6167</v>
      </c>
    </row>
    <row r="4282">
      <c r="A4282" s="3">
        <v>1734.0</v>
      </c>
      <c r="B4282" s="3" t="s">
        <v>6738</v>
      </c>
      <c r="C4282" s="3" t="s">
        <v>190</v>
      </c>
      <c r="D4282" s="3" t="s">
        <v>6168</v>
      </c>
      <c r="E4282" s="3" t="s">
        <v>7855</v>
      </c>
      <c r="F4282" s="3" t="s">
        <v>6160</v>
      </c>
      <c r="G4282" s="3" t="str">
        <f>IFERROR(__xludf.DUMMYFUNCTION("GOOGLETRANSLATE(D4282,""fr"",""es"")"),"subyacente")</f>
        <v>subyacente</v>
      </c>
    </row>
    <row r="4283">
      <c r="A4283" s="3">
        <v>1735.0</v>
      </c>
      <c r="B4283" s="3" t="s">
        <v>6738</v>
      </c>
      <c r="C4283" s="3" t="s">
        <v>190</v>
      </c>
      <c r="D4283" s="3" t="s">
        <v>6169</v>
      </c>
      <c r="E4283" s="3" t="s">
        <v>7856</v>
      </c>
      <c r="F4283" s="3" t="s">
        <v>6171</v>
      </c>
      <c r="G4283" s="3" t="str">
        <f>IFERROR(__xludf.DUMMYFUNCTION("GOOGLETRANSLATE(D4283,""fr"",""es"")"),"subarrendar")</f>
        <v>subarrendar</v>
      </c>
    </row>
    <row r="4284">
      <c r="A4284" s="3">
        <v>1736.0</v>
      </c>
      <c r="B4284" s="3" t="s">
        <v>6738</v>
      </c>
      <c r="C4284" s="3" t="s">
        <v>190</v>
      </c>
      <c r="D4284" s="3" t="s">
        <v>6172</v>
      </c>
      <c r="E4284" s="3" t="s">
        <v>7856</v>
      </c>
      <c r="F4284" s="3" t="s">
        <v>6171</v>
      </c>
      <c r="G4284" s="3" t="str">
        <f>IFERROR(__xludf.DUMMYFUNCTION("GOOGLETRANSLATE(D4284,""fr"",""es"")"),"subarrendar")</f>
        <v>subarrendar</v>
      </c>
    </row>
    <row r="4285">
      <c r="A4285" s="3">
        <v>1737.0</v>
      </c>
      <c r="B4285" s="3" t="s">
        <v>6738</v>
      </c>
      <c r="C4285" s="3" t="s">
        <v>190</v>
      </c>
      <c r="D4285" s="3" t="s">
        <v>6173</v>
      </c>
      <c r="E4285" s="3" t="s">
        <v>7856</v>
      </c>
      <c r="F4285" s="3" t="s">
        <v>6171</v>
      </c>
      <c r="G4285" s="3" t="str">
        <f>IFERROR(__xludf.DUMMYFUNCTION("GOOGLETRANSLATE(D4285,""fr"",""es"")"),"subyugado")</f>
        <v>subyugado</v>
      </c>
    </row>
    <row r="4286">
      <c r="A4286" s="3">
        <v>1738.0</v>
      </c>
      <c r="B4286" s="3" t="s">
        <v>6738</v>
      </c>
      <c r="C4286" s="3" t="s">
        <v>190</v>
      </c>
      <c r="D4286" s="3" t="s">
        <v>6177</v>
      </c>
      <c r="E4286" s="3" t="s">
        <v>7857</v>
      </c>
      <c r="F4286" s="3" t="s">
        <v>6179</v>
      </c>
      <c r="G4286" s="3" t="str">
        <f>IFERROR(__xludf.DUMMYFUNCTION("GOOGLETRANSLATE(D4286,""fr"",""es"")"),"subterránea")</f>
        <v>subterránea</v>
      </c>
    </row>
    <row r="4287">
      <c r="A4287" s="3">
        <v>1739.0</v>
      </c>
      <c r="B4287" s="3" t="s">
        <v>6738</v>
      </c>
      <c r="C4287" s="3" t="s">
        <v>190</v>
      </c>
      <c r="D4287" s="3" t="s">
        <v>6180</v>
      </c>
      <c r="E4287" s="3" t="s">
        <v>7857</v>
      </c>
      <c r="F4287" s="3" t="s">
        <v>6179</v>
      </c>
      <c r="G4287" s="3" t="str">
        <f>IFERROR(__xludf.DUMMYFUNCTION("GOOGLETRANSLATE(D4287,""fr"",""es"")"),"subnapas")</f>
        <v>subnapas</v>
      </c>
    </row>
    <row r="4288">
      <c r="A4288" s="3">
        <v>1740.0</v>
      </c>
      <c r="B4288" s="3" t="s">
        <v>6738</v>
      </c>
      <c r="C4288" s="3" t="s">
        <v>190</v>
      </c>
      <c r="D4288" s="3" t="s">
        <v>6181</v>
      </c>
      <c r="E4288" s="3" t="s">
        <v>7858</v>
      </c>
      <c r="F4288" s="3" t="s">
        <v>6183</v>
      </c>
      <c r="G4288" s="3" t="str">
        <f>IFERROR(__xludf.DUMMYFUNCTION("GOOGLETRANSLATE(D4288,""fr"",""es"")"),"platillo")</f>
        <v>platillo</v>
      </c>
    </row>
    <row r="4289">
      <c r="A4289" s="3">
        <v>1741.0</v>
      </c>
      <c r="B4289" s="3" t="s">
        <v>6738</v>
      </c>
      <c r="C4289" s="3" t="s">
        <v>190</v>
      </c>
      <c r="D4289" s="3" t="s">
        <v>6184</v>
      </c>
      <c r="E4289" s="3" t="s">
        <v>7858</v>
      </c>
      <c r="F4289" s="3" t="s">
        <v>6183</v>
      </c>
      <c r="G4289" s="3" t="str">
        <f>IFERROR(__xludf.DUMMYFUNCTION("GOOGLETRANSLATE(D4289,""fr"",""es"")"),"inferior")</f>
        <v>inferior</v>
      </c>
    </row>
    <row r="4290">
      <c r="A4290" s="3">
        <v>1742.0</v>
      </c>
      <c r="B4290" s="3" t="s">
        <v>6738</v>
      </c>
      <c r="C4290" s="3" t="s">
        <v>190</v>
      </c>
      <c r="D4290" s="3" t="s">
        <v>6185</v>
      </c>
      <c r="E4290" s="3" t="s">
        <v>7859</v>
      </c>
      <c r="F4290" s="3" t="s">
        <v>6187</v>
      </c>
      <c r="G4290" s="3" t="str">
        <f>IFERROR(__xludf.DUMMYFUNCTION("GOOGLETRANSLATE(D4290,""fr"",""es"")"),"sotana")</f>
        <v>sotana</v>
      </c>
      <c r="H4290" s="3" t="s">
        <v>6188</v>
      </c>
      <c r="I4290" s="3" t="s">
        <v>6185</v>
      </c>
    </row>
    <row r="4291">
      <c r="A4291" s="3">
        <v>1743.0</v>
      </c>
      <c r="B4291" s="3" t="s">
        <v>6738</v>
      </c>
      <c r="C4291" s="3" t="s">
        <v>190</v>
      </c>
      <c r="D4291" s="3" t="s">
        <v>6189</v>
      </c>
      <c r="E4291" s="3" t="s">
        <v>7859</v>
      </c>
      <c r="F4291" s="3" t="s">
        <v>6187</v>
      </c>
      <c r="G4291" s="3" t="str">
        <f>IFERROR(__xludf.DUMMYFUNCTION("GOOGLETRANSLATE(D4291,""fr"",""es"")"),"sostenido")</f>
        <v>sostenido</v>
      </c>
    </row>
    <row r="4292">
      <c r="A4292" s="3">
        <v>1744.0</v>
      </c>
      <c r="B4292" s="3" t="s">
        <v>6738</v>
      </c>
      <c r="C4292" s="3" t="s">
        <v>190</v>
      </c>
      <c r="D4292" s="3" t="s">
        <v>6190</v>
      </c>
      <c r="E4292" s="3" t="s">
        <v>6191</v>
      </c>
      <c r="F4292" s="3" t="s">
        <v>6190</v>
      </c>
      <c r="G4292" s="3" t="str">
        <f>IFERROR(__xludf.DUMMYFUNCTION("GOOGLETRANSLATE(D4292,""fr"",""es"")"),"su")</f>
        <v>su</v>
      </c>
      <c r="H4292" s="3" t="s">
        <v>6192</v>
      </c>
      <c r="I4292" s="3" t="s">
        <v>6193</v>
      </c>
      <c r="J4292" s="3" t="s">
        <v>6194</v>
      </c>
      <c r="K4292" s="3" t="s">
        <v>6192</v>
      </c>
      <c r="L4292" s="3" t="s">
        <v>6193</v>
      </c>
      <c r="M4292" s="3" t="s">
        <v>6194</v>
      </c>
    </row>
    <row r="4293">
      <c r="A4293" s="3">
        <v>1745.0</v>
      </c>
      <c r="B4293" s="3" t="s">
        <v>6738</v>
      </c>
      <c r="C4293" s="3" t="s">
        <v>190</v>
      </c>
      <c r="D4293" s="3" t="s">
        <v>6195</v>
      </c>
      <c r="E4293" s="3" t="s">
        <v>6196</v>
      </c>
      <c r="F4293" s="3" t="s">
        <v>6197</v>
      </c>
      <c r="G4293" s="3" t="str">
        <f>IFERROR(__xludf.DUMMYFUNCTION("GOOGLETRANSLATE(D4293,""fr"",""es"")"),"TAC")</f>
        <v>TAC</v>
      </c>
    </row>
    <row r="4294">
      <c r="A4294" s="3">
        <v>1746.0</v>
      </c>
      <c r="B4294" s="3" t="s">
        <v>6738</v>
      </c>
      <c r="C4294" s="3" t="s">
        <v>190</v>
      </c>
      <c r="D4294" s="3" t="s">
        <v>7860</v>
      </c>
      <c r="E4294" s="3" t="s">
        <v>6199</v>
      </c>
      <c r="F4294" s="3" t="s">
        <v>6200</v>
      </c>
      <c r="G4294" s="3" t="str">
        <f>IFERROR(__xludf.DUMMYFUNCTION("GOOGLETRANSLATE(D4294,""fr"",""es"")"),"tacha")</f>
        <v>tacha</v>
      </c>
    </row>
    <row r="4295">
      <c r="A4295" s="3">
        <v>1747.0</v>
      </c>
      <c r="B4295" s="3" t="s">
        <v>6738</v>
      </c>
      <c r="C4295" s="3" t="s">
        <v>190</v>
      </c>
      <c r="D4295" s="3" t="s">
        <v>7861</v>
      </c>
      <c r="E4295" s="3" t="s">
        <v>6199</v>
      </c>
      <c r="F4295" s="3" t="s">
        <v>6200</v>
      </c>
      <c r="G4295" s="3" t="str">
        <f>IFERROR(__xludf.DUMMYFUNCTION("GOOGLETRANSLATE(D4295,""fr"",""es"")"),"tascha")</f>
        <v>tascha</v>
      </c>
    </row>
    <row r="4296">
      <c r="A4296" s="3">
        <v>1748.0</v>
      </c>
      <c r="B4296" s="3" t="s">
        <v>6738</v>
      </c>
      <c r="C4296" s="3" t="s">
        <v>190</v>
      </c>
      <c r="D4296" s="3" t="s">
        <v>6208</v>
      </c>
      <c r="E4296" s="3" t="s">
        <v>6209</v>
      </c>
      <c r="F4296" s="3" t="s">
        <v>6210</v>
      </c>
      <c r="G4296" s="3" t="str">
        <f>IFERROR(__xludf.DUMMYFUNCTION("GOOGLETRANSLATE(D4296,""fr"",""es"")"),"tachâme")</f>
        <v>tachâme</v>
      </c>
    </row>
    <row r="4297">
      <c r="A4297" s="3">
        <v>1749.0</v>
      </c>
      <c r="B4297" s="3" t="s">
        <v>6738</v>
      </c>
      <c r="C4297" s="3" t="s">
        <v>190</v>
      </c>
      <c r="D4297" s="3" t="s">
        <v>6211</v>
      </c>
      <c r="E4297" s="3" t="s">
        <v>6209</v>
      </c>
      <c r="F4297" s="3" t="s">
        <v>6210</v>
      </c>
      <c r="G4297" s="3" t="str">
        <f>IFERROR(__xludf.DUMMYFUNCTION("GOOGLETRANSLATE(D4297,""fr"",""es"")"),"sabroso")</f>
        <v>sabroso</v>
      </c>
    </row>
    <row r="4298">
      <c r="A4298" s="3">
        <v>1750.0</v>
      </c>
      <c r="B4298" s="3" t="s">
        <v>6738</v>
      </c>
      <c r="C4298" s="3" t="s">
        <v>190</v>
      </c>
      <c r="D4298" s="3" t="s">
        <v>7862</v>
      </c>
      <c r="E4298" s="3" t="s">
        <v>6199</v>
      </c>
      <c r="F4298" s="3" t="s">
        <v>6200</v>
      </c>
      <c r="G4298" s="3" t="str">
        <f>IFERROR(__xludf.DUMMYFUNCTION("GOOGLETRANSLATE(D4298,""fr"",""es"")"),"taschas")</f>
        <v>taschas</v>
      </c>
    </row>
    <row r="4299">
      <c r="A4299" s="3">
        <v>1751.0</v>
      </c>
      <c r="B4299" s="3" t="s">
        <v>6738</v>
      </c>
      <c r="C4299" s="3" t="s">
        <v>190</v>
      </c>
      <c r="D4299" s="3" t="s">
        <v>7863</v>
      </c>
      <c r="E4299" s="3" t="s">
        <v>6199</v>
      </c>
      <c r="F4299" s="3" t="s">
        <v>6200</v>
      </c>
      <c r="G4299" s="3" t="str">
        <f>IFERROR(__xludf.DUMMYFUNCTION("GOOGLETRANSLATE(D4299,""fr"",""es"")"),"taschas")</f>
        <v>taschas</v>
      </c>
    </row>
    <row r="4300">
      <c r="A4300" s="3">
        <v>1752.0</v>
      </c>
      <c r="B4300" s="3" t="s">
        <v>6738</v>
      </c>
      <c r="C4300" s="3" t="s">
        <v>190</v>
      </c>
      <c r="D4300" s="3" t="s">
        <v>6212</v>
      </c>
      <c r="E4300" s="3" t="s">
        <v>6213</v>
      </c>
      <c r="F4300" s="3" t="s">
        <v>6214</v>
      </c>
      <c r="G4300" s="3" t="str">
        <f>IFERROR(__xludf.DUMMYFUNCTION("GOOGLETRANSLATE(D4300,""fr"",""es"")"),"rascar")</f>
        <v>rascar</v>
      </c>
    </row>
    <row r="4301">
      <c r="A4301" s="3">
        <v>1753.0</v>
      </c>
      <c r="B4301" s="3" t="s">
        <v>6738</v>
      </c>
      <c r="C4301" s="3" t="s">
        <v>190</v>
      </c>
      <c r="D4301" s="3" t="s">
        <v>6215</v>
      </c>
      <c r="E4301" s="3" t="s">
        <v>6213</v>
      </c>
      <c r="F4301" s="3" t="s">
        <v>6214</v>
      </c>
      <c r="G4301" s="3" t="str">
        <f>IFERROR(__xludf.DUMMYFUNCTION("GOOGLETRANSLATE(D4301,""fr"",""es"")"),"saboreo")</f>
        <v>saboreo</v>
      </c>
    </row>
    <row r="4302">
      <c r="A4302" s="3">
        <v>1754.0</v>
      </c>
      <c r="B4302" s="3" t="s">
        <v>6738</v>
      </c>
      <c r="C4302" s="3" t="s">
        <v>190</v>
      </c>
      <c r="D4302" s="3" t="s">
        <v>6216</v>
      </c>
      <c r="E4302" s="3" t="s">
        <v>6213</v>
      </c>
      <c r="F4302" s="3" t="s">
        <v>6214</v>
      </c>
      <c r="G4302" s="3" t="str">
        <f>IFERROR(__xludf.DUMMYFUNCTION("GOOGLETRANSLATE(D4302,""fr"",""es"")"),"tocar")</f>
        <v>tocar</v>
      </c>
    </row>
    <row r="4303">
      <c r="A4303" s="3">
        <v>1755.0</v>
      </c>
      <c r="B4303" s="3" t="s">
        <v>6738</v>
      </c>
      <c r="C4303" s="3" t="s">
        <v>190</v>
      </c>
      <c r="D4303" s="3" t="s">
        <v>6217</v>
      </c>
      <c r="E4303" s="3" t="s">
        <v>6213</v>
      </c>
      <c r="F4303" s="3" t="s">
        <v>6214</v>
      </c>
      <c r="G4303" s="3" t="str">
        <f>IFERROR(__xludf.DUMMYFUNCTION("GOOGLETRANSLATE(D4303,""fr"",""es"")"),"probar")</f>
        <v>probar</v>
      </c>
    </row>
    <row r="4304">
      <c r="A4304" s="3">
        <v>1756.0</v>
      </c>
      <c r="B4304" s="3" t="s">
        <v>6738</v>
      </c>
      <c r="C4304" s="3" t="s">
        <v>190</v>
      </c>
      <c r="D4304" s="3" t="s">
        <v>6218</v>
      </c>
      <c r="E4304" s="3" t="s">
        <v>6213</v>
      </c>
      <c r="F4304" s="3" t="s">
        <v>6214</v>
      </c>
      <c r="G4304" s="3" t="str">
        <f>IFERROR(__xludf.DUMMYFUNCTION("GOOGLETRANSLATE(D4304,""fr"",""es"")"),"punteado")</f>
        <v>punteado</v>
      </c>
    </row>
    <row r="4305">
      <c r="A4305" s="3">
        <v>1757.0</v>
      </c>
      <c r="B4305" s="3" t="s">
        <v>6738</v>
      </c>
      <c r="C4305" s="3" t="s">
        <v>190</v>
      </c>
      <c r="D4305" s="3" t="s">
        <v>6219</v>
      </c>
      <c r="E4305" s="3" t="s">
        <v>6213</v>
      </c>
      <c r="F4305" s="3" t="s">
        <v>6214</v>
      </c>
      <c r="G4305" s="3" t="str">
        <f>IFERROR(__xludf.DUMMYFUNCTION("GOOGLETRANSLATE(D4305,""fr"",""es"")"),"taschases")</f>
        <v>taschases</v>
      </c>
    </row>
    <row r="4306">
      <c r="A4306" s="3">
        <v>1758.0</v>
      </c>
      <c r="B4306" s="3" t="s">
        <v>6738</v>
      </c>
      <c r="C4306" s="3" t="s">
        <v>190</v>
      </c>
      <c r="D4306" s="3" t="s">
        <v>7864</v>
      </c>
      <c r="E4306" s="3" t="s">
        <v>6199</v>
      </c>
      <c r="F4306" s="3" t="s">
        <v>6200</v>
      </c>
      <c r="G4306" s="3" t="str">
        <f>IFERROR(__xludf.DUMMYFUNCTION("GOOGLETRANSLATE(D4306,""fr"",""es"")"),"tu gato")</f>
        <v>tu gato</v>
      </c>
    </row>
    <row r="4307">
      <c r="A4307" s="3">
        <v>1759.0</v>
      </c>
      <c r="B4307" s="3" t="s">
        <v>6738</v>
      </c>
      <c r="C4307" s="3" t="s">
        <v>190</v>
      </c>
      <c r="D4307" s="3" t="s">
        <v>7865</v>
      </c>
      <c r="E4307" s="3" t="s">
        <v>6199</v>
      </c>
      <c r="F4307" s="3" t="s">
        <v>6200</v>
      </c>
      <c r="G4307" s="3" t="str">
        <f>IFERROR(__xludf.DUMMYFUNCTION("GOOGLETRANSLATE(D4307,""fr"",""es"")"),"tu gato")</f>
        <v>tu gato</v>
      </c>
    </row>
    <row r="4308">
      <c r="A4308" s="3">
        <v>1760.0</v>
      </c>
      <c r="B4308" s="3" t="s">
        <v>6738</v>
      </c>
      <c r="C4308" s="3" t="s">
        <v>190</v>
      </c>
      <c r="D4308" s="3" t="s">
        <v>6220</v>
      </c>
      <c r="E4308" s="3" t="s">
        <v>6221</v>
      </c>
      <c r="F4308" s="3" t="s">
        <v>6222</v>
      </c>
      <c r="G4308" s="3" t="str">
        <f>IFERROR(__xludf.DUMMYFUNCTION("GOOGLETRANSLATE(D4308,""fr"",""es"")"),"Mancha")</f>
        <v>Mancha</v>
      </c>
      <c r="H4308" s="3" t="s">
        <v>6223</v>
      </c>
      <c r="I4308" s="3" t="s">
        <v>6224</v>
      </c>
      <c r="J4308" s="3" t="s">
        <v>6225</v>
      </c>
      <c r="K4308" s="3" t="s">
        <v>6226</v>
      </c>
      <c r="L4308" s="3" t="s">
        <v>6227</v>
      </c>
      <c r="M4308" s="3" t="s">
        <v>6228</v>
      </c>
      <c r="N4308" s="3" t="s">
        <v>6229</v>
      </c>
      <c r="O4308" s="3" t="s">
        <v>6226</v>
      </c>
      <c r="P4308" s="3" t="s">
        <v>6230</v>
      </c>
      <c r="Q4308" s="3" t="s">
        <v>6231</v>
      </c>
      <c r="R4308" s="3" t="s">
        <v>6223</v>
      </c>
      <c r="S4308" s="3" t="s">
        <v>6226</v>
      </c>
      <c r="T4308" s="3" t="s">
        <v>6232</v>
      </c>
      <c r="U4308" s="3" t="s">
        <v>6233</v>
      </c>
      <c r="V4308" s="3" t="s">
        <v>6234</v>
      </c>
      <c r="W4308" s="3" t="s">
        <v>6230</v>
      </c>
      <c r="X4308" s="3" t="s">
        <v>6235</v>
      </c>
      <c r="Y4308" s="3" t="s">
        <v>6236</v>
      </c>
      <c r="Z4308" s="3" t="s">
        <v>6237</v>
      </c>
      <c r="AA4308" s="3" t="s">
        <v>6238</v>
      </c>
      <c r="AB4308" s="3" t="s">
        <v>6239</v>
      </c>
      <c r="AC4308" s="3" t="s">
        <v>6240</v>
      </c>
      <c r="AD4308" s="3" t="s">
        <v>6226</v>
      </c>
      <c r="AE4308" s="3" t="s">
        <v>6223</v>
      </c>
      <c r="AF4308" s="3" t="s">
        <v>6241</v>
      </c>
      <c r="AG4308" s="3" t="s">
        <v>6224</v>
      </c>
      <c r="AH4308" s="3" t="s">
        <v>6225</v>
      </c>
      <c r="AI4308" s="3" t="s">
        <v>6242</v>
      </c>
      <c r="AJ4308" s="3" t="s">
        <v>6243</v>
      </c>
      <c r="AK4308" s="3" t="s">
        <v>6244</v>
      </c>
      <c r="AL4308" s="3" t="s">
        <v>6245</v>
      </c>
      <c r="AM4308" s="3" t="s">
        <v>6246</v>
      </c>
      <c r="AN4308" s="3" t="s">
        <v>6247</v>
      </c>
      <c r="AO4308" s="3" t="s">
        <v>5940</v>
      </c>
      <c r="AP4308" s="3" t="s">
        <v>6248</v>
      </c>
      <c r="AQ4308" s="3" t="s">
        <v>6249</v>
      </c>
      <c r="AR4308" s="3" t="s">
        <v>6227</v>
      </c>
      <c r="AS4308" s="3" t="s">
        <v>6250</v>
      </c>
      <c r="AT4308" s="3" t="s">
        <v>6251</v>
      </c>
      <c r="AU4308" s="3" t="s">
        <v>6252</v>
      </c>
      <c r="AV4308" s="3" t="s">
        <v>6253</v>
      </c>
      <c r="AW4308" s="3" t="s">
        <v>6254</v>
      </c>
      <c r="AX4308" s="3" t="s">
        <v>6255</v>
      </c>
      <c r="AY4308" s="3" t="s">
        <v>6227</v>
      </c>
      <c r="AZ4308" s="3" t="s">
        <v>6256</v>
      </c>
      <c r="BA4308" s="3" t="s">
        <v>6257</v>
      </c>
      <c r="BB4308" s="3" t="s">
        <v>6227</v>
      </c>
    </row>
    <row r="4309">
      <c r="A4309" s="3">
        <v>1761.0</v>
      </c>
      <c r="B4309" s="3" t="s">
        <v>6738</v>
      </c>
      <c r="C4309" s="3" t="s">
        <v>190</v>
      </c>
      <c r="D4309" s="3" t="s">
        <v>6258</v>
      </c>
      <c r="E4309" s="3" t="s">
        <v>6221</v>
      </c>
      <c r="F4309" s="3" t="s">
        <v>6222</v>
      </c>
      <c r="G4309" s="3" t="str">
        <f>IFERROR(__xludf.DUMMYFUNCTION("GOOGLETRANSLATE(D4309,""fr"",""es"")"),"Mancha")</f>
        <v>Mancha</v>
      </c>
      <c r="H4309" s="3" t="s">
        <v>6259</v>
      </c>
      <c r="I4309" s="3" t="s">
        <v>6259</v>
      </c>
      <c r="J4309" s="3" t="s">
        <v>6260</v>
      </c>
      <c r="K4309" s="3" t="s">
        <v>6261</v>
      </c>
      <c r="L4309" s="3" t="s">
        <v>6259</v>
      </c>
      <c r="M4309" s="3" t="s">
        <v>6262</v>
      </c>
      <c r="N4309" s="3" t="s">
        <v>1499</v>
      </c>
      <c r="O4309" s="3" t="s">
        <v>6259</v>
      </c>
      <c r="P4309" s="3" t="s">
        <v>6259</v>
      </c>
      <c r="Q4309" s="3" t="s">
        <v>6263</v>
      </c>
      <c r="R4309" s="3" t="s">
        <v>6264</v>
      </c>
      <c r="S4309" s="3" t="s">
        <v>6265</v>
      </c>
      <c r="T4309" s="3" t="s">
        <v>6266</v>
      </c>
      <c r="U4309" s="3" t="s">
        <v>6267</v>
      </c>
      <c r="V4309" s="3" t="s">
        <v>6268</v>
      </c>
      <c r="W4309" s="3" t="s">
        <v>6269</v>
      </c>
      <c r="X4309" s="3" t="s">
        <v>6270</v>
      </c>
      <c r="Y4309" s="3" t="s">
        <v>6269</v>
      </c>
      <c r="Z4309" s="3" t="s">
        <v>6271</v>
      </c>
      <c r="AA4309" s="3" t="s">
        <v>6263</v>
      </c>
      <c r="AB4309" s="3" t="s">
        <v>6263</v>
      </c>
      <c r="AC4309" s="3" t="s">
        <v>6259</v>
      </c>
      <c r="AD4309" s="3" t="s">
        <v>6259</v>
      </c>
      <c r="AE4309" s="3" t="s">
        <v>6272</v>
      </c>
      <c r="AF4309" s="3" t="s">
        <v>6259</v>
      </c>
    </row>
    <row r="4310">
      <c r="A4310" s="3">
        <v>1762.0</v>
      </c>
      <c r="B4310" s="3" t="s">
        <v>6738</v>
      </c>
      <c r="C4310" s="3" t="s">
        <v>190</v>
      </c>
      <c r="D4310" s="3" t="s">
        <v>6273</v>
      </c>
      <c r="E4310" s="3" t="s">
        <v>6221</v>
      </c>
      <c r="F4310" s="3" t="s">
        <v>6222</v>
      </c>
      <c r="G4310" s="3" t="str">
        <f>IFERROR(__xludf.DUMMYFUNCTION("GOOGLETRANSLATE(D4310,""fr"",""es"")"),"mancha")</f>
        <v>mancha</v>
      </c>
    </row>
    <row r="4311">
      <c r="A4311" s="3">
        <v>1763.0</v>
      </c>
      <c r="B4311" s="3" t="s">
        <v>6738</v>
      </c>
      <c r="C4311" s="3" t="s">
        <v>190</v>
      </c>
      <c r="D4311" s="3" t="s">
        <v>6274</v>
      </c>
      <c r="E4311" s="3" t="s">
        <v>6221</v>
      </c>
      <c r="F4311" s="3" t="s">
        <v>6222</v>
      </c>
      <c r="G4311" s="3" t="str">
        <f>IFERROR(__xludf.DUMMYFUNCTION("GOOGLETRANSLATE(D4311,""fr"",""es"")"),"probar")</f>
        <v>probar</v>
      </c>
    </row>
    <row r="4312">
      <c r="A4312" s="3">
        <v>1764.0</v>
      </c>
      <c r="B4312" s="3" t="s">
        <v>6738</v>
      </c>
      <c r="C4312" s="3" t="s">
        <v>190</v>
      </c>
      <c r="D4312" s="3" t="s">
        <v>6275</v>
      </c>
      <c r="E4312" s="3" t="s">
        <v>6221</v>
      </c>
      <c r="F4312" s="3" t="s">
        <v>6222</v>
      </c>
      <c r="G4312" s="3" t="str">
        <f>IFERROR(__xludf.DUMMYFUNCTION("GOOGLETRANSLATE(D4312,""fr"",""es"")"),"Tareas")</f>
        <v>Tareas</v>
      </c>
    </row>
    <row r="4313">
      <c r="A4313" s="3">
        <v>1765.0</v>
      </c>
      <c r="B4313" s="3" t="s">
        <v>6738</v>
      </c>
      <c r="C4313" s="3" t="s">
        <v>190</v>
      </c>
      <c r="D4313" s="3" t="s">
        <v>6276</v>
      </c>
      <c r="E4313" s="3" t="s">
        <v>6221</v>
      </c>
      <c r="F4313" s="3" t="s">
        <v>6222</v>
      </c>
      <c r="G4313" s="3" t="str">
        <f>IFERROR(__xludf.DUMMYFUNCTION("GOOGLETRANSLATE(D4313,""fr"",""es"")"),"Tareas")</f>
        <v>Tareas</v>
      </c>
    </row>
    <row r="4314">
      <c r="A4314" s="3">
        <v>1766.0</v>
      </c>
      <c r="B4314" s="3" t="s">
        <v>6738</v>
      </c>
      <c r="C4314" s="3" t="s">
        <v>190</v>
      </c>
      <c r="D4314" s="3" t="s">
        <v>6283</v>
      </c>
      <c r="E4314" s="3" t="s">
        <v>6196</v>
      </c>
      <c r="F4314" s="3" t="s">
        <v>6197</v>
      </c>
      <c r="G4314" s="3" t="str">
        <f>IFERROR(__xludf.DUMMYFUNCTION("GOOGLETRANSLATE(D4314,""fr"",""es"")"),"tacles")</f>
        <v>tacles</v>
      </c>
    </row>
    <row r="4315">
      <c r="A4315" s="3">
        <v>1767.0</v>
      </c>
      <c r="B4315" s="3" t="s">
        <v>6738</v>
      </c>
      <c r="C4315" s="3" t="s">
        <v>190</v>
      </c>
      <c r="D4315" s="3" t="s">
        <v>7866</v>
      </c>
      <c r="E4315" s="3" t="s">
        <v>6296</v>
      </c>
      <c r="F4315" s="3" t="s">
        <v>6297</v>
      </c>
      <c r="G4315" s="3" t="str">
        <f>IFERROR(__xludf.DUMMYFUNCTION("GOOGLETRANSLATE(D4315,""fr"",""es"")"),"Corte")</f>
        <v>Corte</v>
      </c>
    </row>
    <row r="4316">
      <c r="A4316" s="3">
        <v>1768.0</v>
      </c>
      <c r="B4316" s="3" t="s">
        <v>6738</v>
      </c>
      <c r="C4316" s="3" t="s">
        <v>190</v>
      </c>
      <c r="D4316" s="3" t="s">
        <v>6301</v>
      </c>
      <c r="E4316" s="3" t="s">
        <v>6302</v>
      </c>
      <c r="F4316" s="3" t="s">
        <v>6303</v>
      </c>
      <c r="G4316" s="3" t="str">
        <f>IFERROR(__xludf.DUMMYFUNCTION("GOOGLETRANSLATE(D4316,""fr"",""es"")"),"alto")</f>
        <v>alto</v>
      </c>
    </row>
    <row r="4317">
      <c r="A4317" s="3">
        <v>1769.0</v>
      </c>
      <c r="B4317" s="3" t="s">
        <v>6738</v>
      </c>
      <c r="C4317" s="3" t="s">
        <v>190</v>
      </c>
      <c r="D4317" s="3" t="s">
        <v>7867</v>
      </c>
      <c r="E4317" s="3" t="s">
        <v>6296</v>
      </c>
      <c r="F4317" s="3" t="s">
        <v>6297</v>
      </c>
      <c r="G4317" s="3" t="str">
        <f>IFERROR(__xludf.DUMMYFUNCTION("GOOGLETRANSLATE(D4317,""fr"",""es"")"),"cola")</f>
        <v>cola</v>
      </c>
    </row>
    <row r="4318">
      <c r="A4318" s="3">
        <v>1770.0</v>
      </c>
      <c r="B4318" s="3" t="s">
        <v>6738</v>
      </c>
      <c r="C4318" s="3" t="s">
        <v>190</v>
      </c>
      <c r="D4318" s="3" t="s">
        <v>6304</v>
      </c>
      <c r="E4318" s="3" t="s">
        <v>6305</v>
      </c>
      <c r="F4318" s="3" t="s">
        <v>6306</v>
      </c>
      <c r="G4318" s="3" t="str">
        <f>IFERROR(__xludf.DUMMYFUNCTION("GOOGLETRANSLATE(D4318,""fr"",""es"")"),"cortador")</f>
        <v>cortador</v>
      </c>
    </row>
    <row r="4319">
      <c r="A4319" s="3">
        <v>1771.0</v>
      </c>
      <c r="B4319" s="3" t="s">
        <v>6738</v>
      </c>
      <c r="C4319" s="3" t="s">
        <v>190</v>
      </c>
      <c r="D4319" s="3" t="s">
        <v>6307</v>
      </c>
      <c r="E4319" s="3" t="s">
        <v>6305</v>
      </c>
      <c r="F4319" s="3" t="s">
        <v>6306</v>
      </c>
      <c r="G4319" s="3" t="str">
        <f>IFERROR(__xludf.DUMMYFUNCTION("GOOGLETRANSLATE(D4319,""fr"",""es"")"),"proclamar")</f>
        <v>proclamar</v>
      </c>
    </row>
    <row r="4320">
      <c r="A4320" s="3">
        <v>1772.0</v>
      </c>
      <c r="B4320" s="3" t="s">
        <v>6738</v>
      </c>
      <c r="C4320" s="3" t="s">
        <v>190</v>
      </c>
      <c r="D4320" s="3" t="s">
        <v>6308</v>
      </c>
      <c r="E4320" s="3" t="s">
        <v>6305</v>
      </c>
      <c r="F4320" s="3" t="s">
        <v>6306</v>
      </c>
      <c r="G4320" s="3" t="str">
        <f>IFERROR(__xludf.DUMMYFUNCTION("GOOGLETRANSLATE(D4320,""fr"",""es"")"),"espada")</f>
        <v>espada</v>
      </c>
    </row>
    <row r="4321">
      <c r="A4321" s="3">
        <v>1773.0</v>
      </c>
      <c r="B4321" s="3" t="s">
        <v>6738</v>
      </c>
      <c r="C4321" s="3" t="s">
        <v>190</v>
      </c>
      <c r="D4321" s="3" t="s">
        <v>7868</v>
      </c>
      <c r="E4321" s="3" t="s">
        <v>6296</v>
      </c>
      <c r="F4321" s="3" t="s">
        <v>6297</v>
      </c>
      <c r="G4321" s="3" t="str">
        <f>IFERROR(__xludf.DUMMYFUNCTION("GOOGLETRANSLATE(D4321,""fr"",""es"")"),"alto")</f>
        <v>alto</v>
      </c>
    </row>
    <row r="4322">
      <c r="A4322" s="3">
        <v>1774.0</v>
      </c>
      <c r="B4322" s="3" t="s">
        <v>6738</v>
      </c>
      <c r="C4322" s="3" t="s">
        <v>190</v>
      </c>
      <c r="D4322" s="3" t="s">
        <v>6309</v>
      </c>
      <c r="E4322" s="3" t="s">
        <v>6310</v>
      </c>
      <c r="F4322" s="3" t="s">
        <v>6311</v>
      </c>
      <c r="G4322" s="3" t="str">
        <f>IFERROR(__xludf.DUMMYFUNCTION("GOOGLETRANSLATE(D4322,""fr"",""es"")"),"tamaño")</f>
        <v>tamaño</v>
      </c>
      <c r="H4322" s="3" t="s">
        <v>6003</v>
      </c>
      <c r="I4322" s="3" t="s">
        <v>6312</v>
      </c>
      <c r="J4322" s="3" t="s">
        <v>6313</v>
      </c>
      <c r="K4322" s="3" t="s">
        <v>1964</v>
      </c>
      <c r="L4322" s="3" t="s">
        <v>6314</v>
      </c>
      <c r="M4322" s="3" t="s">
        <v>6314</v>
      </c>
      <c r="N4322" s="3" t="s">
        <v>6314</v>
      </c>
      <c r="O4322" s="3" t="s">
        <v>6315</v>
      </c>
      <c r="P4322" s="3" t="s">
        <v>6316</v>
      </c>
      <c r="Q4322" s="3" t="s">
        <v>6317</v>
      </c>
      <c r="R4322" s="3" t="s">
        <v>6312</v>
      </c>
      <c r="S4322" s="3" t="s">
        <v>6318</v>
      </c>
      <c r="T4322" s="3" t="s">
        <v>6314</v>
      </c>
      <c r="U4322" s="3" t="s">
        <v>6319</v>
      </c>
    </row>
    <row r="4323">
      <c r="A4323" s="3">
        <v>1775.0</v>
      </c>
      <c r="B4323" s="3" t="s">
        <v>6738</v>
      </c>
      <c r="C4323" s="3" t="s">
        <v>190</v>
      </c>
      <c r="D4323" s="3" t="s">
        <v>6320</v>
      </c>
      <c r="E4323" s="3" t="s">
        <v>6310</v>
      </c>
      <c r="F4323" s="3" t="s">
        <v>6311</v>
      </c>
      <c r="G4323" s="3" t="str">
        <f>IFERROR(__xludf.DUMMYFUNCTION("GOOGLETRANSLATE(D4323,""fr"",""es"")"),"Corte")</f>
        <v>Corte</v>
      </c>
    </row>
    <row r="4324">
      <c r="A4324" s="3">
        <v>1776.0</v>
      </c>
      <c r="B4324" s="3" t="s">
        <v>6738</v>
      </c>
      <c r="C4324" s="3" t="s">
        <v>190</v>
      </c>
      <c r="D4324" s="3" t="s">
        <v>6321</v>
      </c>
      <c r="E4324" s="3" t="s">
        <v>6310</v>
      </c>
      <c r="F4324" s="3" t="s">
        <v>6311</v>
      </c>
      <c r="G4324" s="3" t="str">
        <f>IFERROR(__xludf.DUMMYFUNCTION("GOOGLETRANSLATE(D4324,""fr"",""es"")"),"tallas")</f>
        <v>tallas</v>
      </c>
    </row>
    <row r="4325">
      <c r="A4325" s="3">
        <v>1777.0</v>
      </c>
      <c r="B4325" s="3" t="s">
        <v>6738</v>
      </c>
      <c r="C4325" s="3" t="s">
        <v>190</v>
      </c>
      <c r="D4325" s="3" t="s">
        <v>6322</v>
      </c>
      <c r="E4325" s="3" t="s">
        <v>6323</v>
      </c>
      <c r="F4325" s="3" t="s">
        <v>6324</v>
      </c>
      <c r="G4325" s="3" t="str">
        <f>IFERROR(__xludf.DUMMYFUNCTION("GOOGLETRANSLATE(D4325,""fr"",""es"")"),"rayo")</f>
        <v>rayo</v>
      </c>
      <c r="H4325" s="3" t="s">
        <v>3505</v>
      </c>
      <c r="I4325" s="3" t="s">
        <v>3506</v>
      </c>
      <c r="J4325" s="3" t="s">
        <v>3507</v>
      </c>
      <c r="K4325" s="3" t="s">
        <v>3508</v>
      </c>
      <c r="L4325" s="3" t="s">
        <v>3509</v>
      </c>
    </row>
    <row r="4326">
      <c r="A4326" s="3">
        <v>1778.0</v>
      </c>
      <c r="B4326" s="3" t="s">
        <v>6738</v>
      </c>
      <c r="C4326" s="3" t="s">
        <v>190</v>
      </c>
      <c r="D4326" s="3" t="s">
        <v>6325</v>
      </c>
      <c r="E4326" s="3" t="s">
        <v>6326</v>
      </c>
      <c r="F4326" s="3" t="s">
        <v>6327</v>
      </c>
      <c r="G4326" s="3" t="str">
        <f>IFERROR(__xludf.DUMMYFUNCTION("GOOGLETRANSLATE(D4326,""fr"",""es"")"),"cuento")</f>
        <v>cuento</v>
      </c>
    </row>
    <row r="4327">
      <c r="A4327" s="3">
        <v>1779.0</v>
      </c>
      <c r="B4327" s="3" t="s">
        <v>6738</v>
      </c>
      <c r="C4327" s="3" t="s">
        <v>190</v>
      </c>
      <c r="D4327" s="3" t="s">
        <v>6328</v>
      </c>
      <c r="E4327" s="3" t="s">
        <v>6326</v>
      </c>
      <c r="F4327" s="3" t="s">
        <v>6327</v>
      </c>
      <c r="G4327" s="3" t="str">
        <f>IFERROR(__xludf.DUMMYFUNCTION("GOOGLETRANSLATE(D4327,""fr"",""es"")"),"cuentos")</f>
        <v>cuentos</v>
      </c>
    </row>
    <row r="4328">
      <c r="A4328" s="3">
        <v>1780.0</v>
      </c>
      <c r="B4328" s="3" t="s">
        <v>6738</v>
      </c>
      <c r="C4328" s="3" t="s">
        <v>190</v>
      </c>
      <c r="D4328" s="3" t="s">
        <v>6329</v>
      </c>
      <c r="E4328" s="3" t="s">
        <v>6330</v>
      </c>
      <c r="F4328" s="3" t="s">
        <v>6331</v>
      </c>
      <c r="G4328" s="3" t="str">
        <f>IFERROR(__xludf.DUMMYFUNCTION("GOOGLETRANSLATE(D4328,""fr"",""es"")"),"tamiz")</f>
        <v>tamiz</v>
      </c>
      <c r="H4328" s="3" t="s">
        <v>6332</v>
      </c>
      <c r="I4328" s="3" t="s">
        <v>6333</v>
      </c>
      <c r="J4328" s="3" t="s">
        <v>6333</v>
      </c>
      <c r="K4328" s="3" t="s">
        <v>6332</v>
      </c>
      <c r="L4328" s="3" t="s">
        <v>6002</v>
      </c>
      <c r="M4328" s="3" t="s">
        <v>6332</v>
      </c>
      <c r="N4328" s="3" t="s">
        <v>6333</v>
      </c>
      <c r="O4328" s="3" t="s">
        <v>996</v>
      </c>
      <c r="P4328" s="3" t="s">
        <v>6334</v>
      </c>
      <c r="Q4328" s="3" t="s">
        <v>6332</v>
      </c>
      <c r="R4328" s="3" t="s">
        <v>6335</v>
      </c>
      <c r="S4328" s="3" t="s">
        <v>6332</v>
      </c>
      <c r="T4328" s="3" t="s">
        <v>996</v>
      </c>
    </row>
    <row r="4329">
      <c r="A4329" s="3">
        <v>1781.0</v>
      </c>
      <c r="B4329" s="3" t="s">
        <v>6738</v>
      </c>
      <c r="C4329" s="3" t="s">
        <v>190</v>
      </c>
      <c r="D4329" s="3" t="s">
        <v>6336</v>
      </c>
      <c r="E4329" s="3" t="s">
        <v>7869</v>
      </c>
      <c r="F4329" s="3" t="s">
        <v>6338</v>
      </c>
      <c r="G4329" s="3" t="str">
        <f>IFERROR(__xludf.DUMMYFUNCTION("GOOGLETRANSLATE(D4329,""fr"",""es"")"),"Tamil")</f>
        <v>Tamil</v>
      </c>
      <c r="H4329" s="3" t="s">
        <v>6339</v>
      </c>
      <c r="I4329" s="3" t="s">
        <v>6339</v>
      </c>
      <c r="J4329" s="3" t="s">
        <v>6339</v>
      </c>
      <c r="K4329" s="3" t="s">
        <v>6339</v>
      </c>
    </row>
    <row r="4330">
      <c r="A4330" s="3">
        <v>1782.0</v>
      </c>
      <c r="B4330" s="3" t="s">
        <v>6738</v>
      </c>
      <c r="C4330" s="3" t="s">
        <v>190</v>
      </c>
      <c r="D4330" s="3" t="s">
        <v>6340</v>
      </c>
      <c r="E4330" s="3" t="s">
        <v>7869</v>
      </c>
      <c r="F4330" s="3" t="s">
        <v>6338</v>
      </c>
      <c r="G4330" s="3" t="str">
        <f>IFERROR(__xludf.DUMMYFUNCTION("GOOGLETRANSLATE(D4330,""fr"",""es"")"),"Tamil")</f>
        <v>Tamil</v>
      </c>
    </row>
    <row r="4331">
      <c r="A4331" s="3">
        <v>1783.0</v>
      </c>
      <c r="B4331" s="3" t="s">
        <v>6738</v>
      </c>
      <c r="C4331" s="3" t="s">
        <v>190</v>
      </c>
      <c r="D4331" s="3" t="s">
        <v>7870</v>
      </c>
      <c r="E4331" s="3" t="s">
        <v>6342</v>
      </c>
      <c r="F4331" s="3" t="s">
        <v>6343</v>
      </c>
      <c r="G4331" s="3" t="str">
        <f>IFERROR(__xludf.DUMMYFUNCTION("GOOGLETRANSLATE(D4331,""fr"",""es"")"),"tanna")</f>
        <v>tanna</v>
      </c>
    </row>
    <row r="4332">
      <c r="A4332" s="3">
        <v>1784.0</v>
      </c>
      <c r="B4332" s="3" t="s">
        <v>6738</v>
      </c>
      <c r="C4332" s="3" t="s">
        <v>190</v>
      </c>
      <c r="D4332" s="3" t="s">
        <v>6347</v>
      </c>
      <c r="E4332" s="3" t="s">
        <v>6348</v>
      </c>
      <c r="F4332" s="3" t="s">
        <v>6349</v>
      </c>
      <c r="G4332" s="3" t="str">
        <f>IFERROR(__xludf.DUMMYFUNCTION("GOOGLETRANSLATE(D4332,""fr"",""es"")"),"tannâmes")</f>
        <v>tannâmes</v>
      </c>
    </row>
    <row r="4333">
      <c r="A4333" s="3">
        <v>1785.0</v>
      </c>
      <c r="B4333" s="3" t="s">
        <v>6738</v>
      </c>
      <c r="C4333" s="3" t="s">
        <v>190</v>
      </c>
      <c r="D4333" s="3" t="s">
        <v>7871</v>
      </c>
      <c r="E4333" s="3" t="s">
        <v>6342</v>
      </c>
      <c r="F4333" s="3" t="s">
        <v>6343</v>
      </c>
      <c r="G4333" s="3" t="str">
        <f>IFERROR(__xludf.DUMMYFUNCTION("GOOGLETRANSLATE(D4333,""fr"",""es"")"),"Tannas")</f>
        <v>Tannas</v>
      </c>
    </row>
    <row r="4334">
      <c r="A4334" s="3">
        <v>1786.0</v>
      </c>
      <c r="B4334" s="3" t="s">
        <v>6738</v>
      </c>
      <c r="C4334" s="3" t="s">
        <v>190</v>
      </c>
      <c r="D4334" s="3" t="s">
        <v>6350</v>
      </c>
      <c r="E4334" s="3" t="s">
        <v>6351</v>
      </c>
      <c r="F4334" s="3" t="s">
        <v>6352</v>
      </c>
      <c r="G4334" s="3" t="str">
        <f>IFERROR(__xludf.DUMMYFUNCTION("GOOGLETRANSLATE(D4334,""fr"",""es"")"),"Tannasse")</f>
        <v>Tannasse</v>
      </c>
    </row>
    <row r="4335">
      <c r="A4335" s="3">
        <v>1787.0</v>
      </c>
      <c r="B4335" s="3" t="s">
        <v>6738</v>
      </c>
      <c r="C4335" s="3" t="s">
        <v>190</v>
      </c>
      <c r="D4335" s="3" t="s">
        <v>6353</v>
      </c>
      <c r="E4335" s="3" t="s">
        <v>6351</v>
      </c>
      <c r="F4335" s="3" t="s">
        <v>6352</v>
      </c>
      <c r="G4335" s="3" t="str">
        <f>IFERROR(__xludf.DUMMYFUNCTION("GOOGLETRANSLATE(D4335,""fr"",""es"")"),"broncearse")</f>
        <v>broncearse</v>
      </c>
    </row>
    <row r="4336">
      <c r="A4336" s="3">
        <v>1788.0</v>
      </c>
      <c r="B4336" s="3" t="s">
        <v>6738</v>
      </c>
      <c r="C4336" s="3" t="s">
        <v>190</v>
      </c>
      <c r="D4336" s="3" t="s">
        <v>6354</v>
      </c>
      <c r="E4336" s="3" t="s">
        <v>6351</v>
      </c>
      <c r="F4336" s="3" t="s">
        <v>6352</v>
      </c>
      <c r="G4336" s="3" t="str">
        <f>IFERROR(__xludf.DUMMYFUNCTION("GOOGLETRANSLATE(D4336,""fr"",""es"")"),"Tannasse")</f>
        <v>Tannasse</v>
      </c>
    </row>
    <row r="4337">
      <c r="A4337" s="3">
        <v>1789.0</v>
      </c>
      <c r="B4337" s="3" t="s">
        <v>6738</v>
      </c>
      <c r="C4337" s="3" t="s">
        <v>190</v>
      </c>
      <c r="D4337" s="3" t="s">
        <v>7872</v>
      </c>
      <c r="E4337" s="3" t="s">
        <v>6342</v>
      </c>
      <c r="F4337" s="3" t="s">
        <v>6343</v>
      </c>
      <c r="G4337" s="3" t="str">
        <f>IFERROR(__xludf.DUMMYFUNCTION("GOOGLETRANSLATE(D4337,""fr"",""es"")"),"tannât")</f>
        <v>tannât</v>
      </c>
    </row>
    <row r="4338">
      <c r="A4338" s="3">
        <v>1790.0</v>
      </c>
      <c r="B4338" s="3" t="s">
        <v>6738</v>
      </c>
      <c r="C4338" s="3" t="s">
        <v>190</v>
      </c>
      <c r="D4338" s="3" t="s">
        <v>6355</v>
      </c>
      <c r="E4338" s="3" t="s">
        <v>6356</v>
      </c>
      <c r="F4338" s="3" t="s">
        <v>6357</v>
      </c>
      <c r="G4338" s="3" t="str">
        <f>IFERROR(__xludf.DUMMYFUNCTION("GOOGLETRANSLATE(D4338,""fr"",""es"")"),"bronceado")</f>
        <v>bronceado</v>
      </c>
    </row>
    <row r="4339">
      <c r="A4339" s="3">
        <v>1791.0</v>
      </c>
      <c r="B4339" s="3" t="s">
        <v>6738</v>
      </c>
      <c r="C4339" s="3" t="s">
        <v>190</v>
      </c>
      <c r="D4339" s="3" t="s">
        <v>6358</v>
      </c>
      <c r="E4339" s="3" t="s">
        <v>6356</v>
      </c>
      <c r="F4339" s="3" t="s">
        <v>6357</v>
      </c>
      <c r="G4339" s="3" t="str">
        <f>IFERROR(__xludf.DUMMYFUNCTION("GOOGLETRANSLATE(D4339,""fr"",""es"")"),"apretar")</f>
        <v>apretar</v>
      </c>
    </row>
    <row r="4340">
      <c r="A4340" s="3">
        <v>1792.0</v>
      </c>
      <c r="B4340" s="3" t="s">
        <v>6738</v>
      </c>
      <c r="C4340" s="3" t="s">
        <v>190</v>
      </c>
      <c r="D4340" s="3" t="s">
        <v>6359</v>
      </c>
      <c r="E4340" s="3" t="s">
        <v>6356</v>
      </c>
      <c r="F4340" s="3" t="s">
        <v>6357</v>
      </c>
      <c r="G4340" s="3" t="str">
        <f>IFERROR(__xludf.DUMMYFUNCTION("GOOGLETRANSLATE(D4340,""fr"",""es"")"),"broncearse")</f>
        <v>broncearse</v>
      </c>
    </row>
    <row r="4341">
      <c r="A4341" s="3">
        <v>1793.0</v>
      </c>
      <c r="B4341" s="3" t="s">
        <v>6738</v>
      </c>
      <c r="C4341" s="3" t="s">
        <v>190</v>
      </c>
      <c r="D4341" s="3" t="s">
        <v>6362</v>
      </c>
      <c r="E4341" s="3" t="s">
        <v>6361</v>
      </c>
      <c r="F4341" s="3" t="s">
        <v>6362</v>
      </c>
      <c r="G4341" s="3" t="str">
        <f>IFERROR(__xludf.DUMMYFUNCTION("GOOGLETRANSLATE(D4341,""fr"",""es"")"),"tapa")</f>
        <v>tapa</v>
      </c>
      <c r="H4341" s="3" t="s">
        <v>7873</v>
      </c>
      <c r="I4341" s="3" t="s">
        <v>7874</v>
      </c>
      <c r="J4341" s="3" t="s">
        <v>7875</v>
      </c>
    </row>
    <row r="4342">
      <c r="A4342" s="3">
        <v>1794.0</v>
      </c>
      <c r="B4342" s="3" t="s">
        <v>6738</v>
      </c>
      <c r="C4342" s="3" t="s">
        <v>190</v>
      </c>
      <c r="D4342" s="3" t="s">
        <v>6366</v>
      </c>
      <c r="E4342" s="3" t="s">
        <v>6367</v>
      </c>
      <c r="F4342" s="3" t="s">
        <v>6368</v>
      </c>
      <c r="G4342" s="3" t="str">
        <f>IFERROR(__xludf.DUMMYFUNCTION("GOOGLETRANSLATE(D4342,""fr"",""es"")"),"etiqueta")</f>
        <v>etiqueta</v>
      </c>
    </row>
    <row r="4343">
      <c r="A4343" s="3">
        <v>1795.0</v>
      </c>
      <c r="B4343" s="3" t="s">
        <v>6738</v>
      </c>
      <c r="C4343" s="3" t="s">
        <v>190</v>
      </c>
      <c r="D4343" s="3" t="s">
        <v>6371</v>
      </c>
      <c r="E4343" s="3" t="s">
        <v>6361</v>
      </c>
      <c r="F4343" s="3" t="s">
        <v>6362</v>
      </c>
      <c r="G4343" s="3" t="str">
        <f>IFERROR(__xludf.DUMMYFUNCTION("GOOGLETRANSLATE(D4343,""fr"",""es"")"),"tapas")</f>
        <v>tapas</v>
      </c>
    </row>
    <row r="4344">
      <c r="A4344" s="3">
        <v>1796.0</v>
      </c>
      <c r="B4344" s="3" t="s">
        <v>6738</v>
      </c>
      <c r="C4344" s="3" t="s">
        <v>190</v>
      </c>
      <c r="D4344" s="3" t="s">
        <v>6369</v>
      </c>
      <c r="E4344" s="3" t="s">
        <v>6370</v>
      </c>
      <c r="F4344" s="3" t="s">
        <v>6371</v>
      </c>
      <c r="G4344" s="3" t="str">
        <f>IFERROR(__xludf.DUMMYFUNCTION("GOOGLETRANSLATE(D4344,""fr"",""es"")"),"tapasse")</f>
        <v>tapasse</v>
      </c>
    </row>
    <row r="4345">
      <c r="A4345" s="3">
        <v>1797.0</v>
      </c>
      <c r="B4345" s="3" t="s">
        <v>6738</v>
      </c>
      <c r="C4345" s="3" t="s">
        <v>190</v>
      </c>
      <c r="D4345" s="3" t="s">
        <v>6372</v>
      </c>
      <c r="E4345" s="3" t="s">
        <v>6370</v>
      </c>
      <c r="F4345" s="3" t="s">
        <v>6371</v>
      </c>
      <c r="G4345" s="3" t="str">
        <f>IFERROR(__xludf.DUMMYFUNCTION("GOOGLETRANSLATE(D4345,""fr"",""es"")"),"tocar")</f>
        <v>tocar</v>
      </c>
    </row>
    <row r="4346">
      <c r="A4346" s="3">
        <v>1798.0</v>
      </c>
      <c r="B4346" s="3" t="s">
        <v>6738</v>
      </c>
      <c r="C4346" s="3" t="s">
        <v>190</v>
      </c>
      <c r="D4346" s="3" t="s">
        <v>6373</v>
      </c>
      <c r="E4346" s="3" t="s">
        <v>6370</v>
      </c>
      <c r="F4346" s="3" t="s">
        <v>6371</v>
      </c>
      <c r="G4346" s="3" t="str">
        <f>IFERROR(__xludf.DUMMYFUNCTION("GOOGLETRANSLATE(D4346,""fr"",""es"")"),"tapas")</f>
        <v>tapas</v>
      </c>
    </row>
    <row r="4347">
      <c r="A4347" s="3">
        <v>1799.0</v>
      </c>
      <c r="B4347" s="3" t="s">
        <v>6738</v>
      </c>
      <c r="C4347" s="3" t="s">
        <v>190</v>
      </c>
      <c r="D4347" s="3" t="s">
        <v>7876</v>
      </c>
      <c r="E4347" s="3" t="s">
        <v>6361</v>
      </c>
      <c r="F4347" s="3" t="s">
        <v>6362</v>
      </c>
      <c r="G4347" s="3" t="str">
        <f>IFERROR(__xludf.DUMMYFUNCTION("GOOGLETRANSLATE(D4347,""fr"",""es"")"),"apretado")</f>
        <v>apretado</v>
      </c>
    </row>
    <row r="4348">
      <c r="A4348" s="3">
        <v>1800.0</v>
      </c>
      <c r="B4348" s="3" t="s">
        <v>6738</v>
      </c>
      <c r="C4348" s="3" t="s">
        <v>190</v>
      </c>
      <c r="D4348" s="3" t="s">
        <v>6374</v>
      </c>
      <c r="E4348" s="3" t="s">
        <v>6375</v>
      </c>
      <c r="F4348" s="3" t="s">
        <v>6376</v>
      </c>
      <c r="G4348" s="3" t="str">
        <f>IFERROR(__xludf.DUMMYFUNCTION("GOOGLETRANSLATE(D4348,""fr"",""es"")"),"cinta")</f>
        <v>cinta</v>
      </c>
    </row>
    <row r="4349">
      <c r="A4349" s="3">
        <v>1801.0</v>
      </c>
      <c r="B4349" s="3" t="s">
        <v>6738</v>
      </c>
      <c r="C4349" s="3" t="s">
        <v>190</v>
      </c>
      <c r="D4349" s="3" t="s">
        <v>6377</v>
      </c>
      <c r="E4349" s="3" t="s">
        <v>6375</v>
      </c>
      <c r="F4349" s="3" t="s">
        <v>6376</v>
      </c>
      <c r="G4349" s="3" t="str">
        <f>IFERROR(__xludf.DUMMYFUNCTION("GOOGLETRANSLATE(D4349,""fr"",""es"")"),"tocar")</f>
        <v>tocar</v>
      </c>
    </row>
    <row r="4350">
      <c r="A4350" s="3">
        <v>1802.0</v>
      </c>
      <c r="B4350" s="3" t="s">
        <v>6738</v>
      </c>
      <c r="C4350" s="3" t="s">
        <v>190</v>
      </c>
      <c r="D4350" s="3" t="s">
        <v>6378</v>
      </c>
      <c r="E4350" s="3" t="s">
        <v>6375</v>
      </c>
      <c r="F4350" s="3" t="s">
        <v>6376</v>
      </c>
      <c r="G4350" s="3" t="str">
        <f>IFERROR(__xludf.DUMMYFUNCTION("GOOGLETRANSLATE(D4350,""fr"",""es"")"),"grietas")</f>
        <v>grietas</v>
      </c>
    </row>
    <row r="4351">
      <c r="A4351" s="3">
        <v>1803.0</v>
      </c>
      <c r="B4351" s="3" t="s">
        <v>6738</v>
      </c>
      <c r="C4351" s="3" t="s">
        <v>190</v>
      </c>
      <c r="D4351" s="3" t="s">
        <v>6379</v>
      </c>
      <c r="E4351" s="3" t="s">
        <v>6380</v>
      </c>
      <c r="F4351" s="3" t="s">
        <v>6379</v>
      </c>
      <c r="G4351" s="3" t="str">
        <f>IFERROR(__xludf.DUMMYFUNCTION("GOOGLETRANSLATE(D4351,""fr"",""es"")"),"tapi")</f>
        <v>tapi</v>
      </c>
    </row>
    <row r="4352">
      <c r="A4352" s="3">
        <v>1804.0</v>
      </c>
      <c r="B4352" s="3" t="s">
        <v>6738</v>
      </c>
      <c r="C4352" s="3" t="s">
        <v>190</v>
      </c>
      <c r="D4352" s="3" t="s">
        <v>6381</v>
      </c>
      <c r="E4352" s="3" t="s">
        <v>6380</v>
      </c>
      <c r="F4352" s="3" t="s">
        <v>6379</v>
      </c>
      <c r="G4352" s="3" t="str">
        <f>IFERROR(__xludf.DUMMYFUNCTION("GOOGLETRANSLATE(D4352,""fr"",""es"")"),"alfombrilla de ratón")</f>
        <v>alfombrilla de ratón</v>
      </c>
    </row>
    <row r="4353">
      <c r="A4353" s="3">
        <v>1805.0</v>
      </c>
      <c r="B4353" s="3" t="s">
        <v>6738</v>
      </c>
      <c r="C4353" s="3" t="s">
        <v>190</v>
      </c>
      <c r="D4353" s="3" t="s">
        <v>6382</v>
      </c>
      <c r="E4353" s="3" t="s">
        <v>6380</v>
      </c>
      <c r="F4353" s="3" t="s">
        <v>6379</v>
      </c>
      <c r="G4353" s="3" t="str">
        <f>IFERROR(__xludf.DUMMYFUNCTION("GOOGLETRANSLATE(D4353,""fr"",""es"")"),"cintas")</f>
        <v>cintas</v>
      </c>
    </row>
    <row r="4354">
      <c r="A4354" s="3">
        <v>1806.0</v>
      </c>
      <c r="B4354" s="3" t="s">
        <v>6738</v>
      </c>
      <c r="C4354" s="3" t="s">
        <v>190</v>
      </c>
      <c r="D4354" s="3" t="s">
        <v>6383</v>
      </c>
      <c r="E4354" s="3" t="s">
        <v>7877</v>
      </c>
      <c r="F4354" s="3" t="s">
        <v>6385</v>
      </c>
      <c r="G4354" s="3" t="str">
        <f>IFERROR(__xludf.DUMMYFUNCTION("GOOGLETRANSLATE(D4354,""fr"",""es"")"),"Tapques")</f>
        <v>Tapques</v>
      </c>
    </row>
    <row r="4355">
      <c r="A4355" s="3">
        <v>1807.0</v>
      </c>
      <c r="B4355" s="3" t="s">
        <v>6738</v>
      </c>
      <c r="C4355" s="3" t="s">
        <v>190</v>
      </c>
      <c r="D4355" s="3" t="s">
        <v>6388</v>
      </c>
      <c r="E4355" s="3" t="s">
        <v>7878</v>
      </c>
      <c r="F4355" s="3" t="s">
        <v>6388</v>
      </c>
      <c r="G4355" s="3" t="str">
        <f>IFERROR(__xludf.DUMMYFUNCTION("GOOGLETRANSLATE(D4355,""fr"",""es"")"),"tapina")</f>
        <v>tapina</v>
      </c>
    </row>
    <row r="4356">
      <c r="A4356" s="3">
        <v>1808.0</v>
      </c>
      <c r="B4356" s="3" t="s">
        <v>6738</v>
      </c>
      <c r="C4356" s="3" t="s">
        <v>190</v>
      </c>
      <c r="D4356" s="3" t="s">
        <v>6392</v>
      </c>
      <c r="E4356" s="3" t="s">
        <v>7879</v>
      </c>
      <c r="F4356" s="3" t="s">
        <v>6394</v>
      </c>
      <c r="G4356" s="3" t="str">
        <f>IFERROR(__xludf.DUMMYFUNCTION("GOOGLETRANSLATE(D4356,""fr"",""es"")"),"tapina")</f>
        <v>tapina</v>
      </c>
    </row>
    <row r="4357">
      <c r="A4357" s="3">
        <v>1809.0</v>
      </c>
      <c r="B4357" s="3" t="s">
        <v>6738</v>
      </c>
      <c r="C4357" s="3" t="s">
        <v>190</v>
      </c>
      <c r="D4357" s="3" t="s">
        <v>6397</v>
      </c>
      <c r="E4357" s="3" t="s">
        <v>7878</v>
      </c>
      <c r="F4357" s="3" t="s">
        <v>6388</v>
      </c>
      <c r="G4357" s="3" t="str">
        <f>IFERROR(__xludf.DUMMYFUNCTION("GOOGLETRANSLATE(D4357,""fr"",""es"")"),"tapina")</f>
        <v>tapina</v>
      </c>
    </row>
    <row r="4358">
      <c r="A4358" s="3">
        <v>1810.0</v>
      </c>
      <c r="B4358" s="3" t="s">
        <v>6738</v>
      </c>
      <c r="C4358" s="3" t="s">
        <v>190</v>
      </c>
      <c r="D4358" s="3" t="s">
        <v>6395</v>
      </c>
      <c r="E4358" s="3" t="s">
        <v>7880</v>
      </c>
      <c r="F4358" s="3" t="s">
        <v>6397</v>
      </c>
      <c r="G4358" s="3" t="str">
        <f>IFERROR(__xludf.DUMMYFUNCTION("GOOGLETRANSLATE(D4358,""fr"",""es"")"),"tapinas")</f>
        <v>tapinas</v>
      </c>
    </row>
    <row r="4359">
      <c r="A4359" s="3">
        <v>1811.0</v>
      </c>
      <c r="B4359" s="3" t="s">
        <v>6738</v>
      </c>
      <c r="C4359" s="3" t="s">
        <v>190</v>
      </c>
      <c r="D4359" s="3" t="s">
        <v>6398</v>
      </c>
      <c r="E4359" s="3" t="s">
        <v>7880</v>
      </c>
      <c r="F4359" s="3" t="s">
        <v>6397</v>
      </c>
      <c r="G4359" s="3" t="str">
        <f>IFERROR(__xludf.DUMMYFUNCTION("GOOGLETRANSLATE(D4359,""fr"",""es"")"),"endurecido")</f>
        <v>endurecido</v>
      </c>
    </row>
    <row r="4360">
      <c r="A4360" s="3">
        <v>1812.0</v>
      </c>
      <c r="B4360" s="3" t="s">
        <v>6738</v>
      </c>
      <c r="C4360" s="3" t="s">
        <v>190</v>
      </c>
      <c r="D4360" s="3" t="s">
        <v>6399</v>
      </c>
      <c r="E4360" s="3" t="s">
        <v>7880</v>
      </c>
      <c r="F4360" s="3" t="s">
        <v>6397</v>
      </c>
      <c r="G4360" s="3" t="str">
        <f>IFERROR(__xludf.DUMMYFUNCTION("GOOGLETRANSLATE(D4360,""fr"",""es"")"),"tapinas")</f>
        <v>tapinas</v>
      </c>
    </row>
    <row r="4361">
      <c r="A4361" s="3">
        <v>1813.0</v>
      </c>
      <c r="B4361" s="3" t="s">
        <v>6738</v>
      </c>
      <c r="C4361" s="3" t="s">
        <v>190</v>
      </c>
      <c r="D4361" s="3" t="s">
        <v>7881</v>
      </c>
      <c r="E4361" s="3" t="s">
        <v>7878</v>
      </c>
      <c r="F4361" s="3" t="s">
        <v>6388</v>
      </c>
      <c r="G4361" s="3" t="str">
        <f>IFERROR(__xludf.DUMMYFUNCTION("GOOGLETRANSLATE(D4361,""fr"",""es"")"),"tapiche")</f>
        <v>tapiche</v>
      </c>
    </row>
    <row r="4362">
      <c r="A4362" s="3">
        <v>1814.0</v>
      </c>
      <c r="B4362" s="3" t="s">
        <v>6738</v>
      </c>
      <c r="C4362" s="3" t="s">
        <v>190</v>
      </c>
      <c r="D4362" s="3" t="s">
        <v>6400</v>
      </c>
      <c r="E4362" s="3" t="s">
        <v>7882</v>
      </c>
      <c r="F4362" s="3" t="s">
        <v>6402</v>
      </c>
      <c r="G4362" s="3" t="str">
        <f>IFERROR(__xludf.DUMMYFUNCTION("GOOGLETRANSLATE(D4362,""fr"",""es"")"),"tapine")</f>
        <v>tapine</v>
      </c>
    </row>
    <row r="4363">
      <c r="A4363" s="3">
        <v>1815.0</v>
      </c>
      <c r="B4363" s="3" t="s">
        <v>6738</v>
      </c>
      <c r="C4363" s="3" t="s">
        <v>190</v>
      </c>
      <c r="D4363" s="3" t="s">
        <v>6403</v>
      </c>
      <c r="E4363" s="3" t="s">
        <v>7882</v>
      </c>
      <c r="F4363" s="3" t="s">
        <v>6402</v>
      </c>
      <c r="G4363" s="3" t="str">
        <f>IFERROR(__xludf.DUMMYFUNCTION("GOOGLETRANSLATE(D4363,""fr"",""es"")"),"tocar")</f>
        <v>tocar</v>
      </c>
    </row>
    <row r="4364">
      <c r="A4364" s="3">
        <v>1816.0</v>
      </c>
      <c r="B4364" s="3" t="s">
        <v>6738</v>
      </c>
      <c r="C4364" s="3" t="s">
        <v>190</v>
      </c>
      <c r="D4364" s="3" t="s">
        <v>6404</v>
      </c>
      <c r="E4364" s="3" t="s">
        <v>7882</v>
      </c>
      <c r="F4364" s="3" t="s">
        <v>6402</v>
      </c>
      <c r="G4364" s="3" t="str">
        <f>IFERROR(__xludf.DUMMYFUNCTION("GOOGLETRANSLATE(D4364,""fr"",""es"")"),"tapina")</f>
        <v>tapina</v>
      </c>
    </row>
    <row r="4365">
      <c r="A4365" s="3">
        <v>1817.0</v>
      </c>
      <c r="B4365" s="3" t="s">
        <v>6738</v>
      </c>
      <c r="C4365" s="3" t="s">
        <v>190</v>
      </c>
      <c r="D4365" s="3" t="s">
        <v>6405</v>
      </c>
      <c r="E4365" s="3" t="s">
        <v>6380</v>
      </c>
      <c r="F4365" s="3" t="s">
        <v>6379</v>
      </c>
      <c r="G4365" s="3" t="str">
        <f>IFERROR(__xludf.DUMMYFUNCTION("GOOGLETRANSLATE(D4365,""fr"",""es"")"),"alfombra")</f>
        <v>alfombra</v>
      </c>
      <c r="H4365" s="3" t="s">
        <v>6406</v>
      </c>
      <c r="I4365" s="3" t="s">
        <v>6406</v>
      </c>
      <c r="J4365" s="3" t="s">
        <v>6406</v>
      </c>
      <c r="K4365" s="3" t="s">
        <v>6407</v>
      </c>
      <c r="L4365" s="3" t="s">
        <v>6406</v>
      </c>
      <c r="M4365" s="3" t="s">
        <v>6408</v>
      </c>
    </row>
    <row r="4366">
      <c r="A4366" s="3">
        <v>1818.0</v>
      </c>
      <c r="B4366" s="3" t="s">
        <v>6738</v>
      </c>
      <c r="C4366" s="3" t="s">
        <v>190</v>
      </c>
      <c r="D4366" s="3" t="s">
        <v>7883</v>
      </c>
      <c r="E4366" s="3" t="s">
        <v>7884</v>
      </c>
      <c r="F4366" s="3" t="s">
        <v>6411</v>
      </c>
      <c r="G4366" s="3" t="str">
        <f>IFERROR(__xludf.DUMMYFUNCTION("GOOGLETRANSLATE(D4366,""fr"",""es"")"),"forrado")</f>
        <v>forrado</v>
      </c>
    </row>
    <row r="4367">
      <c r="A4367" s="3">
        <v>1819.0</v>
      </c>
      <c r="B4367" s="3" t="s">
        <v>6738</v>
      </c>
      <c r="C4367" s="3" t="s">
        <v>190</v>
      </c>
      <c r="D4367" s="3" t="s">
        <v>6415</v>
      </c>
      <c r="E4367" s="3" t="s">
        <v>7885</v>
      </c>
      <c r="F4367" s="3" t="s">
        <v>6417</v>
      </c>
      <c r="G4367" s="3" t="str">
        <f>IFERROR(__xludf.DUMMYFUNCTION("GOOGLETRANSLATE(D4367,""fr"",""es"")"),"tibio")</f>
        <v>tibio</v>
      </c>
    </row>
    <row r="4368">
      <c r="A4368" s="3">
        <v>1820.0</v>
      </c>
      <c r="B4368" s="3" t="s">
        <v>6738</v>
      </c>
      <c r="C4368" s="3" t="s">
        <v>190</v>
      </c>
      <c r="D4368" s="3" t="s">
        <v>7886</v>
      </c>
      <c r="E4368" s="3" t="s">
        <v>7884</v>
      </c>
      <c r="F4368" s="3" t="s">
        <v>6411</v>
      </c>
      <c r="G4368" s="3" t="str">
        <f>IFERROR(__xludf.DUMMYFUNCTION("GOOGLETRANSLATE(D4368,""fr"",""es"")"),"tapisas")</f>
        <v>tapisas</v>
      </c>
    </row>
    <row r="4369">
      <c r="A4369" s="3">
        <v>1821.0</v>
      </c>
      <c r="B4369" s="3" t="s">
        <v>6738</v>
      </c>
      <c r="C4369" s="3" t="s">
        <v>190</v>
      </c>
      <c r="D4369" s="3" t="s">
        <v>6418</v>
      </c>
      <c r="E4369" s="3" t="s">
        <v>7887</v>
      </c>
      <c r="F4369" s="3" t="s">
        <v>6420</v>
      </c>
      <c r="G4369" s="3" t="str">
        <f>IFERROR(__xludf.DUMMYFUNCTION("GOOGLETRANSLATE(D4369,""fr"",""es"")"),"arrastrar")</f>
        <v>arrastrar</v>
      </c>
    </row>
    <row r="4370">
      <c r="A4370" s="3">
        <v>1822.0</v>
      </c>
      <c r="B4370" s="3" t="s">
        <v>6738</v>
      </c>
      <c r="C4370" s="3" t="s">
        <v>190</v>
      </c>
      <c r="D4370" s="3" t="s">
        <v>6421</v>
      </c>
      <c r="E4370" s="3" t="s">
        <v>7887</v>
      </c>
      <c r="F4370" s="3" t="s">
        <v>6420</v>
      </c>
      <c r="G4370" s="3" t="str">
        <f>IFERROR(__xludf.DUMMYFUNCTION("GOOGLETRANSLATE(D4370,""fr"",""es"")"),"arrastrar")</f>
        <v>arrastrar</v>
      </c>
    </row>
    <row r="4371">
      <c r="A4371" s="3">
        <v>1823.0</v>
      </c>
      <c r="B4371" s="3" t="s">
        <v>6738</v>
      </c>
      <c r="C4371" s="3" t="s">
        <v>190</v>
      </c>
      <c r="D4371" s="3" t="s">
        <v>6422</v>
      </c>
      <c r="E4371" s="3" t="s">
        <v>7887</v>
      </c>
      <c r="F4371" s="3" t="s">
        <v>6420</v>
      </c>
      <c r="G4371" s="3" t="str">
        <f>IFERROR(__xludf.DUMMYFUNCTION("GOOGLETRANSLATE(D4371,""fr"",""es"")"),"arrastrar")</f>
        <v>arrastrar</v>
      </c>
    </row>
    <row r="4372">
      <c r="A4372" s="3">
        <v>1824.0</v>
      </c>
      <c r="B4372" s="3" t="s">
        <v>6738</v>
      </c>
      <c r="C4372" s="3" t="s">
        <v>190</v>
      </c>
      <c r="D4372" s="3" t="s">
        <v>7888</v>
      </c>
      <c r="E4372" s="3" t="s">
        <v>7884</v>
      </c>
      <c r="F4372" s="3" t="s">
        <v>6411</v>
      </c>
      <c r="G4372" s="3" t="str">
        <f>IFERROR(__xludf.DUMMYFUNCTION("GOOGLETRANSLATE(D4372,""fr"",""es"")"),"tibio")</f>
        <v>tibio</v>
      </c>
    </row>
    <row r="4373">
      <c r="A4373" s="3">
        <v>1825.0</v>
      </c>
      <c r="B4373" s="3" t="s">
        <v>6738</v>
      </c>
      <c r="C4373" s="3" t="s">
        <v>190</v>
      </c>
      <c r="D4373" s="3" t="s">
        <v>6423</v>
      </c>
      <c r="E4373" s="3" t="s">
        <v>7889</v>
      </c>
      <c r="F4373" s="3" t="s">
        <v>6405</v>
      </c>
      <c r="G4373" s="3" t="str">
        <f>IFERROR(__xludf.DUMMYFUNCTION("GOOGLETRANSLATE(D4373,""fr"",""es"")"),"tapizado")</f>
        <v>tapizado</v>
      </c>
    </row>
    <row r="4374">
      <c r="A4374" s="3">
        <v>1826.0</v>
      </c>
      <c r="B4374" s="3" t="s">
        <v>6738</v>
      </c>
      <c r="C4374" s="3" t="s">
        <v>190</v>
      </c>
      <c r="D4374" s="3" t="s">
        <v>6425</v>
      </c>
      <c r="E4374" s="3" t="s">
        <v>7889</v>
      </c>
      <c r="F4374" s="3" t="s">
        <v>6405</v>
      </c>
      <c r="G4374" s="3" t="str">
        <f>IFERROR(__xludf.DUMMYFUNCTION("GOOGLETRANSLATE(D4374,""fr"",""es"")"),"lide")</f>
        <v>lide</v>
      </c>
    </row>
    <row r="4375">
      <c r="A4375" s="3">
        <v>1827.0</v>
      </c>
      <c r="B4375" s="3" t="s">
        <v>6738</v>
      </c>
      <c r="C4375" s="3" t="s">
        <v>190</v>
      </c>
      <c r="D4375" s="3" t="s">
        <v>6426</v>
      </c>
      <c r="E4375" s="3" t="s">
        <v>7889</v>
      </c>
      <c r="F4375" s="3" t="s">
        <v>6405</v>
      </c>
      <c r="G4375" s="3" t="str">
        <f>IFERROR(__xludf.DUMMYFUNCTION("GOOGLETRANSLATE(D4375,""fr"",""es"")"),"tocar")</f>
        <v>tocar</v>
      </c>
    </row>
    <row r="4376">
      <c r="A4376" s="3">
        <v>1828.0</v>
      </c>
      <c r="B4376" s="3" t="s">
        <v>6738</v>
      </c>
      <c r="C4376" s="3" t="s">
        <v>190</v>
      </c>
      <c r="D4376" s="3" t="s">
        <v>6427</v>
      </c>
      <c r="E4376" s="3" t="s">
        <v>6380</v>
      </c>
      <c r="F4376" s="3" t="s">
        <v>6379</v>
      </c>
      <c r="G4376" s="3" t="str">
        <f>IFERROR(__xludf.DUMMYFUNCTION("GOOGLETRANSLATE(D4376,""fr"",""es"")"),"tocar")</f>
        <v>tocar</v>
      </c>
    </row>
    <row r="4377">
      <c r="A4377" s="3">
        <v>1829.0</v>
      </c>
      <c r="B4377" s="3" t="s">
        <v>6738</v>
      </c>
      <c r="C4377" s="3" t="s">
        <v>190</v>
      </c>
      <c r="D4377" s="3" t="s">
        <v>6428</v>
      </c>
      <c r="E4377" s="3" t="s">
        <v>6380</v>
      </c>
      <c r="F4377" s="3" t="s">
        <v>6379</v>
      </c>
      <c r="G4377" s="3" t="str">
        <f>IFERROR(__xludf.DUMMYFUNCTION("GOOGLETRANSLATE(D4377,""fr"",""es"")"),"topador")</f>
        <v>topador</v>
      </c>
    </row>
    <row r="4378">
      <c r="A4378" s="3">
        <v>1830.0</v>
      </c>
      <c r="B4378" s="3" t="s">
        <v>6738</v>
      </c>
      <c r="C4378" s="3" t="s">
        <v>190</v>
      </c>
      <c r="D4378" s="3" t="s">
        <v>7890</v>
      </c>
      <c r="E4378" s="3" t="s">
        <v>7891</v>
      </c>
      <c r="F4378" s="3" t="s">
        <v>6435</v>
      </c>
      <c r="G4378" s="3" t="str">
        <f>IFERROR(__xludf.DUMMYFUNCTION("GOOGLETRANSLATE(D4378,""fr"",""es"")"),"broma")</f>
        <v>broma</v>
      </c>
    </row>
    <row r="4379">
      <c r="A4379" s="3">
        <v>1831.0</v>
      </c>
      <c r="B4379" s="3" t="s">
        <v>6738</v>
      </c>
      <c r="C4379" s="3" t="s">
        <v>190</v>
      </c>
      <c r="D4379" s="3" t="s">
        <v>6439</v>
      </c>
      <c r="E4379" s="3" t="s">
        <v>7892</v>
      </c>
      <c r="F4379" s="3" t="s">
        <v>6441</v>
      </c>
      <c r="G4379" s="3" t="str">
        <f>IFERROR(__xludf.DUMMYFUNCTION("GOOGLETRANSLATE(D4379,""fr"",""es"")"),"desestimado")</f>
        <v>desestimado</v>
      </c>
    </row>
    <row r="4380">
      <c r="A4380" s="3">
        <v>1832.0</v>
      </c>
      <c r="B4380" s="3" t="s">
        <v>6738</v>
      </c>
      <c r="C4380" s="3" t="s">
        <v>190</v>
      </c>
      <c r="D4380" s="3" t="s">
        <v>7893</v>
      </c>
      <c r="E4380" s="3" t="s">
        <v>7891</v>
      </c>
      <c r="F4380" s="3" t="s">
        <v>6435</v>
      </c>
      <c r="G4380" s="3" t="str">
        <f>IFERROR(__xludf.DUMMYFUNCTION("GOOGLETRANSLATE(D4380,""fr"",""es"")"),"broma")</f>
        <v>broma</v>
      </c>
    </row>
    <row r="4381">
      <c r="A4381" s="3">
        <v>1833.0</v>
      </c>
      <c r="B4381" s="3" t="s">
        <v>6738</v>
      </c>
      <c r="C4381" s="3" t="s">
        <v>190</v>
      </c>
      <c r="D4381" s="3" t="s">
        <v>6442</v>
      </c>
      <c r="E4381" s="3" t="s">
        <v>7894</v>
      </c>
      <c r="F4381" s="3" t="s">
        <v>6444</v>
      </c>
      <c r="G4381" s="3" t="str">
        <f>IFERROR(__xludf.DUMMYFUNCTION("GOOGLETRANSLATE(D4381,""fr"",""es"")"),"broma")</f>
        <v>broma</v>
      </c>
    </row>
    <row r="4382">
      <c r="A4382" s="3">
        <v>1834.0</v>
      </c>
      <c r="B4382" s="3" t="s">
        <v>6738</v>
      </c>
      <c r="C4382" s="3" t="s">
        <v>190</v>
      </c>
      <c r="D4382" s="3" t="s">
        <v>6445</v>
      </c>
      <c r="E4382" s="3" t="s">
        <v>7894</v>
      </c>
      <c r="F4382" s="3" t="s">
        <v>6444</v>
      </c>
      <c r="G4382" s="3" t="str">
        <f>IFERROR(__xludf.DUMMYFUNCTION("GOOGLETRANSLATE(D4382,""fr"",""es"")"),"fastidiar")</f>
        <v>fastidiar</v>
      </c>
    </row>
    <row r="4383">
      <c r="A4383" s="3">
        <v>1835.0</v>
      </c>
      <c r="B4383" s="3" t="s">
        <v>6738</v>
      </c>
      <c r="C4383" s="3" t="s">
        <v>190</v>
      </c>
      <c r="D4383" s="3" t="s">
        <v>6446</v>
      </c>
      <c r="E4383" s="3" t="s">
        <v>7894</v>
      </c>
      <c r="F4383" s="3" t="s">
        <v>6444</v>
      </c>
      <c r="G4383" s="3" t="str">
        <f>IFERROR(__xludf.DUMMYFUNCTION("GOOGLETRANSLATE(D4383,""fr"",""es"")"),"broma")</f>
        <v>broma</v>
      </c>
    </row>
    <row r="4384">
      <c r="A4384" s="3">
        <v>1836.0</v>
      </c>
      <c r="B4384" s="3" t="s">
        <v>6738</v>
      </c>
      <c r="C4384" s="3" t="s">
        <v>190</v>
      </c>
      <c r="D4384" s="3" t="s">
        <v>7895</v>
      </c>
      <c r="E4384" s="3" t="s">
        <v>7891</v>
      </c>
      <c r="F4384" s="3" t="s">
        <v>6435</v>
      </c>
      <c r="G4384" s="3" t="str">
        <f>IFERROR(__xludf.DUMMYFUNCTION("GOOGLETRANSLATE(D4384,""fr"",""es"")"),"fastidiar")</f>
        <v>fastidiar</v>
      </c>
    </row>
    <row r="4385">
      <c r="A4385" s="3">
        <v>1837.0</v>
      </c>
      <c r="B4385" s="3" t="s">
        <v>6738</v>
      </c>
      <c r="C4385" s="3" t="s">
        <v>190</v>
      </c>
      <c r="D4385" s="3" t="s">
        <v>6447</v>
      </c>
      <c r="E4385" s="3" t="s">
        <v>7896</v>
      </c>
      <c r="F4385" s="3" t="s">
        <v>6449</v>
      </c>
      <c r="G4385" s="3" t="str">
        <f>IFERROR(__xludf.DUMMYFUNCTION("GOOGLETRANSLATE(D4385,""fr"",""es"")"),"broma")</f>
        <v>broma</v>
      </c>
    </row>
    <row r="4386">
      <c r="A4386" s="3">
        <v>1838.0</v>
      </c>
      <c r="B4386" s="3" t="s">
        <v>6738</v>
      </c>
      <c r="C4386" s="3" t="s">
        <v>190</v>
      </c>
      <c r="D4386" s="3" t="s">
        <v>6450</v>
      </c>
      <c r="E4386" s="3" t="s">
        <v>7896</v>
      </c>
      <c r="F4386" s="3" t="s">
        <v>6449</v>
      </c>
      <c r="G4386" s="3" t="str">
        <f>IFERROR(__xludf.DUMMYFUNCTION("GOOGLETRANSLATE(D4386,""fr"",""es"")"),"fastidiar")</f>
        <v>fastidiar</v>
      </c>
    </row>
    <row r="4387">
      <c r="A4387" s="3">
        <v>1839.0</v>
      </c>
      <c r="B4387" s="3" t="s">
        <v>6738</v>
      </c>
      <c r="C4387" s="3" t="s">
        <v>190</v>
      </c>
      <c r="D4387" s="3" t="s">
        <v>6451</v>
      </c>
      <c r="E4387" s="3" t="s">
        <v>7896</v>
      </c>
      <c r="F4387" s="3" t="s">
        <v>6449</v>
      </c>
      <c r="G4387" s="3" t="str">
        <f>IFERROR(__xludf.DUMMYFUNCTION("GOOGLETRANSLATE(D4387,""fr"",""es"")"),"broma")</f>
        <v>broma</v>
      </c>
    </row>
    <row r="4388">
      <c r="A4388" s="3">
        <v>1840.0</v>
      </c>
      <c r="B4388" s="3" t="s">
        <v>6738</v>
      </c>
      <c r="C4388" s="3" t="s">
        <v>190</v>
      </c>
      <c r="D4388" s="3" t="s">
        <v>6468</v>
      </c>
      <c r="E4388" s="3" t="s">
        <v>6191</v>
      </c>
      <c r="F4388" s="3" t="s">
        <v>6190</v>
      </c>
      <c r="G4388" s="3" t="str">
        <f>IFERROR(__xludf.DUMMYFUNCTION("GOOGLETRANSLATE(D4388,""fr"",""es"")"),"montón")</f>
        <v>montón</v>
      </c>
    </row>
    <row r="4389">
      <c r="A4389" s="3">
        <v>1841.0</v>
      </c>
      <c r="B4389" s="3" t="s">
        <v>6738</v>
      </c>
      <c r="C4389" s="3" t="s">
        <v>190</v>
      </c>
      <c r="D4389" s="3" t="s">
        <v>7897</v>
      </c>
      <c r="E4389" s="3" t="s">
        <v>6453</v>
      </c>
      <c r="F4389" s="3" t="s">
        <v>6454</v>
      </c>
      <c r="G4389" s="3" t="str">
        <f>IFERROR(__xludf.DUMMYFUNCTION("GOOGLETRANSLATE(D4389,""fr"",""es"")"),"Tassa")</f>
        <v>Tassa</v>
      </c>
    </row>
    <row r="4390">
      <c r="A4390" s="3">
        <v>1842.0</v>
      </c>
      <c r="B4390" s="3" t="s">
        <v>6738</v>
      </c>
      <c r="C4390" s="3" t="s">
        <v>190</v>
      </c>
      <c r="D4390" s="3" t="s">
        <v>6458</v>
      </c>
      <c r="E4390" s="3" t="s">
        <v>6459</v>
      </c>
      <c r="F4390" s="3" t="s">
        <v>6460</v>
      </c>
      <c r="G4390" s="3" t="str">
        <f>IFERROR(__xludf.DUMMYFUNCTION("GOOGLETRANSLATE(D4390,""fr"",""es"")"),"tassâme")</f>
        <v>tassâme</v>
      </c>
    </row>
    <row r="4391">
      <c r="A4391" s="3">
        <v>1843.0</v>
      </c>
      <c r="B4391" s="3" t="s">
        <v>6738</v>
      </c>
      <c r="C4391" s="3" t="s">
        <v>190</v>
      </c>
      <c r="D4391" s="3" t="s">
        <v>7898</v>
      </c>
      <c r="E4391" s="3" t="s">
        <v>6453</v>
      </c>
      <c r="F4391" s="3" t="s">
        <v>6454</v>
      </c>
      <c r="G4391" s="3" t="str">
        <f>IFERROR(__xludf.DUMMYFUNCTION("GOOGLETRANSLATE(D4391,""fr"",""es"")"),"Tassas")</f>
        <v>Tassas</v>
      </c>
    </row>
    <row r="4392">
      <c r="A4392" s="3">
        <v>1844.0</v>
      </c>
      <c r="B4392" s="3" t="s">
        <v>6738</v>
      </c>
      <c r="C4392" s="3" t="s">
        <v>190</v>
      </c>
      <c r="D4392" s="3" t="s">
        <v>6461</v>
      </c>
      <c r="E4392" s="3" t="s">
        <v>6462</v>
      </c>
      <c r="F4392" s="3" t="s">
        <v>6463</v>
      </c>
      <c r="G4392" s="3" t="str">
        <f>IFERROR(__xludf.DUMMYFUNCTION("GOOGLETRANSLATE(D4392,""fr"",""es"")"),"vástago")</f>
        <v>vástago</v>
      </c>
    </row>
    <row r="4393">
      <c r="A4393" s="3">
        <v>1845.0</v>
      </c>
      <c r="B4393" s="3" t="s">
        <v>6738</v>
      </c>
      <c r="C4393" s="3" t="s">
        <v>190</v>
      </c>
      <c r="D4393" s="3" t="s">
        <v>6464</v>
      </c>
      <c r="E4393" s="3" t="s">
        <v>6462</v>
      </c>
      <c r="F4393" s="3" t="s">
        <v>6463</v>
      </c>
      <c r="G4393" s="3" t="str">
        <f>IFERROR(__xludf.DUMMYFUNCTION("GOOGLETRANSLATE(D4393,""fr"",""es"")"),"inmersión")</f>
        <v>inmersión</v>
      </c>
    </row>
    <row r="4394">
      <c r="A4394" s="3">
        <v>1846.0</v>
      </c>
      <c r="B4394" s="3" t="s">
        <v>6738</v>
      </c>
      <c r="C4394" s="3" t="s">
        <v>190</v>
      </c>
      <c r="D4394" s="3" t="s">
        <v>6465</v>
      </c>
      <c r="E4394" s="3" t="s">
        <v>6462</v>
      </c>
      <c r="F4394" s="3" t="s">
        <v>6463</v>
      </c>
      <c r="G4394" s="3" t="str">
        <f>IFERROR(__xludf.DUMMYFUNCTION("GOOGLETRANSLATE(D4394,""fr"",""es"")"),"vástago")</f>
        <v>vástago</v>
      </c>
    </row>
    <row r="4395">
      <c r="A4395" s="3">
        <v>1847.0</v>
      </c>
      <c r="B4395" s="3" t="s">
        <v>6738</v>
      </c>
      <c r="C4395" s="3" t="s">
        <v>190</v>
      </c>
      <c r="D4395" s="3" t="s">
        <v>7899</v>
      </c>
      <c r="E4395" s="3" t="s">
        <v>6453</v>
      </c>
      <c r="F4395" s="3" t="s">
        <v>6454</v>
      </c>
      <c r="G4395" s="3" t="str">
        <f>IFERROR(__xludf.DUMMYFUNCTION("GOOGLETRANSLATE(D4395,""fr"",""es"")"),"tassât")</f>
        <v>tassât</v>
      </c>
    </row>
    <row r="4396">
      <c r="A4396" s="3">
        <v>1848.0</v>
      </c>
      <c r="B4396" s="3" t="s">
        <v>6738</v>
      </c>
      <c r="C4396" s="3" t="s">
        <v>190</v>
      </c>
      <c r="D4396" s="3" t="s">
        <v>6466</v>
      </c>
      <c r="E4396" s="3" t="s">
        <v>6467</v>
      </c>
      <c r="F4396" s="3" t="s">
        <v>6468</v>
      </c>
      <c r="G4396" s="3" t="str">
        <f>IFERROR(__xludf.DUMMYFUNCTION("GOOGLETRANSLATE(D4396,""fr"",""es"")"),"taza")</f>
        <v>taza</v>
      </c>
      <c r="H4396" s="3" t="s">
        <v>2186</v>
      </c>
      <c r="I4396" s="3" t="s">
        <v>6469</v>
      </c>
      <c r="J4396" s="3" t="s">
        <v>2186</v>
      </c>
      <c r="K4396" s="3" t="s">
        <v>2186</v>
      </c>
      <c r="L4396" s="3" t="s">
        <v>2186</v>
      </c>
      <c r="M4396" s="3" t="s">
        <v>2186</v>
      </c>
      <c r="N4396" s="3" t="s">
        <v>2187</v>
      </c>
      <c r="O4396" s="3" t="s">
        <v>2186</v>
      </c>
      <c r="P4396" s="3" t="s">
        <v>2186</v>
      </c>
      <c r="Q4396" s="3" t="s">
        <v>2186</v>
      </c>
      <c r="R4396" s="3" t="s">
        <v>2186</v>
      </c>
      <c r="S4396" s="3" t="s">
        <v>6470</v>
      </c>
      <c r="T4396" s="3" t="s">
        <v>2186</v>
      </c>
    </row>
    <row r="4397">
      <c r="A4397" s="3">
        <v>1849.0</v>
      </c>
      <c r="B4397" s="3" t="s">
        <v>6738</v>
      </c>
      <c r="C4397" s="3" t="s">
        <v>190</v>
      </c>
      <c r="D4397" s="3" t="s">
        <v>6471</v>
      </c>
      <c r="E4397" s="3" t="s">
        <v>6467</v>
      </c>
      <c r="F4397" s="3" t="s">
        <v>6468</v>
      </c>
      <c r="G4397" s="3" t="str">
        <f>IFERROR(__xludf.DUMMYFUNCTION("GOOGLETRANSLATE(D4397,""fr"",""es"")"),"tocar")</f>
        <v>tocar</v>
      </c>
    </row>
    <row r="4398">
      <c r="A4398" s="3">
        <v>1850.0</v>
      </c>
      <c r="B4398" s="3" t="s">
        <v>6738</v>
      </c>
      <c r="C4398" s="3" t="s">
        <v>190</v>
      </c>
      <c r="D4398" s="3" t="s">
        <v>6472</v>
      </c>
      <c r="E4398" s="3" t="s">
        <v>6467</v>
      </c>
      <c r="F4398" s="3" t="s">
        <v>6468</v>
      </c>
      <c r="G4398" s="3" t="str">
        <f>IFERROR(__xludf.DUMMYFUNCTION("GOOGLETRANSLATE(D4398,""fr"",""es"")"),"tazas")</f>
        <v>tazas</v>
      </c>
    </row>
    <row r="4399">
      <c r="A4399" s="3">
        <v>1851.0</v>
      </c>
      <c r="B4399" s="3" t="s">
        <v>6738</v>
      </c>
      <c r="C4399" s="3" t="s">
        <v>190</v>
      </c>
      <c r="D4399" s="3" t="s">
        <v>6475</v>
      </c>
      <c r="E4399" s="3" t="s">
        <v>6474</v>
      </c>
      <c r="F4399" s="3" t="s">
        <v>6475</v>
      </c>
      <c r="G4399" s="3" t="str">
        <f>IFERROR(__xludf.DUMMYFUNCTION("GOOGLETRANSLATE(D4399,""fr"",""es"")"),"tata")</f>
        <v>tata</v>
      </c>
      <c r="H4399" s="3" t="s">
        <v>7900</v>
      </c>
      <c r="I4399" s="3" t="s">
        <v>7901</v>
      </c>
      <c r="J4399" s="3" t="s">
        <v>7902</v>
      </c>
    </row>
    <row r="4400">
      <c r="A4400" s="3">
        <v>1852.0</v>
      </c>
      <c r="B4400" s="3" t="s">
        <v>6738</v>
      </c>
      <c r="C4400" s="3" t="s">
        <v>190</v>
      </c>
      <c r="D4400" s="3" t="s">
        <v>7903</v>
      </c>
      <c r="E4400" s="3" t="s">
        <v>6474</v>
      </c>
      <c r="F4400" s="3" t="s">
        <v>6475</v>
      </c>
      <c r="G4400" s="3" t="str">
        <f>IFERROR(__xludf.DUMMYFUNCTION("GOOGLETRANSLATE(D4400,""fr"",""es"")"),"falta")</f>
        <v>falta</v>
      </c>
    </row>
    <row r="4401">
      <c r="A4401" s="3">
        <v>1853.0</v>
      </c>
      <c r="B4401" s="3" t="s">
        <v>6738</v>
      </c>
      <c r="C4401" s="3" t="s">
        <v>190</v>
      </c>
      <c r="D4401" s="3" t="s">
        <v>6479</v>
      </c>
      <c r="E4401" s="3" t="s">
        <v>6480</v>
      </c>
      <c r="F4401" s="3" t="s">
        <v>6481</v>
      </c>
      <c r="G4401" s="3" t="str">
        <f>IFERROR(__xludf.DUMMYFUNCTION("GOOGLETRANSLATE(D4401,""fr"",""es"")"),"sabroso")</f>
        <v>sabroso</v>
      </c>
    </row>
    <row r="4402">
      <c r="A4402" s="3">
        <v>1854.0</v>
      </c>
      <c r="B4402" s="3" t="s">
        <v>6738</v>
      </c>
      <c r="C4402" s="3" t="s">
        <v>190</v>
      </c>
      <c r="D4402" s="3" t="s">
        <v>6482</v>
      </c>
      <c r="E4402" s="3" t="s">
        <v>6483</v>
      </c>
      <c r="F4402" s="3" t="s">
        <v>6482</v>
      </c>
      <c r="G4402" s="3" t="str">
        <f>IFERROR(__xludf.DUMMYFUNCTION("GOOGLETRANSLATE(D4402,""fr"",""es"")"),"tatami")</f>
        <v>tatami</v>
      </c>
    </row>
    <row r="4403">
      <c r="A4403" s="3">
        <v>1855.0</v>
      </c>
      <c r="B4403" s="3" t="s">
        <v>6738</v>
      </c>
      <c r="C4403" s="3" t="s">
        <v>190</v>
      </c>
      <c r="D4403" s="3" t="s">
        <v>6484</v>
      </c>
      <c r="E4403" s="3" t="s">
        <v>6483</v>
      </c>
      <c r="F4403" s="3" t="s">
        <v>6482</v>
      </c>
      <c r="G4403" s="3" t="str">
        <f>IFERROR(__xludf.DUMMYFUNCTION("GOOGLETRANSLATE(D4403,""fr"",""es"")"),"tatamis")</f>
        <v>tatamis</v>
      </c>
    </row>
    <row r="4404">
      <c r="A4404" s="3">
        <v>1856.0</v>
      </c>
      <c r="B4404" s="3" t="s">
        <v>6738</v>
      </c>
      <c r="C4404" s="3" t="s">
        <v>190</v>
      </c>
      <c r="D4404" s="3" t="s">
        <v>6485</v>
      </c>
      <c r="E4404" s="3" t="s">
        <v>6486</v>
      </c>
      <c r="F4404" s="3" t="s">
        <v>6487</v>
      </c>
      <c r="G4404" s="3" t="str">
        <f>IFERROR(__xludf.DUMMYFUNCTION("GOOGLETRANSLATE(D4404,""fr"",""es"")"),"tatana")</f>
        <v>tatana</v>
      </c>
    </row>
    <row r="4405">
      <c r="A4405" s="3">
        <v>1857.0</v>
      </c>
      <c r="B4405" s="3" t="s">
        <v>6738</v>
      </c>
      <c r="C4405" s="3" t="s">
        <v>190</v>
      </c>
      <c r="D4405" s="3" t="s">
        <v>6488</v>
      </c>
      <c r="E4405" s="3" t="s">
        <v>6486</v>
      </c>
      <c r="F4405" s="3" t="s">
        <v>6487</v>
      </c>
      <c r="G4405" s="3" t="str">
        <f>IFERROR(__xludf.DUMMYFUNCTION("GOOGLETRANSLATE(D4405,""fr"",""es"")"),"tatanas")</f>
        <v>tatanas</v>
      </c>
    </row>
    <row r="4406">
      <c r="A4406" s="3">
        <v>1858.0</v>
      </c>
      <c r="B4406" s="3" t="s">
        <v>6738</v>
      </c>
      <c r="C4406" s="3" t="s">
        <v>190</v>
      </c>
      <c r="D4406" s="3" t="s">
        <v>6491</v>
      </c>
      <c r="E4406" s="3" t="s">
        <v>6474</v>
      </c>
      <c r="F4406" s="3" t="s">
        <v>6475</v>
      </c>
      <c r="G4406" s="3" t="str">
        <f>IFERROR(__xludf.DUMMYFUNCTION("GOOGLETRANSLATE(D4406,""fr"",""es"")"),"tatas")</f>
        <v>tatas</v>
      </c>
    </row>
    <row r="4407">
      <c r="A4407" s="3">
        <v>1859.0</v>
      </c>
      <c r="B4407" s="3" t="s">
        <v>6738</v>
      </c>
      <c r="C4407" s="3" t="s">
        <v>190</v>
      </c>
      <c r="D4407" s="3" t="s">
        <v>7904</v>
      </c>
      <c r="E4407" s="3" t="s">
        <v>6474</v>
      </c>
      <c r="F4407" s="3" t="s">
        <v>6475</v>
      </c>
      <c r="G4407" s="3" t="str">
        <f>IFERROR(__xludf.DUMMYFUNCTION("GOOGLETRANSLATE(D4407,""fr"",""es"")"),"agarre")</f>
        <v>agarre</v>
      </c>
    </row>
    <row r="4408">
      <c r="A4408" s="3">
        <v>1860.0</v>
      </c>
      <c r="B4408" s="3" t="s">
        <v>6738</v>
      </c>
      <c r="C4408" s="3" t="s">
        <v>190</v>
      </c>
      <c r="D4408" s="3" t="s">
        <v>6489</v>
      </c>
      <c r="E4408" s="3" t="s">
        <v>6490</v>
      </c>
      <c r="F4408" s="3" t="s">
        <v>6491</v>
      </c>
      <c r="G4408" s="3" t="str">
        <f>IFERROR(__xludf.DUMMYFUNCTION("GOOGLETRANSLATE(D4408,""fr"",""es"")"),"agarre")</f>
        <v>agarre</v>
      </c>
    </row>
    <row r="4409">
      <c r="A4409" s="3">
        <v>1861.0</v>
      </c>
      <c r="B4409" s="3" t="s">
        <v>6738</v>
      </c>
      <c r="C4409" s="3" t="s">
        <v>190</v>
      </c>
      <c r="D4409" s="3" t="s">
        <v>6492</v>
      </c>
      <c r="E4409" s="3" t="s">
        <v>6490</v>
      </c>
      <c r="F4409" s="3" t="s">
        <v>6491</v>
      </c>
      <c r="G4409" s="3" t="str">
        <f>IFERROR(__xludf.DUMMYFUNCTION("GOOGLETRANSLATE(D4409,""fr"",""es"")"),"sentir")</f>
        <v>sentir</v>
      </c>
    </row>
    <row r="4410">
      <c r="A4410" s="3">
        <v>1862.0</v>
      </c>
      <c r="B4410" s="3" t="s">
        <v>6738</v>
      </c>
      <c r="C4410" s="3" t="s">
        <v>190</v>
      </c>
      <c r="D4410" s="3" t="s">
        <v>6493</v>
      </c>
      <c r="E4410" s="3" t="s">
        <v>6490</v>
      </c>
      <c r="F4410" s="3" t="s">
        <v>6491</v>
      </c>
      <c r="G4410" s="3" t="str">
        <f>IFERROR(__xludf.DUMMYFUNCTION("GOOGLETRANSLATE(D4410,""fr"",""es"")"),"nimiedad")</f>
        <v>nimiedad</v>
      </c>
    </row>
    <row r="4411">
      <c r="A4411" s="3">
        <v>1863.0</v>
      </c>
      <c r="B4411" s="3" t="s">
        <v>6738</v>
      </c>
      <c r="C4411" s="3" t="s">
        <v>190</v>
      </c>
      <c r="D4411" s="3" t="s">
        <v>7905</v>
      </c>
      <c r="E4411" s="3" t="s">
        <v>6474</v>
      </c>
      <c r="F4411" s="3" t="s">
        <v>6475</v>
      </c>
      <c r="G4411" s="3" t="str">
        <f>IFERROR(__xludf.DUMMYFUNCTION("GOOGLETRANSLATE(D4411,""fr"",""es"")"),"sabroso")</f>
        <v>sabroso</v>
      </c>
    </row>
    <row r="4412">
      <c r="A4412" s="3">
        <v>1864.0</v>
      </c>
      <c r="B4412" s="3" t="s">
        <v>6738</v>
      </c>
      <c r="C4412" s="3" t="s">
        <v>190</v>
      </c>
      <c r="D4412" s="3" t="s">
        <v>7906</v>
      </c>
      <c r="E4412" s="3" t="s">
        <v>7907</v>
      </c>
      <c r="F4412" s="3" t="s">
        <v>7908</v>
      </c>
      <c r="G4412" s="3" t="str">
        <f>IFERROR(__xludf.DUMMYFUNCTION("GOOGLETRANSLATE(D4412,""fr"",""es"")"),"Tati")</f>
        <v>Tati</v>
      </c>
    </row>
    <row r="4413">
      <c r="A4413" s="3">
        <v>1865.0</v>
      </c>
      <c r="B4413" s="3" t="s">
        <v>6738</v>
      </c>
      <c r="C4413" s="3" t="s">
        <v>190</v>
      </c>
      <c r="D4413" s="3" t="s">
        <v>7909</v>
      </c>
      <c r="E4413" s="3" t="s">
        <v>7907</v>
      </c>
      <c r="F4413" s="3" t="s">
        <v>7908</v>
      </c>
      <c r="G4413" s="3" t="str">
        <f>IFERROR(__xludf.DUMMYFUNCTION("GOOGLETRANSLATE(D4413,""fr"",""es"")"),"Tía")</f>
        <v>Tía</v>
      </c>
      <c r="H4413" s="3" t="s">
        <v>7900</v>
      </c>
      <c r="I4413" s="3" t="s">
        <v>7901</v>
      </c>
      <c r="J4413" s="3" t="s">
        <v>7902</v>
      </c>
    </row>
    <row r="4414">
      <c r="A4414" s="3">
        <v>1866.0</v>
      </c>
      <c r="B4414" s="3" t="s">
        <v>6738</v>
      </c>
      <c r="C4414" s="3" t="s">
        <v>190</v>
      </c>
      <c r="D4414" s="3" t="s">
        <v>6494</v>
      </c>
      <c r="E4414" s="3" t="s">
        <v>6495</v>
      </c>
      <c r="F4414" s="3" t="s">
        <v>6496</v>
      </c>
      <c r="G4414" s="3" t="str">
        <f>IFERROR(__xludf.DUMMYFUNCTION("GOOGLETRANSLATE(D4414,""fr"",""es"")"),"armadillo")</f>
        <v>armadillo</v>
      </c>
      <c r="H4414" s="3" t="s">
        <v>6497</v>
      </c>
    </row>
    <row r="4415">
      <c r="A4415" s="3">
        <v>1867.0</v>
      </c>
      <c r="B4415" s="3" t="s">
        <v>6738</v>
      </c>
      <c r="C4415" s="3" t="s">
        <v>190</v>
      </c>
      <c r="D4415" s="3" t="s">
        <v>6498</v>
      </c>
      <c r="E4415" s="3" t="s">
        <v>6495</v>
      </c>
      <c r="F4415" s="3" t="s">
        <v>6496</v>
      </c>
      <c r="G4415" s="3" t="str">
        <f>IFERROR(__xludf.DUMMYFUNCTION("GOOGLETRANSLATE(D4415,""fr"",""es"")"),"tatuaje")</f>
        <v>tatuaje</v>
      </c>
    </row>
    <row r="4416">
      <c r="A4416" s="3">
        <v>1868.0</v>
      </c>
      <c r="B4416" s="3" t="s">
        <v>6738</v>
      </c>
      <c r="C4416" s="3" t="s">
        <v>190</v>
      </c>
      <c r="D4416" s="3" t="s">
        <v>6499</v>
      </c>
      <c r="E4416" s="3" t="s">
        <v>6495</v>
      </c>
      <c r="F4416" s="3" t="s">
        <v>6496</v>
      </c>
      <c r="G4416" s="3" t="str">
        <f>IFERROR(__xludf.DUMMYFUNCTION("GOOGLETRANSLATE(D4416,""fr"",""es"")"),"tatuaje")</f>
        <v>tatuaje</v>
      </c>
    </row>
    <row r="4417">
      <c r="A4417" s="3">
        <v>1869.0</v>
      </c>
      <c r="B4417" s="3" t="s">
        <v>6738</v>
      </c>
      <c r="C4417" s="3" t="s">
        <v>190</v>
      </c>
      <c r="D4417" s="3" t="s">
        <v>6500</v>
      </c>
      <c r="E4417" s="3" t="s">
        <v>6495</v>
      </c>
      <c r="F4417" s="3" t="s">
        <v>6496</v>
      </c>
      <c r="G4417" s="3" t="str">
        <f>IFERROR(__xludf.DUMMYFUNCTION("GOOGLETRANSLATE(D4417,""fr"",""es"")"),"tatuaje")</f>
        <v>tatuaje</v>
      </c>
    </row>
    <row r="4418">
      <c r="A4418" s="3">
        <v>1870.0</v>
      </c>
      <c r="B4418" s="3" t="s">
        <v>6738</v>
      </c>
      <c r="C4418" s="3" t="s">
        <v>190</v>
      </c>
      <c r="D4418" s="3" t="s">
        <v>6501</v>
      </c>
      <c r="E4418" s="3" t="s">
        <v>6495</v>
      </c>
      <c r="F4418" s="3" t="s">
        <v>6496</v>
      </c>
      <c r="G4418" s="3" t="str">
        <f>IFERROR(__xludf.DUMMYFUNCTION("GOOGLETRANSLATE(D4418,""fr"",""es"")"),"tatoso")</f>
        <v>tatoso</v>
      </c>
    </row>
    <row r="4419">
      <c r="A4419" s="3">
        <v>1871.0</v>
      </c>
      <c r="B4419" s="3" t="s">
        <v>6738</v>
      </c>
      <c r="C4419" s="3" t="s">
        <v>190</v>
      </c>
      <c r="D4419" s="3" t="s">
        <v>7910</v>
      </c>
      <c r="E4419" s="3" t="s">
        <v>7911</v>
      </c>
      <c r="F4419" s="3" t="s">
        <v>7912</v>
      </c>
      <c r="G4419" s="3" t="str">
        <f>IFERROR(__xludf.DUMMYFUNCTION("GOOGLETRANSLATE(D4419,""fr"",""es"")"),"tee")</f>
        <v>tee</v>
      </c>
    </row>
    <row r="4420">
      <c r="A4420" s="3">
        <v>1872.0</v>
      </c>
      <c r="B4420" s="3" t="s">
        <v>6738</v>
      </c>
      <c r="C4420" s="3" t="s">
        <v>190</v>
      </c>
      <c r="D4420" s="3" t="s">
        <v>7913</v>
      </c>
      <c r="E4420" s="3" t="s">
        <v>7911</v>
      </c>
      <c r="F4420" s="3" t="s">
        <v>7912</v>
      </c>
      <c r="G4420" s="3" t="str">
        <f>IFERROR(__xludf.DUMMYFUNCTION("GOOGLETRANSLATE(D4420,""fr"",""es"")"),"eres")</f>
        <v>eres</v>
      </c>
    </row>
    <row r="4421">
      <c r="A4421" s="3">
        <v>1873.0</v>
      </c>
      <c r="B4421" s="3" t="s">
        <v>6738</v>
      </c>
      <c r="C4421" s="3" t="s">
        <v>190</v>
      </c>
      <c r="D4421" s="3" t="s">
        <v>6560</v>
      </c>
      <c r="E4421" s="3" t="s">
        <v>6310</v>
      </c>
      <c r="F4421" s="3" t="s">
        <v>6311</v>
      </c>
      <c r="G4421" s="3" t="str">
        <f>IFERROR(__xludf.DUMMYFUNCTION("GOOGLETRANSLATE(D4421,""fr"",""es"")"),"tailandés")</f>
        <v>tailandés</v>
      </c>
      <c r="H4421" s="3" t="s">
        <v>6561</v>
      </c>
      <c r="I4421" s="3" t="s">
        <v>6562</v>
      </c>
      <c r="J4421" s="3" t="s">
        <v>6563</v>
      </c>
      <c r="K4421" s="3" t="s">
        <v>6561</v>
      </c>
      <c r="L4421" s="3" t="s">
        <v>6562</v>
      </c>
      <c r="M4421" s="3" t="s">
        <v>6563</v>
      </c>
      <c r="N4421" s="3" t="s">
        <v>6561</v>
      </c>
      <c r="O4421" s="3" t="s">
        <v>6562</v>
      </c>
      <c r="P4421" s="3" t="s">
        <v>6563</v>
      </c>
      <c r="Q4421" s="3" t="s">
        <v>6561</v>
      </c>
      <c r="R4421" s="3" t="s">
        <v>6563</v>
      </c>
      <c r="S4421" s="3" t="s">
        <v>6564</v>
      </c>
      <c r="T4421" s="3" t="s">
        <v>6561</v>
      </c>
      <c r="U4421" s="3" t="s">
        <v>6562</v>
      </c>
      <c r="V4421" s="3" t="s">
        <v>6563</v>
      </c>
    </row>
    <row r="4422">
      <c r="A4422" s="3">
        <v>1874.0</v>
      </c>
      <c r="B4422" s="3" t="s">
        <v>6738</v>
      </c>
      <c r="C4422" s="3" t="s">
        <v>190</v>
      </c>
      <c r="D4422" s="3" t="s">
        <v>7914</v>
      </c>
      <c r="E4422" s="3" t="s">
        <v>7915</v>
      </c>
      <c r="F4422" s="3" t="s">
        <v>7916</v>
      </c>
      <c r="G4422" s="3" t="str">
        <f>IFERROR(__xludf.DUMMYFUNCTION("GOOGLETRANSLATE(D4422,""fr"",""es"")"),"tic")</f>
        <v>tic</v>
      </c>
      <c r="H4422" s="3" t="s">
        <v>7917</v>
      </c>
      <c r="I4422" s="3" t="s">
        <v>208</v>
      </c>
      <c r="J4422" s="3" t="s">
        <v>208</v>
      </c>
      <c r="K4422" s="3" t="s">
        <v>7917</v>
      </c>
      <c r="L4422" s="3" t="s">
        <v>7918</v>
      </c>
      <c r="M4422" s="3" t="s">
        <v>7914</v>
      </c>
      <c r="N4422" s="3" t="s">
        <v>7914</v>
      </c>
    </row>
    <row r="4423">
      <c r="A4423" s="3">
        <v>1875.0</v>
      </c>
      <c r="B4423" s="3" t="s">
        <v>6738</v>
      </c>
      <c r="C4423" s="3" t="s">
        <v>190</v>
      </c>
      <c r="D4423" s="3" t="s">
        <v>7919</v>
      </c>
      <c r="E4423" s="3" t="s">
        <v>7915</v>
      </c>
      <c r="F4423" s="3" t="s">
        <v>7916</v>
      </c>
      <c r="G4423" s="3" t="str">
        <f>IFERROR(__xludf.DUMMYFUNCTION("GOOGLETRANSLATE(D4423,""fr"",""es"")"),"tics")</f>
        <v>tics</v>
      </c>
      <c r="H4423" s="3" t="s">
        <v>7914</v>
      </c>
    </row>
    <row r="4424">
      <c r="A4424" s="3">
        <v>1876.0</v>
      </c>
      <c r="B4424" s="3" t="s">
        <v>6738</v>
      </c>
      <c r="C4424" s="3" t="s">
        <v>190</v>
      </c>
      <c r="D4424" s="3" t="s">
        <v>7920</v>
      </c>
      <c r="E4424" s="3" t="s">
        <v>7921</v>
      </c>
      <c r="F4424" s="3" t="s">
        <v>7922</v>
      </c>
      <c r="G4424" s="3" t="str">
        <f>IFERROR(__xludf.DUMMYFUNCTION("GOOGLETRANSLATE(D4424,""fr"",""es"")"),"fregar")</f>
        <v>fregar</v>
      </c>
    </row>
    <row r="4425">
      <c r="A4425" s="3">
        <v>1877.0</v>
      </c>
      <c r="B4425" s="3" t="s">
        <v>6738</v>
      </c>
      <c r="C4425" s="3" t="s">
        <v>190</v>
      </c>
      <c r="D4425" s="3" t="s">
        <v>7923</v>
      </c>
      <c r="E4425" s="3" t="s">
        <v>7921</v>
      </c>
      <c r="F4425" s="3" t="s">
        <v>7922</v>
      </c>
      <c r="G4425" s="3" t="str">
        <f>IFERROR(__xludf.DUMMYFUNCTION("GOOGLETRANSLATE(D4425,""fr"",""es"")"),"trapacero")</f>
        <v>trapacero</v>
      </c>
    </row>
    <row r="4426">
      <c r="A4426" s="3">
        <v>1878.0</v>
      </c>
      <c r="B4426" s="3" t="s">
        <v>6738</v>
      </c>
      <c r="C4426" s="3" t="s">
        <v>190</v>
      </c>
      <c r="D4426" s="3" t="s">
        <v>7924</v>
      </c>
      <c r="E4426" s="3" t="s">
        <v>7925</v>
      </c>
      <c r="F4426" s="3" t="s">
        <v>1958</v>
      </c>
      <c r="G4426" s="3" t="str">
        <f>IFERROR(__xludf.DUMMYFUNCTION("GOOGLETRANSLATE(D4426,""fr"",""es"")"),"Consejo")</f>
        <v>Consejo</v>
      </c>
    </row>
    <row r="4427">
      <c r="A4427" s="3">
        <v>1879.0</v>
      </c>
      <c r="B4427" s="3" t="s">
        <v>6738</v>
      </c>
      <c r="C4427" s="3" t="s">
        <v>190</v>
      </c>
      <c r="D4427" s="3" t="s">
        <v>7926</v>
      </c>
      <c r="E4427" s="3" t="s">
        <v>7927</v>
      </c>
      <c r="F4427" s="3" t="s">
        <v>7926</v>
      </c>
      <c r="G4427" s="3" t="str">
        <f>IFERROR(__xludf.DUMMYFUNCTION("GOOGLETRANSLATE(D4427,""fr"",""es"")"),"tipio")</f>
        <v>tipio</v>
      </c>
      <c r="H4427" s="3" t="s">
        <v>7928</v>
      </c>
      <c r="I4427" s="3" t="s">
        <v>7929</v>
      </c>
      <c r="J4427" s="3" t="s">
        <v>7930</v>
      </c>
      <c r="K4427" s="3" t="s">
        <v>7926</v>
      </c>
      <c r="L4427" s="3" t="s">
        <v>7931</v>
      </c>
    </row>
    <row r="4428">
      <c r="A4428" s="3">
        <v>1880.0</v>
      </c>
      <c r="B4428" s="3" t="s">
        <v>6738</v>
      </c>
      <c r="C4428" s="3" t="s">
        <v>190</v>
      </c>
      <c r="D4428" s="3" t="s">
        <v>7932</v>
      </c>
      <c r="E4428" s="3" t="s">
        <v>7933</v>
      </c>
      <c r="F4428" s="3" t="s">
        <v>7934</v>
      </c>
      <c r="G4428" s="3" t="str">
        <f>IFERROR(__xludf.DUMMYFUNCTION("GOOGLETRANSLATE(D4428,""fr"",""es"")"),"tiqua")</f>
        <v>tiqua</v>
      </c>
    </row>
    <row r="4429">
      <c r="A4429" s="3">
        <v>1881.0</v>
      </c>
      <c r="B4429" s="3" t="s">
        <v>6738</v>
      </c>
      <c r="C4429" s="3" t="s">
        <v>190</v>
      </c>
      <c r="D4429" s="3" t="s">
        <v>7935</v>
      </c>
      <c r="E4429" s="3" t="s">
        <v>7936</v>
      </c>
      <c r="F4429" s="3" t="s">
        <v>7937</v>
      </c>
      <c r="G4429" s="3" t="str">
        <f>IFERROR(__xludf.DUMMYFUNCTION("GOOGLETRANSLATE(D4429,""fr"",""es"")"),"tiqua")</f>
        <v>tiqua</v>
      </c>
    </row>
    <row r="4430">
      <c r="A4430" s="3">
        <v>1882.0</v>
      </c>
      <c r="B4430" s="3" t="s">
        <v>6738</v>
      </c>
      <c r="C4430" s="3" t="s">
        <v>190</v>
      </c>
      <c r="D4430" s="3" t="s">
        <v>7938</v>
      </c>
      <c r="E4430" s="3" t="s">
        <v>7933</v>
      </c>
      <c r="F4430" s="3" t="s">
        <v>7934</v>
      </c>
      <c r="G4430" s="3" t="str">
        <f>IFERROR(__xludf.DUMMYFUNCTION("GOOGLETRANSLATE(D4430,""fr"",""es"")"),"tiquas")</f>
        <v>tiquas</v>
      </c>
    </row>
    <row r="4431">
      <c r="A4431" s="3">
        <v>1883.0</v>
      </c>
      <c r="B4431" s="3" t="s">
        <v>6738</v>
      </c>
      <c r="C4431" s="3" t="s">
        <v>190</v>
      </c>
      <c r="D4431" s="3" t="s">
        <v>7939</v>
      </c>
      <c r="E4431" s="3" t="s">
        <v>7940</v>
      </c>
      <c r="F4431" s="3" t="s">
        <v>7941</v>
      </c>
      <c r="G4431" s="3" t="str">
        <f>IFERROR(__xludf.DUMMYFUNCTION("GOOGLETRANSLATE(D4431,""fr"",""es"")"),"tiquasse")</f>
        <v>tiquasse</v>
      </c>
    </row>
    <row r="4432">
      <c r="A4432" s="3">
        <v>1884.0</v>
      </c>
      <c r="B4432" s="3" t="s">
        <v>6738</v>
      </c>
      <c r="C4432" s="3" t="s">
        <v>190</v>
      </c>
      <c r="D4432" s="3" t="s">
        <v>7942</v>
      </c>
      <c r="E4432" s="3" t="s">
        <v>7940</v>
      </c>
      <c r="F4432" s="3" t="s">
        <v>7941</v>
      </c>
      <c r="G4432" s="3" t="str">
        <f>IFERROR(__xludf.DUMMYFUNCTION("GOOGLETRANSLATE(D4432,""fr"",""es"")"),"tiquasse")</f>
        <v>tiquasse</v>
      </c>
    </row>
    <row r="4433">
      <c r="A4433" s="3">
        <v>1885.0</v>
      </c>
      <c r="B4433" s="3" t="s">
        <v>6738</v>
      </c>
      <c r="C4433" s="3" t="s">
        <v>190</v>
      </c>
      <c r="D4433" s="3" t="s">
        <v>7943</v>
      </c>
      <c r="E4433" s="3" t="s">
        <v>7940</v>
      </c>
      <c r="F4433" s="3" t="s">
        <v>7941</v>
      </c>
      <c r="G4433" s="3" t="str">
        <f>IFERROR(__xludf.DUMMYFUNCTION("GOOGLETRANSLATE(D4433,""fr"",""es"")"),"tiquisas")</f>
        <v>tiquisas</v>
      </c>
    </row>
    <row r="4434">
      <c r="A4434" s="3">
        <v>1886.0</v>
      </c>
      <c r="B4434" s="3" t="s">
        <v>6738</v>
      </c>
      <c r="C4434" s="3" t="s">
        <v>190</v>
      </c>
      <c r="D4434" s="3" t="s">
        <v>7944</v>
      </c>
      <c r="E4434" s="3" t="s">
        <v>7933</v>
      </c>
      <c r="F4434" s="3" t="s">
        <v>7934</v>
      </c>
      <c r="G4434" s="3" t="str">
        <f>IFERROR(__xludf.DUMMYFUNCTION("GOOGLETRANSLATE(D4434,""fr"",""es"")"),"tiqueta")</f>
        <v>tiqueta</v>
      </c>
    </row>
    <row r="4435">
      <c r="A4435" s="3">
        <v>1887.0</v>
      </c>
      <c r="B4435" s="3" t="s">
        <v>6738</v>
      </c>
      <c r="C4435" s="3" t="s">
        <v>190</v>
      </c>
      <c r="D4435" s="3" t="s">
        <v>7945</v>
      </c>
      <c r="E4435" s="3" t="s">
        <v>7915</v>
      </c>
      <c r="F4435" s="3" t="s">
        <v>7916</v>
      </c>
      <c r="G4435" s="3" t="str">
        <f>IFERROR(__xludf.DUMMYFUNCTION("GOOGLETRANSLATE(D4435,""fr"",""es"")"),"garrapata")</f>
        <v>garrapata</v>
      </c>
      <c r="H4435" s="3" t="s">
        <v>7946</v>
      </c>
      <c r="I4435" s="3" t="s">
        <v>7947</v>
      </c>
      <c r="J4435" s="3" t="s">
        <v>7946</v>
      </c>
      <c r="K4435" s="3" t="s">
        <v>7948</v>
      </c>
      <c r="L4435" s="3" t="s">
        <v>7949</v>
      </c>
      <c r="M4435" s="3" t="s">
        <v>7946</v>
      </c>
      <c r="N4435" s="3" t="s">
        <v>7950</v>
      </c>
      <c r="O4435" s="3" t="s">
        <v>7951</v>
      </c>
      <c r="P4435" s="3" t="s">
        <v>5311</v>
      </c>
      <c r="Q4435" s="3" t="s">
        <v>7952</v>
      </c>
      <c r="R4435" s="3" t="s">
        <v>7946</v>
      </c>
      <c r="S4435" s="3" t="s">
        <v>7946</v>
      </c>
      <c r="T4435" s="3" t="s">
        <v>7953</v>
      </c>
      <c r="U4435" s="3" t="s">
        <v>1688</v>
      </c>
      <c r="V4435" s="3" t="s">
        <v>7946</v>
      </c>
      <c r="W4435" s="3" t="s">
        <v>7946</v>
      </c>
      <c r="X4435" s="3" t="s">
        <v>7954</v>
      </c>
    </row>
    <row r="4436">
      <c r="A4436" s="3">
        <v>1888.0</v>
      </c>
      <c r="B4436" s="3" t="s">
        <v>6738</v>
      </c>
      <c r="C4436" s="3" t="s">
        <v>190</v>
      </c>
      <c r="D4436" s="3" t="s">
        <v>7955</v>
      </c>
      <c r="E4436" s="3" t="s">
        <v>7915</v>
      </c>
      <c r="F4436" s="3" t="s">
        <v>7916</v>
      </c>
      <c r="G4436" s="3" t="str">
        <f>IFERROR(__xludf.DUMMYFUNCTION("GOOGLETRANSLATE(D4436,""fr"",""es"")"),"garrapata")</f>
        <v>garrapata</v>
      </c>
    </row>
    <row r="4437">
      <c r="A4437" s="3">
        <v>1889.0</v>
      </c>
      <c r="B4437" s="3" t="s">
        <v>6738</v>
      </c>
      <c r="C4437" s="3" t="s">
        <v>190</v>
      </c>
      <c r="D4437" s="3" t="s">
        <v>7956</v>
      </c>
      <c r="E4437" s="3" t="s">
        <v>7915</v>
      </c>
      <c r="F4437" s="3" t="s">
        <v>7916</v>
      </c>
      <c r="G4437" s="3" t="str">
        <f>IFERROR(__xludf.DUMMYFUNCTION("GOOGLETRANSLATE(D4437,""fr"",""es"")"),"ticas")</f>
        <v>ticas</v>
      </c>
    </row>
    <row r="4438">
      <c r="A4438" s="3">
        <v>1890.0</v>
      </c>
      <c r="B4438" s="3" t="s">
        <v>6738</v>
      </c>
      <c r="C4438" s="3" t="s">
        <v>190</v>
      </c>
      <c r="D4438" s="3" t="s">
        <v>7957</v>
      </c>
      <c r="E4438" s="3" t="s">
        <v>7958</v>
      </c>
      <c r="F4438" s="3" t="s">
        <v>7959</v>
      </c>
      <c r="G4438" s="3" t="str">
        <f>IFERROR(__xludf.DUMMYFUNCTION("GOOGLETRANSLATE(D4438,""fr"",""es"")"),"Tissa")</f>
        <v>Tissa</v>
      </c>
    </row>
    <row r="4439">
      <c r="A4439" s="3">
        <v>1891.0</v>
      </c>
      <c r="B4439" s="3" t="s">
        <v>6738</v>
      </c>
      <c r="C4439" s="3" t="s">
        <v>190</v>
      </c>
      <c r="D4439" s="3" t="s">
        <v>7960</v>
      </c>
      <c r="E4439" s="3" t="s">
        <v>7961</v>
      </c>
      <c r="F4439" s="3" t="s">
        <v>7962</v>
      </c>
      <c r="G4439" s="3" t="str">
        <f>IFERROR(__xludf.DUMMYFUNCTION("GOOGLETRANSLATE(D4439,""fr"",""es"")"),"tiss.")</f>
        <v>tiss.</v>
      </c>
    </row>
    <row r="4440">
      <c r="A4440" s="3">
        <v>1892.0</v>
      </c>
      <c r="B4440" s="3" t="s">
        <v>6738</v>
      </c>
      <c r="C4440" s="3" t="s">
        <v>190</v>
      </c>
      <c r="D4440" s="3" t="s">
        <v>7963</v>
      </c>
      <c r="E4440" s="3" t="s">
        <v>7958</v>
      </c>
      <c r="F4440" s="3" t="s">
        <v>7959</v>
      </c>
      <c r="G4440" s="3" t="str">
        <f>IFERROR(__xludf.DUMMYFUNCTION("GOOGLETRANSLATE(D4440,""fr"",""es"")"),"tisas")</f>
        <v>tisas</v>
      </c>
    </row>
    <row r="4441">
      <c r="A4441" s="3">
        <v>1893.0</v>
      </c>
      <c r="B4441" s="3" t="s">
        <v>6738</v>
      </c>
      <c r="C4441" s="3" t="s">
        <v>190</v>
      </c>
      <c r="D4441" s="3" t="s">
        <v>7964</v>
      </c>
      <c r="E4441" s="3" t="s">
        <v>7965</v>
      </c>
      <c r="F4441" s="3" t="s">
        <v>7966</v>
      </c>
      <c r="G4441" s="3" t="str">
        <f>IFERROR(__xludf.DUMMYFUNCTION("GOOGLETRANSLATE(D4441,""fr"",""es"")"),"tejido")</f>
        <v>tejido</v>
      </c>
    </row>
    <row r="4442">
      <c r="A4442" s="3">
        <v>1894.0</v>
      </c>
      <c r="B4442" s="3" t="s">
        <v>6738</v>
      </c>
      <c r="C4442" s="3" t="s">
        <v>190</v>
      </c>
      <c r="D4442" s="3" t="s">
        <v>7967</v>
      </c>
      <c r="E4442" s="3" t="s">
        <v>7965</v>
      </c>
      <c r="F4442" s="3" t="s">
        <v>7966</v>
      </c>
      <c r="G4442" s="3" t="str">
        <f>IFERROR(__xludf.DUMMYFUNCTION("GOOGLETRANSLATE(D4442,""fr"",""es"")"),"tejido")</f>
        <v>tejido</v>
      </c>
    </row>
    <row r="4443">
      <c r="A4443" s="3">
        <v>1895.0</v>
      </c>
      <c r="B4443" s="3" t="s">
        <v>6738</v>
      </c>
      <c r="C4443" s="3" t="s">
        <v>190</v>
      </c>
      <c r="D4443" s="3" t="s">
        <v>7968</v>
      </c>
      <c r="E4443" s="3" t="s">
        <v>7965</v>
      </c>
      <c r="F4443" s="3" t="s">
        <v>7966</v>
      </c>
      <c r="G4443" s="3" t="str">
        <f>IFERROR(__xludf.DUMMYFUNCTION("GOOGLETRANSLATE(D4443,""fr"",""es"")"),"Tssasss")</f>
        <v>Tssasss</v>
      </c>
    </row>
    <row r="4444">
      <c r="A4444" s="3">
        <v>1896.0</v>
      </c>
      <c r="B4444" s="3" t="s">
        <v>6738</v>
      </c>
      <c r="C4444" s="3" t="s">
        <v>190</v>
      </c>
      <c r="D4444" s="3" t="s">
        <v>7969</v>
      </c>
      <c r="E4444" s="3" t="s">
        <v>7958</v>
      </c>
      <c r="F4444" s="3" t="s">
        <v>7959</v>
      </c>
      <c r="G4444" s="3" t="str">
        <f>IFERROR(__xludf.DUMMYFUNCTION("GOOGLETRANSLATE(D4444,""fr"",""es"")"),"sabor")</f>
        <v>sabor</v>
      </c>
    </row>
    <row r="4445">
      <c r="A4445" s="3">
        <v>1897.0</v>
      </c>
      <c r="B4445" s="3" t="s">
        <v>6738</v>
      </c>
      <c r="C4445" s="3" t="s">
        <v>190</v>
      </c>
      <c r="D4445" s="3" t="s">
        <v>7970</v>
      </c>
      <c r="E4445" s="3" t="s">
        <v>7971</v>
      </c>
      <c r="F4445" s="3" t="s">
        <v>7972</v>
      </c>
      <c r="G4445" s="3" t="str">
        <f>IFERROR(__xludf.DUMMYFUNCTION("GOOGLETRANSLATE(D4445,""fr"",""es"")"),"tejedor")</f>
        <v>tejedor</v>
      </c>
    </row>
    <row r="4446">
      <c r="A4446" s="3">
        <v>1898.0</v>
      </c>
      <c r="B4446" s="3" t="s">
        <v>6738</v>
      </c>
      <c r="C4446" s="3" t="s">
        <v>190</v>
      </c>
      <c r="D4446" s="3" t="s">
        <v>7973</v>
      </c>
      <c r="E4446" s="3" t="s">
        <v>7971</v>
      </c>
      <c r="F4446" s="3" t="s">
        <v>7972</v>
      </c>
      <c r="G4446" s="3" t="str">
        <f>IFERROR(__xludf.DUMMYFUNCTION("GOOGLETRANSLATE(D4446,""fr"",""es"")"),"tejido")</f>
        <v>tejido</v>
      </c>
    </row>
    <row r="4447">
      <c r="A4447" s="3">
        <v>1899.0</v>
      </c>
      <c r="B4447" s="3" t="s">
        <v>6738</v>
      </c>
      <c r="C4447" s="3" t="s">
        <v>190</v>
      </c>
      <c r="D4447" s="3" t="s">
        <v>7974</v>
      </c>
      <c r="E4447" s="3" t="s">
        <v>7971</v>
      </c>
      <c r="F4447" s="3" t="s">
        <v>7972</v>
      </c>
      <c r="G4447" s="3" t="str">
        <f>IFERROR(__xludf.DUMMYFUNCTION("GOOGLETRANSLATE(D4447,""fr"",""es"")"),"débiles")</f>
        <v>débiles</v>
      </c>
    </row>
    <row r="4448">
      <c r="A4448" s="3">
        <v>1900.0</v>
      </c>
      <c r="B4448" s="3" t="s">
        <v>6738</v>
      </c>
      <c r="C4448" s="3" t="s">
        <v>190</v>
      </c>
      <c r="D4448" s="3" t="s">
        <v>7975</v>
      </c>
      <c r="E4448" s="3" t="s">
        <v>7976</v>
      </c>
      <c r="F4448" s="3" t="s">
        <v>7977</v>
      </c>
      <c r="G4448" s="3" t="str">
        <f>IFERROR(__xludf.DUMMYFUNCTION("GOOGLETRANSLATE(D4448,""fr"",""es"")"),"titanio")</f>
        <v>titanio</v>
      </c>
      <c r="H4448" s="3" t="s">
        <v>7978</v>
      </c>
      <c r="I4448" s="3" t="s">
        <v>7979</v>
      </c>
      <c r="J4448" s="3" t="s">
        <v>7980</v>
      </c>
    </row>
    <row r="4449">
      <c r="A4449" s="3">
        <v>1901.0</v>
      </c>
      <c r="B4449" s="3" t="s">
        <v>6738</v>
      </c>
      <c r="C4449" s="3" t="s">
        <v>190</v>
      </c>
      <c r="D4449" s="3" t="s">
        <v>7981</v>
      </c>
      <c r="E4449" s="3" t="s">
        <v>7976</v>
      </c>
      <c r="F4449" s="3" t="s">
        <v>7977</v>
      </c>
      <c r="G4449" s="3" t="str">
        <f>IFERROR(__xludf.DUMMYFUNCTION("GOOGLETRANSLATE(D4449,""fr"",""es"")"),"titán")</f>
        <v>titán</v>
      </c>
    </row>
    <row r="4450">
      <c r="A4450" s="3">
        <v>1902.0</v>
      </c>
      <c r="B4450" s="3" t="s">
        <v>6738</v>
      </c>
      <c r="C4450" s="3" t="s">
        <v>190</v>
      </c>
      <c r="D4450" s="3" t="s">
        <v>7982</v>
      </c>
      <c r="E4450" s="3" t="s">
        <v>7983</v>
      </c>
      <c r="F4450" s="3" t="s">
        <v>7982</v>
      </c>
      <c r="G4450" s="3" t="str">
        <f>IFERROR(__xludf.DUMMYFUNCTION("GOOGLETRANSLATE(D4450,""fr"",""es"")"),"titi")</f>
        <v>titi</v>
      </c>
    </row>
    <row r="4451">
      <c r="A4451" s="3">
        <v>1903.0</v>
      </c>
      <c r="B4451" s="3" t="s">
        <v>6738</v>
      </c>
      <c r="C4451" s="3" t="s">
        <v>190</v>
      </c>
      <c r="D4451" s="3" t="s">
        <v>7984</v>
      </c>
      <c r="E4451" s="3" t="s">
        <v>7985</v>
      </c>
      <c r="F4451" s="3" t="s">
        <v>7986</v>
      </c>
      <c r="G4451" s="3" t="str">
        <f>IFERROR(__xludf.DUMMYFUNCTION("GOOGLETRANSLATE(D4451,""fr"",""es"")"),"Titicaca")</f>
        <v>Titicaca</v>
      </c>
    </row>
    <row r="4452">
      <c r="A4452" s="3">
        <v>1904.0</v>
      </c>
      <c r="B4452" s="3" t="s">
        <v>6738</v>
      </c>
      <c r="C4452" s="3" t="s">
        <v>190</v>
      </c>
      <c r="D4452" s="3" t="s">
        <v>7987</v>
      </c>
      <c r="E4452" s="3" t="s">
        <v>7988</v>
      </c>
      <c r="F4452" s="3" t="s">
        <v>7989</v>
      </c>
      <c r="G4452" s="3" t="str">
        <f>IFERROR(__xludf.DUMMYFUNCTION("GOOGLETRANSLATE(D4452,""fr"",""es"")"),"titular")</f>
        <v>titular</v>
      </c>
    </row>
    <row r="4453">
      <c r="A4453" s="3">
        <v>1905.0</v>
      </c>
      <c r="B4453" s="3" t="s">
        <v>6738</v>
      </c>
      <c r="C4453" s="3" t="s">
        <v>190</v>
      </c>
      <c r="D4453" s="3" t="s">
        <v>7990</v>
      </c>
      <c r="E4453" s="3" t="s">
        <v>7991</v>
      </c>
      <c r="F4453" s="3" t="s">
        <v>7992</v>
      </c>
      <c r="G4453" s="3" t="str">
        <f>IFERROR(__xludf.DUMMYFUNCTION("GOOGLETRANSLATE(D4453,""fr"",""es"")"),"exagerado")</f>
        <v>exagerado</v>
      </c>
    </row>
    <row r="4454">
      <c r="A4454" s="3">
        <v>1906.0</v>
      </c>
      <c r="B4454" s="3" t="s">
        <v>6738</v>
      </c>
      <c r="C4454" s="3" t="s">
        <v>190</v>
      </c>
      <c r="D4454" s="3" t="s">
        <v>7993</v>
      </c>
      <c r="E4454" s="3" t="s">
        <v>7988</v>
      </c>
      <c r="F4454" s="3" t="s">
        <v>7989</v>
      </c>
      <c r="G4454" s="3" t="str">
        <f>IFERROR(__xludf.DUMMYFUNCTION("GOOGLETRANSLATE(D4454,""fr"",""es"")"),"ibanal")</f>
        <v>ibanal</v>
      </c>
    </row>
    <row r="4455">
      <c r="A4455" s="3">
        <v>1907.0</v>
      </c>
      <c r="B4455" s="3" t="s">
        <v>6738</v>
      </c>
      <c r="C4455" s="3" t="s">
        <v>190</v>
      </c>
      <c r="D4455" s="3" t="s">
        <v>7994</v>
      </c>
      <c r="E4455" s="3" t="s">
        <v>7995</v>
      </c>
      <c r="F4455" s="3" t="s">
        <v>7996</v>
      </c>
      <c r="G4455" s="3" t="str">
        <f>IFERROR(__xludf.DUMMYFUNCTION("GOOGLETRANSLATE(D4455,""fr"",""es"")"),"talilla")</f>
        <v>talilla</v>
      </c>
    </row>
    <row r="4456">
      <c r="A4456" s="3">
        <v>1908.0</v>
      </c>
      <c r="B4456" s="3" t="s">
        <v>6738</v>
      </c>
      <c r="C4456" s="3" t="s">
        <v>190</v>
      </c>
      <c r="D4456" s="3" t="s">
        <v>7997</v>
      </c>
      <c r="E4456" s="3" t="s">
        <v>7995</v>
      </c>
      <c r="F4456" s="3" t="s">
        <v>7996</v>
      </c>
      <c r="G4456" s="3" t="str">
        <f>IFERROR(__xludf.DUMMYFUNCTION("GOOGLETRANSLATE(D4456,""fr"",""es"")"),"citar")</f>
        <v>citar</v>
      </c>
    </row>
    <row r="4457">
      <c r="A4457" s="3">
        <v>1909.0</v>
      </c>
      <c r="B4457" s="3" t="s">
        <v>6738</v>
      </c>
      <c r="C4457" s="3" t="s">
        <v>190</v>
      </c>
      <c r="D4457" s="3" t="s">
        <v>7998</v>
      </c>
      <c r="E4457" s="3" t="s">
        <v>7995</v>
      </c>
      <c r="F4457" s="3" t="s">
        <v>7996</v>
      </c>
      <c r="G4457" s="3" t="str">
        <f>IFERROR(__xludf.DUMMYFUNCTION("GOOGLETRANSLATE(D4457,""fr"",""es"")"),"citasis")</f>
        <v>citasis</v>
      </c>
    </row>
    <row r="4458">
      <c r="A4458" s="3">
        <v>1910.0</v>
      </c>
      <c r="B4458" s="3" t="s">
        <v>6738</v>
      </c>
      <c r="C4458" s="3" t="s">
        <v>190</v>
      </c>
      <c r="D4458" s="3" t="s">
        <v>7999</v>
      </c>
      <c r="E4458" s="3" t="s">
        <v>7988</v>
      </c>
      <c r="F4458" s="3" t="s">
        <v>7989</v>
      </c>
      <c r="G4458" s="3" t="str">
        <f>IFERROR(__xludf.DUMMYFUNCTION("GOOGLETRANSLATE(D4458,""fr"",""es"")"),"cytillât")</f>
        <v>cytillât</v>
      </c>
    </row>
    <row r="4459">
      <c r="A4459" s="3">
        <v>1911.0</v>
      </c>
      <c r="B4459" s="3" t="s">
        <v>6738</v>
      </c>
      <c r="C4459" s="3" t="s">
        <v>190</v>
      </c>
      <c r="D4459" s="3" t="s">
        <v>8000</v>
      </c>
      <c r="E4459" s="3" t="s">
        <v>8001</v>
      </c>
      <c r="F4459" s="3" t="s">
        <v>8002</v>
      </c>
      <c r="G4459" s="3" t="str">
        <f>IFERROR(__xludf.DUMMYFUNCTION("GOOGLETRANSLATE(D4459,""fr"",""es"")"),"caña del timón")</f>
        <v>caña del timón</v>
      </c>
    </row>
    <row r="4460">
      <c r="A4460" s="3">
        <v>1912.0</v>
      </c>
      <c r="B4460" s="3" t="s">
        <v>6738</v>
      </c>
      <c r="C4460" s="3" t="s">
        <v>190</v>
      </c>
      <c r="D4460" s="3" t="s">
        <v>8003</v>
      </c>
      <c r="E4460" s="3" t="s">
        <v>8001</v>
      </c>
      <c r="F4460" s="3" t="s">
        <v>8002</v>
      </c>
      <c r="G4460" s="3" t="str">
        <f>IFERROR(__xludf.DUMMYFUNCTION("GOOGLETRANSLATE(D4460,""fr"",""es"")"),"cosquillas")</f>
        <v>cosquillas</v>
      </c>
    </row>
    <row r="4461">
      <c r="A4461" s="3">
        <v>1913.0</v>
      </c>
      <c r="B4461" s="3" t="s">
        <v>6738</v>
      </c>
      <c r="C4461" s="3" t="s">
        <v>190</v>
      </c>
      <c r="D4461" s="3" t="s">
        <v>8004</v>
      </c>
      <c r="E4461" s="3" t="s">
        <v>8001</v>
      </c>
      <c r="F4461" s="3" t="s">
        <v>8002</v>
      </c>
      <c r="G4461" s="3" t="str">
        <f>IFERROR(__xludf.DUMMYFUNCTION("GOOGLETRANSLATE(D4461,""fr"",""es"")"),"titil")</f>
        <v>titil</v>
      </c>
    </row>
    <row r="4462">
      <c r="A4462" s="3">
        <v>1914.0</v>
      </c>
      <c r="B4462" s="3" t="s">
        <v>6738</v>
      </c>
      <c r="C4462" s="3" t="s">
        <v>190</v>
      </c>
      <c r="D4462" s="3" t="s">
        <v>8005</v>
      </c>
      <c r="E4462" s="3" t="s">
        <v>7983</v>
      </c>
      <c r="F4462" s="3" t="s">
        <v>7982</v>
      </c>
      <c r="G4462" s="3" t="str">
        <f>IFERROR(__xludf.DUMMYFUNCTION("GOOGLETRANSLATE(D4462,""fr"",""es"")"),"titis")</f>
        <v>titis</v>
      </c>
    </row>
    <row r="4463">
      <c r="A4463" s="3">
        <v>1915.0</v>
      </c>
      <c r="B4463" s="3" t="s">
        <v>6738</v>
      </c>
      <c r="C4463" s="3" t="s">
        <v>190</v>
      </c>
      <c r="D4463" s="3" t="s">
        <v>8006</v>
      </c>
      <c r="E4463" s="3" t="s">
        <v>8007</v>
      </c>
      <c r="F4463" s="3" t="s">
        <v>6584</v>
      </c>
      <c r="G4463" s="3" t="str">
        <f>IFERROR(__xludf.DUMMYFUNCTION("GOOGLETRANSLATE(D4463,""fr"",""es"")"),"toquea")</f>
        <v>toquea</v>
      </c>
    </row>
    <row r="4464">
      <c r="A4464" s="3">
        <v>1916.0</v>
      </c>
      <c r="B4464" s="3" t="s">
        <v>6738</v>
      </c>
      <c r="C4464" s="3" t="s">
        <v>190</v>
      </c>
      <c r="D4464" s="3" t="s">
        <v>6588</v>
      </c>
      <c r="E4464" s="3" t="s">
        <v>8008</v>
      </c>
      <c r="F4464" s="3" t="s">
        <v>6590</v>
      </c>
      <c r="G4464" s="3" t="str">
        <f>IFERROR(__xludf.DUMMYFUNCTION("GOOGLETRANSLATE(D4464,""fr"",""es"")"),"tocar")</f>
        <v>tocar</v>
      </c>
    </row>
    <row r="4465">
      <c r="A4465" s="3">
        <v>1917.0</v>
      </c>
      <c r="B4465" s="3" t="s">
        <v>6738</v>
      </c>
      <c r="C4465" s="3" t="s">
        <v>190</v>
      </c>
      <c r="D4465" s="3" t="s">
        <v>8009</v>
      </c>
      <c r="E4465" s="3" t="s">
        <v>8007</v>
      </c>
      <c r="F4465" s="3" t="s">
        <v>6584</v>
      </c>
      <c r="G4465" s="3" t="str">
        <f>IFERROR(__xludf.DUMMYFUNCTION("GOOGLETRANSLATE(D4465,""fr"",""es"")"),"touchas")</f>
        <v>touchas</v>
      </c>
    </row>
    <row r="4466">
      <c r="A4466" s="3">
        <v>1918.0</v>
      </c>
      <c r="B4466" s="3" t="s">
        <v>6738</v>
      </c>
      <c r="C4466" s="3" t="s">
        <v>190</v>
      </c>
      <c r="D4466" s="3" t="s">
        <v>6591</v>
      </c>
      <c r="E4466" s="3" t="s">
        <v>8010</v>
      </c>
      <c r="F4466" s="3" t="s">
        <v>6593</v>
      </c>
      <c r="G4466" s="3" t="str">
        <f>IFERROR(__xludf.DUMMYFUNCTION("GOOGLETRANSLATE(D4466,""fr"",""es"")"),"conmovedora")</f>
        <v>conmovedora</v>
      </c>
    </row>
    <row r="4467">
      <c r="A4467" s="3">
        <v>1919.0</v>
      </c>
      <c r="B4467" s="3" t="s">
        <v>6738</v>
      </c>
      <c r="C4467" s="3" t="s">
        <v>190</v>
      </c>
      <c r="D4467" s="3" t="s">
        <v>6594</v>
      </c>
      <c r="E4467" s="3" t="s">
        <v>8010</v>
      </c>
      <c r="F4467" s="3" t="s">
        <v>6593</v>
      </c>
      <c r="G4467" s="3" t="str">
        <f>IFERROR(__xludf.DUMMYFUNCTION("GOOGLETRANSLATE(D4467,""fr"",""es"")"),"tocar")</f>
        <v>tocar</v>
      </c>
    </row>
    <row r="4468">
      <c r="A4468" s="3">
        <v>1920.0</v>
      </c>
      <c r="B4468" s="3" t="s">
        <v>6738</v>
      </c>
      <c r="C4468" s="3" t="s">
        <v>190</v>
      </c>
      <c r="D4468" s="3" t="s">
        <v>6595</v>
      </c>
      <c r="E4468" s="3" t="s">
        <v>8010</v>
      </c>
      <c r="F4468" s="3" t="s">
        <v>6593</v>
      </c>
      <c r="G4468" s="3" t="str">
        <f>IFERROR(__xludf.DUMMYFUNCTION("GOOGLETRANSLATE(D4468,""fr"",""es"")"),"tocar")</f>
        <v>tocar</v>
      </c>
    </row>
    <row r="4469">
      <c r="A4469" s="3">
        <v>1921.0</v>
      </c>
      <c r="B4469" s="3" t="s">
        <v>6738</v>
      </c>
      <c r="C4469" s="3" t="s">
        <v>190</v>
      </c>
      <c r="D4469" s="3" t="s">
        <v>8011</v>
      </c>
      <c r="E4469" s="3" t="s">
        <v>8007</v>
      </c>
      <c r="F4469" s="3" t="s">
        <v>6584</v>
      </c>
      <c r="G4469" s="3" t="str">
        <f>IFERROR(__xludf.DUMMYFUNCTION("GOOGLETRANSLATE(D4469,""fr"",""es"")"),"tocar")</f>
        <v>tocar</v>
      </c>
    </row>
    <row r="4470">
      <c r="A4470" s="3">
        <v>1922.0</v>
      </c>
      <c r="B4470" s="3" t="s">
        <v>6738</v>
      </c>
      <c r="C4470" s="3" t="s">
        <v>190</v>
      </c>
      <c r="D4470" s="3" t="s">
        <v>6596</v>
      </c>
      <c r="E4470" s="3" t="s">
        <v>8012</v>
      </c>
      <c r="F4470" s="3" t="s">
        <v>6598</v>
      </c>
      <c r="G4470" s="3" t="str">
        <f>IFERROR(__xludf.DUMMYFUNCTION("GOOGLETRANSLATE(D4470,""fr"",""es"")"),"toques")</f>
        <v>toques</v>
      </c>
      <c r="H4470" s="3" t="s">
        <v>6599</v>
      </c>
      <c r="I4470" s="3" t="s">
        <v>6600</v>
      </c>
      <c r="J4470" s="3" t="s">
        <v>6601</v>
      </c>
      <c r="K4470" s="3" t="s">
        <v>6602</v>
      </c>
      <c r="L4470" s="3" t="s">
        <v>6603</v>
      </c>
      <c r="M4470" s="3" t="s">
        <v>6604</v>
      </c>
      <c r="N4470" s="3" t="s">
        <v>6605</v>
      </c>
      <c r="O4470" s="3" t="s">
        <v>6605</v>
      </c>
      <c r="P4470" s="3" t="s">
        <v>6605</v>
      </c>
      <c r="Q4470" s="3" t="s">
        <v>6606</v>
      </c>
      <c r="R4470" s="3" t="s">
        <v>6605</v>
      </c>
      <c r="S4470" s="3" t="s">
        <v>6605</v>
      </c>
      <c r="T4470" s="3" t="s">
        <v>6605</v>
      </c>
      <c r="U4470" s="3" t="s">
        <v>6607</v>
      </c>
      <c r="V4470" s="3" t="s">
        <v>6608</v>
      </c>
      <c r="W4470" s="3" t="s">
        <v>6609</v>
      </c>
      <c r="X4470" s="3" t="s">
        <v>6610</v>
      </c>
      <c r="Y4470" s="3" t="s">
        <v>6605</v>
      </c>
      <c r="Z4470" s="3" t="s">
        <v>6605</v>
      </c>
      <c r="AA4470" s="3" t="s">
        <v>6605</v>
      </c>
      <c r="AB4470" s="3" t="s">
        <v>6605</v>
      </c>
      <c r="AC4470" s="3" t="s">
        <v>6605</v>
      </c>
      <c r="AD4470" s="3" t="s">
        <v>6605</v>
      </c>
      <c r="AE4470" s="3" t="s">
        <v>2136</v>
      </c>
      <c r="AF4470" s="3" t="s">
        <v>6605</v>
      </c>
      <c r="AG4470" s="3" t="s">
        <v>6611</v>
      </c>
      <c r="AH4470" s="3" t="s">
        <v>6605</v>
      </c>
      <c r="AI4470" s="3" t="s">
        <v>6612</v>
      </c>
      <c r="AJ4470" s="3" t="s">
        <v>6613</v>
      </c>
      <c r="AK4470" s="3" t="s">
        <v>6614</v>
      </c>
      <c r="AL4470" s="3" t="s">
        <v>6615</v>
      </c>
      <c r="AM4470" s="3" t="s">
        <v>6616</v>
      </c>
      <c r="AN4470" s="3" t="s">
        <v>6617</v>
      </c>
      <c r="AO4470" s="3" t="s">
        <v>6605</v>
      </c>
      <c r="AP4470" s="3" t="s">
        <v>6605</v>
      </c>
    </row>
    <row r="4471">
      <c r="A4471" s="3">
        <v>1923.0</v>
      </c>
      <c r="B4471" s="3" t="s">
        <v>6738</v>
      </c>
      <c r="C4471" s="3" t="s">
        <v>190</v>
      </c>
      <c r="D4471" s="3" t="s">
        <v>6618</v>
      </c>
      <c r="E4471" s="3" t="s">
        <v>8013</v>
      </c>
      <c r="F4471" s="3" t="s">
        <v>6620</v>
      </c>
      <c r="G4471" s="3" t="str">
        <f>IFERROR(__xludf.DUMMYFUNCTION("GOOGLETRANSLATE(D4471,""fr"",""es"")"),"toca todo")</f>
        <v>toca todo</v>
      </c>
      <c r="H4471" s="3" t="s">
        <v>6621</v>
      </c>
      <c r="I4471" s="3" t="s">
        <v>6622</v>
      </c>
      <c r="J4471" s="3" t="s">
        <v>6623</v>
      </c>
      <c r="K4471" s="3" t="s">
        <v>6624</v>
      </c>
      <c r="L4471" s="3" t="s">
        <v>6625</v>
      </c>
      <c r="M4471" s="3" t="s">
        <v>6626</v>
      </c>
      <c r="N4471" s="3" t="s">
        <v>6627</v>
      </c>
      <c r="O4471" s="3" t="s">
        <v>6628</v>
      </c>
    </row>
    <row r="4472">
      <c r="A4472" s="3">
        <v>1924.0</v>
      </c>
      <c r="B4472" s="3" t="s">
        <v>6738</v>
      </c>
      <c r="C4472" s="3" t="s">
        <v>190</v>
      </c>
      <c r="D4472" s="3" t="s">
        <v>6629</v>
      </c>
      <c r="E4472" s="3" t="s">
        <v>8012</v>
      </c>
      <c r="F4472" s="3" t="s">
        <v>6598</v>
      </c>
      <c r="G4472" s="3" t="str">
        <f>IFERROR(__xludf.DUMMYFUNCTION("GOOGLETRANSLATE(D4472,""fr"",""es"")"),"tocar")</f>
        <v>tocar</v>
      </c>
    </row>
    <row r="4473">
      <c r="A4473" s="3">
        <v>1925.0</v>
      </c>
      <c r="B4473" s="3" t="s">
        <v>6738</v>
      </c>
      <c r="C4473" s="3" t="s">
        <v>190</v>
      </c>
      <c r="D4473" s="3" t="s">
        <v>6630</v>
      </c>
      <c r="E4473" s="3" t="s">
        <v>8012</v>
      </c>
      <c r="F4473" s="3" t="s">
        <v>6598</v>
      </c>
      <c r="G4473" s="3" t="str">
        <f>IFERROR(__xludf.DUMMYFUNCTION("GOOGLETRANSLATE(D4473,""fr"",""es"")"),"llaves")</f>
        <v>llaves</v>
      </c>
    </row>
    <row r="4474">
      <c r="A4474" s="3">
        <v>1926.0</v>
      </c>
      <c r="B4474" s="3" t="s">
        <v>6738</v>
      </c>
      <c r="C4474" s="3" t="s">
        <v>190</v>
      </c>
      <c r="D4474" s="3" t="s">
        <v>8014</v>
      </c>
      <c r="E4474" s="3" t="s">
        <v>8015</v>
      </c>
      <c r="F4474" s="3" t="s">
        <v>6633</v>
      </c>
      <c r="G4474" s="3" t="str">
        <f>IFERROR(__xludf.DUMMYFUNCTION("GOOGLETRANSLATE(D4474,""fr"",""es"")"),"touilla")</f>
        <v>touilla</v>
      </c>
    </row>
    <row r="4475">
      <c r="A4475" s="3">
        <v>1927.0</v>
      </c>
      <c r="B4475" s="3" t="s">
        <v>6738</v>
      </c>
      <c r="C4475" s="3" t="s">
        <v>190</v>
      </c>
      <c r="D4475" s="3" t="s">
        <v>6637</v>
      </c>
      <c r="E4475" s="3" t="s">
        <v>8016</v>
      </c>
      <c r="F4475" s="3" t="s">
        <v>6639</v>
      </c>
      <c r="G4475" s="3" t="str">
        <f>IFERROR(__xludf.DUMMYFUNCTION("GOOGLETRANSLATE(D4475,""fr"",""es"")"),"touillâme")</f>
        <v>touillâme</v>
      </c>
    </row>
    <row r="4476">
      <c r="A4476" s="3">
        <v>1928.0</v>
      </c>
      <c r="B4476" s="3" t="s">
        <v>6738</v>
      </c>
      <c r="C4476" s="3" t="s">
        <v>190</v>
      </c>
      <c r="D4476" s="3" t="s">
        <v>8017</v>
      </c>
      <c r="E4476" s="3" t="s">
        <v>8015</v>
      </c>
      <c r="F4476" s="3" t="s">
        <v>6633</v>
      </c>
      <c r="G4476" s="3" t="str">
        <f>IFERROR(__xludf.DUMMYFUNCTION("GOOGLETRANSLATE(D4476,""fr"",""es"")"),"touillas")</f>
        <v>touillas</v>
      </c>
    </row>
    <row r="4477">
      <c r="A4477" s="3">
        <v>1929.0</v>
      </c>
      <c r="B4477" s="3" t="s">
        <v>6738</v>
      </c>
      <c r="C4477" s="3" t="s">
        <v>190</v>
      </c>
      <c r="D4477" s="3" t="s">
        <v>6640</v>
      </c>
      <c r="E4477" s="3" t="s">
        <v>8018</v>
      </c>
      <c r="F4477" s="3" t="s">
        <v>6642</v>
      </c>
      <c r="G4477" s="3" t="str">
        <f>IFERROR(__xludf.DUMMYFUNCTION("GOOGLETRANSLATE(D4477,""fr"",""es"")"),"touillage")</f>
        <v>touillage</v>
      </c>
    </row>
    <row r="4478">
      <c r="A4478" s="3">
        <v>1930.0</v>
      </c>
      <c r="B4478" s="3" t="s">
        <v>6738</v>
      </c>
      <c r="C4478" s="3" t="s">
        <v>190</v>
      </c>
      <c r="D4478" s="3" t="s">
        <v>6643</v>
      </c>
      <c r="E4478" s="3" t="s">
        <v>8018</v>
      </c>
      <c r="F4478" s="3" t="s">
        <v>6642</v>
      </c>
      <c r="G4478" s="3" t="str">
        <f>IFERROR(__xludf.DUMMYFUNCTION("GOOGLETRANSLATE(D4478,""fr"",""es"")"),"Touillage")</f>
        <v>Touillage</v>
      </c>
    </row>
    <row r="4479">
      <c r="A4479" s="3">
        <v>1931.0</v>
      </c>
      <c r="B4479" s="3" t="s">
        <v>6738</v>
      </c>
      <c r="C4479" s="3" t="s">
        <v>190</v>
      </c>
      <c r="D4479" s="3" t="s">
        <v>6644</v>
      </c>
      <c r="E4479" s="3" t="s">
        <v>8018</v>
      </c>
      <c r="F4479" s="3" t="s">
        <v>6642</v>
      </c>
      <c r="G4479" s="3" t="str">
        <f>IFERROR(__xludf.DUMMYFUNCTION("GOOGLETRANSLATE(D4479,""fr"",""es"")"),"touillasses")</f>
        <v>touillasses</v>
      </c>
    </row>
    <row r="4480">
      <c r="A4480" s="3">
        <v>1932.0</v>
      </c>
      <c r="B4480" s="3" t="s">
        <v>6738</v>
      </c>
      <c r="C4480" s="3" t="s">
        <v>190</v>
      </c>
      <c r="D4480" s="3" t="s">
        <v>8019</v>
      </c>
      <c r="E4480" s="3" t="s">
        <v>8015</v>
      </c>
      <c r="F4480" s="3" t="s">
        <v>6633</v>
      </c>
      <c r="G4480" s="3" t="str">
        <f>IFERROR(__xludf.DUMMYFUNCTION("GOOGLETRANSLATE(D4480,""fr"",""es"")"),"touillât")</f>
        <v>touillât</v>
      </c>
    </row>
    <row r="4481">
      <c r="A4481" s="3">
        <v>1933.0</v>
      </c>
      <c r="B4481" s="3" t="s">
        <v>6738</v>
      </c>
      <c r="C4481" s="3" t="s">
        <v>190</v>
      </c>
      <c r="D4481" s="3" t="s">
        <v>6645</v>
      </c>
      <c r="E4481" s="3" t="s">
        <v>8020</v>
      </c>
      <c r="F4481" s="3" t="s">
        <v>6647</v>
      </c>
      <c r="G4481" s="3" t="str">
        <f>IFERROR(__xludf.DUMMYFUNCTION("GOOGLETRANSLATE(D4481,""fr"",""es"")"),"sacudida")</f>
        <v>sacudida</v>
      </c>
    </row>
    <row r="4482">
      <c r="A4482" s="3">
        <v>1934.0</v>
      </c>
      <c r="B4482" s="3" t="s">
        <v>6738</v>
      </c>
      <c r="C4482" s="3" t="s">
        <v>190</v>
      </c>
      <c r="D4482" s="3" t="s">
        <v>6648</v>
      </c>
      <c r="E4482" s="3" t="s">
        <v>8020</v>
      </c>
      <c r="F4482" s="3" t="s">
        <v>6647</v>
      </c>
      <c r="G4482" s="3" t="str">
        <f>IFERROR(__xludf.DUMMYFUNCTION("GOOGLETRANSLATE(D4482,""fr"",""es"")"),"Touille")</f>
        <v>Touille</v>
      </c>
    </row>
    <row r="4483">
      <c r="A4483" s="3">
        <v>1935.0</v>
      </c>
      <c r="B4483" s="3" t="s">
        <v>6738</v>
      </c>
      <c r="C4483" s="3" t="s">
        <v>190</v>
      </c>
      <c r="D4483" s="3" t="s">
        <v>6649</v>
      </c>
      <c r="E4483" s="3" t="s">
        <v>8020</v>
      </c>
      <c r="F4483" s="3" t="s">
        <v>6647</v>
      </c>
      <c r="G4483" s="3" t="str">
        <f>IFERROR(__xludf.DUMMYFUNCTION("GOOGLETRANSLATE(D4483,""fr"",""es"")"),"medir")</f>
        <v>medir</v>
      </c>
    </row>
    <row r="4484">
      <c r="A4484" s="3">
        <v>1936.0</v>
      </c>
      <c r="B4484" s="3" t="s">
        <v>6738</v>
      </c>
      <c r="C4484" s="3" t="s">
        <v>190</v>
      </c>
      <c r="D4484" s="3" t="s">
        <v>6665</v>
      </c>
      <c r="E4484" s="3" t="s">
        <v>8021</v>
      </c>
      <c r="F4484" s="3" t="s">
        <v>6667</v>
      </c>
      <c r="G4484" s="3" t="str">
        <f>IFERROR(__xludf.DUMMYFUNCTION("GOOGLETRANSLATE(D4484,""fr"",""es"")"),"hilado")</f>
        <v>hilado</v>
      </c>
      <c r="H4484" s="3" t="s">
        <v>1957</v>
      </c>
      <c r="I4484" s="3" t="s">
        <v>6668</v>
      </c>
      <c r="J4484" s="3" t="s">
        <v>6669</v>
      </c>
      <c r="K4484" s="3" t="s">
        <v>6670</v>
      </c>
    </row>
    <row r="4485">
      <c r="A4485" s="3">
        <v>1937.0</v>
      </c>
      <c r="B4485" s="3" t="s">
        <v>6738</v>
      </c>
      <c r="C4485" s="3" t="s">
        <v>190</v>
      </c>
      <c r="D4485" s="3" t="s">
        <v>6671</v>
      </c>
      <c r="E4485" s="3" t="s">
        <v>8021</v>
      </c>
      <c r="F4485" s="3" t="s">
        <v>6667</v>
      </c>
      <c r="G4485" s="3" t="str">
        <f>IFERROR(__xludf.DUMMYFUNCTION("GOOGLETRANSLATE(D4485,""fr"",""es"")"),"toupías")</f>
        <v>toupías</v>
      </c>
    </row>
    <row r="4486">
      <c r="A4486" s="3">
        <v>1938.0</v>
      </c>
      <c r="B4486" s="3" t="s">
        <v>6738</v>
      </c>
      <c r="C4486" s="3" t="s">
        <v>190</v>
      </c>
      <c r="D4486" s="3" t="s">
        <v>8022</v>
      </c>
      <c r="E4486" s="3" t="s">
        <v>8023</v>
      </c>
      <c r="F4486" s="3" t="s">
        <v>6674</v>
      </c>
      <c r="G4486" s="3" t="str">
        <f>IFERROR(__xludf.DUMMYFUNCTION("GOOGLETRANSLATE(D4486,""fr"",""es"")"),"Toussa")</f>
        <v>Toussa</v>
      </c>
    </row>
    <row r="4487">
      <c r="A4487" s="3">
        <v>1939.0</v>
      </c>
      <c r="B4487" s="3" t="s">
        <v>6738</v>
      </c>
      <c r="C4487" s="3" t="s">
        <v>190</v>
      </c>
      <c r="D4487" s="3" t="s">
        <v>6678</v>
      </c>
      <c r="E4487" s="3" t="s">
        <v>8024</v>
      </c>
      <c r="F4487" s="3" t="s">
        <v>6680</v>
      </c>
      <c r="G4487" s="3" t="str">
        <f>IFERROR(__xludf.DUMMYFUNCTION("GOOGLETRANSLATE(D4487,""fr"",""es"")"),"tos")</f>
        <v>tos</v>
      </c>
    </row>
    <row r="4488">
      <c r="A4488" s="3">
        <v>1940.0</v>
      </c>
      <c r="B4488" s="3" t="s">
        <v>6738</v>
      </c>
      <c r="C4488" s="3" t="s">
        <v>190</v>
      </c>
      <c r="D4488" s="3" t="s">
        <v>8025</v>
      </c>
      <c r="E4488" s="3" t="s">
        <v>8023</v>
      </c>
      <c r="F4488" s="3" t="s">
        <v>6674</v>
      </c>
      <c r="G4488" s="3" t="str">
        <f>IFERROR(__xludf.DUMMYFUNCTION("GOOGLETRANSLATE(D4488,""fr"",""es"")"),"tos")</f>
        <v>tos</v>
      </c>
    </row>
    <row r="4489">
      <c r="A4489" s="3">
        <v>1941.0</v>
      </c>
      <c r="B4489" s="3" t="s">
        <v>6738</v>
      </c>
      <c r="C4489" s="3" t="s">
        <v>190</v>
      </c>
      <c r="D4489" s="3" t="s">
        <v>6681</v>
      </c>
      <c r="E4489" s="3" t="s">
        <v>8026</v>
      </c>
      <c r="F4489" s="3" t="s">
        <v>6683</v>
      </c>
      <c r="G4489" s="3" t="str">
        <f>IFERROR(__xludf.DUMMYFUNCTION("GOOGLETRANSLATE(D4489,""fr"",""es"")"),"tos")</f>
        <v>tos</v>
      </c>
    </row>
    <row r="4490">
      <c r="A4490" s="3">
        <v>1942.0</v>
      </c>
      <c r="B4490" s="3" t="s">
        <v>6738</v>
      </c>
      <c r="C4490" s="3" t="s">
        <v>190</v>
      </c>
      <c r="D4490" s="3" t="s">
        <v>6684</v>
      </c>
      <c r="E4490" s="3" t="s">
        <v>8026</v>
      </c>
      <c r="F4490" s="3" t="s">
        <v>6683</v>
      </c>
      <c r="G4490" s="3" t="str">
        <f>IFERROR(__xludf.DUMMYFUNCTION("GOOGLETRANSLATE(D4490,""fr"",""es"")"),"tos")</f>
        <v>tos</v>
      </c>
    </row>
    <row r="4491">
      <c r="A4491" s="3">
        <v>1943.0</v>
      </c>
      <c r="B4491" s="3" t="s">
        <v>6738</v>
      </c>
      <c r="C4491" s="3" t="s">
        <v>190</v>
      </c>
      <c r="D4491" s="3" t="s">
        <v>6685</v>
      </c>
      <c r="E4491" s="3" t="s">
        <v>8026</v>
      </c>
      <c r="F4491" s="3" t="s">
        <v>6683</v>
      </c>
      <c r="G4491" s="3" t="str">
        <f>IFERROR(__xludf.DUMMYFUNCTION("GOOGLETRANSLATE(D4491,""fr"",""es"")"),"tos")</f>
        <v>tos</v>
      </c>
    </row>
    <row r="4492">
      <c r="A4492" s="3">
        <v>1944.0</v>
      </c>
      <c r="B4492" s="3" t="s">
        <v>6738</v>
      </c>
      <c r="C4492" s="3" t="s">
        <v>190</v>
      </c>
      <c r="D4492" s="3" t="s">
        <v>8027</v>
      </c>
      <c r="E4492" s="3" t="s">
        <v>8023</v>
      </c>
      <c r="F4492" s="3" t="s">
        <v>6674</v>
      </c>
      <c r="G4492" s="3" t="str">
        <f>IFERROR(__xludf.DUMMYFUNCTION("GOOGLETRANSLATE(D4492,""fr"",""es"")"),"tos")</f>
        <v>tos</v>
      </c>
    </row>
    <row r="4493">
      <c r="A4493" s="3">
        <v>1945.0</v>
      </c>
      <c r="B4493" s="3" t="s">
        <v>6738</v>
      </c>
      <c r="C4493" s="3" t="s">
        <v>190</v>
      </c>
      <c r="D4493" s="3" t="s">
        <v>6686</v>
      </c>
      <c r="E4493" s="3" t="s">
        <v>8028</v>
      </c>
      <c r="F4493" s="3" t="s">
        <v>6688</v>
      </c>
      <c r="G4493" s="3" t="str">
        <f>IFERROR(__xludf.DUMMYFUNCTION("GOOGLETRANSLATE(D4493,""fr"",""es"")"),"tos")</f>
        <v>tos</v>
      </c>
    </row>
    <row r="4494">
      <c r="A4494" s="3">
        <v>1946.0</v>
      </c>
      <c r="B4494" s="3" t="s">
        <v>6738</v>
      </c>
      <c r="C4494" s="3" t="s">
        <v>190</v>
      </c>
      <c r="D4494" s="3" t="s">
        <v>6689</v>
      </c>
      <c r="E4494" s="3" t="s">
        <v>8028</v>
      </c>
      <c r="F4494" s="3" t="s">
        <v>6688</v>
      </c>
      <c r="G4494" s="3" t="str">
        <f>IFERROR(__xludf.DUMMYFUNCTION("GOOGLETRANSLATE(D4494,""fr"",""es"")"),"tos")</f>
        <v>tos</v>
      </c>
    </row>
    <row r="4495">
      <c r="A4495" s="3">
        <v>1947.0</v>
      </c>
      <c r="B4495" s="3" t="s">
        <v>6738</v>
      </c>
      <c r="C4495" s="3" t="s">
        <v>190</v>
      </c>
      <c r="D4495" s="3" t="s">
        <v>6690</v>
      </c>
      <c r="E4495" s="3" t="s">
        <v>8028</v>
      </c>
      <c r="F4495" s="3" t="s">
        <v>6688</v>
      </c>
      <c r="G4495" s="3" t="str">
        <f>IFERROR(__xludf.DUMMYFUNCTION("GOOGLETRANSLATE(D4495,""fr"",""es"")"),"mostrador")</f>
        <v>mostrador</v>
      </c>
    </row>
    <row r="4496">
      <c r="A4496" s="3">
        <v>1948.0</v>
      </c>
      <c r="B4496" s="3" t="s">
        <v>6738</v>
      </c>
      <c r="C4496" s="3" t="s">
        <v>190</v>
      </c>
      <c r="D4496" s="3" t="s">
        <v>6691</v>
      </c>
      <c r="E4496" s="3" t="s">
        <v>8029</v>
      </c>
      <c r="F4496" s="3" t="s">
        <v>6693</v>
      </c>
      <c r="G4496" s="3" t="str">
        <f>IFERROR(__xludf.DUMMYFUNCTION("GOOGLETRANSLATE(D4496,""fr"",""es"")"),"de repente")</f>
        <v>de repente</v>
      </c>
    </row>
    <row r="4497">
      <c r="A4497" s="3">
        <v>1949.0</v>
      </c>
      <c r="B4497" s="3" t="s">
        <v>6738</v>
      </c>
      <c r="C4497" s="3" t="s">
        <v>190</v>
      </c>
      <c r="D4497" s="3" t="s">
        <v>6694</v>
      </c>
      <c r="E4497" s="3" t="s">
        <v>8030</v>
      </c>
      <c r="F4497" s="3" t="s">
        <v>6696</v>
      </c>
      <c r="G4497" s="3" t="str">
        <f>IFERROR(__xludf.DUMMYFUNCTION("GOOGLETRANSLATE(D4497,""fr"",""es"")"),"perrito")</f>
        <v>perrito</v>
      </c>
      <c r="H4497" s="3" t="s">
        <v>6697</v>
      </c>
      <c r="I4497" s="3" t="s">
        <v>6698</v>
      </c>
      <c r="J4497" s="3" t="s">
        <v>6699</v>
      </c>
      <c r="K4497" s="3" t="s">
        <v>6700</v>
      </c>
      <c r="L4497" s="3" t="s">
        <v>6701</v>
      </c>
    </row>
    <row r="4498">
      <c r="A4498" s="3">
        <v>1950.0</v>
      </c>
      <c r="B4498" s="3" t="s">
        <v>6738</v>
      </c>
      <c r="C4498" s="3" t="s">
        <v>190</v>
      </c>
      <c r="D4498" s="3" t="s">
        <v>6702</v>
      </c>
      <c r="E4498" s="3" t="s">
        <v>8030</v>
      </c>
      <c r="F4498" s="3" t="s">
        <v>6696</v>
      </c>
      <c r="G4498" s="3" t="str">
        <f>IFERROR(__xludf.DUMMYFUNCTION("GOOGLETRANSLATE(D4498,""fr"",""es"")"),"perrito")</f>
        <v>perrito</v>
      </c>
    </row>
    <row r="4499">
      <c r="A4499" s="3">
        <v>1951.0</v>
      </c>
      <c r="B4499" s="3" t="s">
        <v>6738</v>
      </c>
      <c r="C4499" s="3" t="s">
        <v>190</v>
      </c>
      <c r="D4499" s="3" t="s">
        <v>6703</v>
      </c>
      <c r="E4499" s="3" t="s">
        <v>6704</v>
      </c>
      <c r="F4499" s="3" t="s">
        <v>6705</v>
      </c>
      <c r="G4499" s="3" t="str">
        <f>IFERROR(__xludf.DUMMYFUNCTION("GOOGLETRANSLATE(D4499,""fr"",""es"")"),"tos")</f>
        <v>tos</v>
      </c>
      <c r="H4499" s="3" t="s">
        <v>6706</v>
      </c>
      <c r="I4499" s="3" t="s">
        <v>6706</v>
      </c>
      <c r="J4499" s="3" t="s">
        <v>6707</v>
      </c>
    </row>
    <row r="4500">
      <c r="A4500" s="3">
        <v>1952.0</v>
      </c>
      <c r="B4500" s="3" t="s">
        <v>6738</v>
      </c>
      <c r="C4500" s="3" t="s">
        <v>190</v>
      </c>
      <c r="D4500" s="3" t="s">
        <v>6941</v>
      </c>
      <c r="E4500" s="3" t="s">
        <v>7925</v>
      </c>
      <c r="F4500" s="3" t="s">
        <v>1958</v>
      </c>
      <c r="G4500" s="3" t="str">
        <f>IFERROR(__xludf.DUMMYFUNCTION("GOOGLETRANSLATE(D4500,""fr"",""es"")"),"tipo")</f>
        <v>tipo</v>
      </c>
      <c r="H4500" s="3" t="s">
        <v>6941</v>
      </c>
      <c r="I4500" s="3" t="s">
        <v>8031</v>
      </c>
      <c r="J4500" s="3" t="s">
        <v>6335</v>
      </c>
      <c r="K4500" s="3" t="s">
        <v>8032</v>
      </c>
      <c r="L4500" s="3" t="s">
        <v>8033</v>
      </c>
      <c r="M4500" s="3" t="s">
        <v>6941</v>
      </c>
      <c r="N4500" s="3" t="s">
        <v>6249</v>
      </c>
      <c r="O4500" s="3" t="s">
        <v>8034</v>
      </c>
      <c r="P4500" s="3" t="s">
        <v>8035</v>
      </c>
      <c r="Q4500" s="3" t="s">
        <v>8036</v>
      </c>
      <c r="R4500" s="3" t="s">
        <v>6941</v>
      </c>
      <c r="S4500" s="3" t="s">
        <v>6941</v>
      </c>
      <c r="T4500" s="3" t="s">
        <v>8032</v>
      </c>
      <c r="U4500" s="3" t="s">
        <v>8037</v>
      </c>
      <c r="V4500" s="3" t="s">
        <v>6002</v>
      </c>
      <c r="W4500" s="3" t="s">
        <v>8038</v>
      </c>
      <c r="X4500" s="3" t="s">
        <v>6941</v>
      </c>
      <c r="Y4500" s="3" t="s">
        <v>8039</v>
      </c>
      <c r="Z4500" s="3" t="s">
        <v>8040</v>
      </c>
      <c r="AA4500" s="3" t="s">
        <v>6939</v>
      </c>
      <c r="AB4500" s="3" t="s">
        <v>6940</v>
      </c>
      <c r="AC4500" s="3" t="s">
        <v>6941</v>
      </c>
      <c r="AD4500" s="3" t="s">
        <v>6291</v>
      </c>
      <c r="AE4500" s="3" t="s">
        <v>3649</v>
      </c>
      <c r="AF4500" s="3" t="s">
        <v>3650</v>
      </c>
      <c r="AG4500" s="3" t="s">
        <v>3651</v>
      </c>
      <c r="AH4500" s="3" t="s">
        <v>3652</v>
      </c>
      <c r="AI4500" s="3" t="s">
        <v>3653</v>
      </c>
      <c r="AJ4500" s="3" t="s">
        <v>552</v>
      </c>
      <c r="AK4500" s="3" t="s">
        <v>3654</v>
      </c>
      <c r="AL4500" s="3" t="s">
        <v>3655</v>
      </c>
      <c r="AM4500" s="3" t="s">
        <v>3656</v>
      </c>
      <c r="AN4500" s="3" t="s">
        <v>3364</v>
      </c>
    </row>
    <row r="4501">
      <c r="A4501" s="3">
        <v>1953.0</v>
      </c>
      <c r="B4501" s="3" t="s">
        <v>6738</v>
      </c>
      <c r="C4501" s="3" t="s">
        <v>190</v>
      </c>
      <c r="D4501" s="3" t="s">
        <v>8041</v>
      </c>
      <c r="E4501" s="3" t="s">
        <v>7925</v>
      </c>
      <c r="F4501" s="3" t="s">
        <v>1958</v>
      </c>
      <c r="G4501" s="3" t="str">
        <f>IFERROR(__xludf.DUMMYFUNCTION("GOOGLETRANSLATE(D4501,""fr"",""es"")"),"tipos")</f>
        <v>tipos</v>
      </c>
    </row>
    <row r="4502">
      <c r="A4502" s="3">
        <v>1954.0</v>
      </c>
      <c r="B4502" s="3" t="s">
        <v>6738</v>
      </c>
      <c r="C4502" s="3" t="s">
        <v>190</v>
      </c>
      <c r="D4502" s="3" t="s">
        <v>8042</v>
      </c>
      <c r="E4502" s="3" t="s">
        <v>8043</v>
      </c>
      <c r="F4502" s="3" t="s">
        <v>8044</v>
      </c>
      <c r="G4502" s="3" t="str">
        <f>IFERROR(__xludf.DUMMYFUNCTION("GOOGLETRANSLATE(D4502,""fr"",""es"")"),"típico")</f>
        <v>típico</v>
      </c>
      <c r="H4502" s="3" t="s">
        <v>8045</v>
      </c>
      <c r="I4502" s="3" t="s">
        <v>8046</v>
      </c>
      <c r="J4502" s="3" t="s">
        <v>8046</v>
      </c>
      <c r="K4502" s="3" t="s">
        <v>8046</v>
      </c>
    </row>
    <row r="4503">
      <c r="A4503" s="3">
        <v>1955.0</v>
      </c>
      <c r="B4503" s="3" t="s">
        <v>6738</v>
      </c>
      <c r="C4503" s="3" t="s">
        <v>190</v>
      </c>
      <c r="D4503" s="3" t="s">
        <v>8047</v>
      </c>
      <c r="E4503" s="3" t="s">
        <v>8043</v>
      </c>
      <c r="F4503" s="3" t="s">
        <v>8044</v>
      </c>
      <c r="G4503" s="3" t="str">
        <f>IFERROR(__xludf.DUMMYFUNCTION("GOOGLETRANSLATE(D4503,""fr"",""es"")"),"típico")</f>
        <v>típico</v>
      </c>
    </row>
    <row r="4504">
      <c r="A4504" s="3">
        <v>1956.0</v>
      </c>
      <c r="B4504" s="3" t="s">
        <v>6738</v>
      </c>
      <c r="C4504" s="3" t="s">
        <v>190</v>
      </c>
      <c r="D4504" s="3" t="s">
        <v>6708</v>
      </c>
      <c r="E4504" s="3" t="s">
        <v>2267</v>
      </c>
      <c r="F4504" s="3" t="s">
        <v>2268</v>
      </c>
      <c r="G4504" s="3" t="str">
        <f>IFERROR(__xludf.DUMMYFUNCTION("GOOGLETRANSLATE(D4504,""fr"",""es"")"),"Y")</f>
        <v>Y</v>
      </c>
      <c r="H4504" s="3" t="s">
        <v>6709</v>
      </c>
      <c r="I4504" s="3" t="s">
        <v>6708</v>
      </c>
      <c r="J4504" s="3" t="s">
        <v>6710</v>
      </c>
      <c r="K4504" s="3" t="s">
        <v>6711</v>
      </c>
      <c r="L4504" s="3" t="s">
        <v>6709</v>
      </c>
      <c r="M4504" s="3" t="s">
        <v>6712</v>
      </c>
    </row>
    <row r="4505">
      <c r="A4505" s="3">
        <v>1957.0</v>
      </c>
      <c r="B4505" s="3" t="s">
        <v>6738</v>
      </c>
      <c r="C4505" s="3" t="s">
        <v>190</v>
      </c>
      <c r="D4505" s="3" t="s">
        <v>6713</v>
      </c>
      <c r="E4505" s="3" t="s">
        <v>6714</v>
      </c>
      <c r="F4505" s="3" t="s">
        <v>6715</v>
      </c>
      <c r="G4505" s="3" t="str">
        <f>IFERROR(__xludf.DUMMYFUNCTION("GOOGLETRANSLATE(D4505,""fr"",""es"")"),"quemar")</f>
        <v>quemar</v>
      </c>
      <c r="H4505" s="3" t="s">
        <v>6715</v>
      </c>
      <c r="I4505" s="3" t="s">
        <v>6716</v>
      </c>
      <c r="J4505" s="3" t="s">
        <v>6715</v>
      </c>
      <c r="K4505" s="3" t="s">
        <v>6713</v>
      </c>
      <c r="L4505" s="3" t="s">
        <v>6717</v>
      </c>
      <c r="M4505" s="3" t="s">
        <v>6718</v>
      </c>
      <c r="N4505" s="3" t="s">
        <v>6719</v>
      </c>
    </row>
    <row r="4506">
      <c r="A4506" s="3">
        <v>1958.0</v>
      </c>
      <c r="B4506" s="3" t="s">
        <v>6738</v>
      </c>
      <c r="C4506" s="3" t="s">
        <v>190</v>
      </c>
      <c r="D4506" s="3" t="s">
        <v>6720</v>
      </c>
      <c r="E4506" s="3" t="s">
        <v>6714</v>
      </c>
      <c r="F4506" s="3" t="s">
        <v>6715</v>
      </c>
      <c r="G4506" s="3" t="str">
        <f>IFERROR(__xludf.DUMMYFUNCTION("GOOGLETRANSLATE(D4506,""fr"",""es"")"),"ya")</f>
        <v>ya</v>
      </c>
    </row>
    <row r="4507">
      <c r="A4507" s="3">
        <v>1959.0</v>
      </c>
      <c r="B4507" s="3" t="s">
        <v>6738</v>
      </c>
      <c r="C4507" s="3" t="s">
        <v>190</v>
      </c>
      <c r="D4507" s="3" t="s">
        <v>6715</v>
      </c>
      <c r="E4507" s="3" t="s">
        <v>6714</v>
      </c>
      <c r="F4507" s="3" t="s">
        <v>6715</v>
      </c>
      <c r="G4507" s="3" t="str">
        <f>IFERROR(__xludf.DUMMYFUNCTION("GOOGLETRANSLATE(D4507,""fr"",""es"")"),"yak")</f>
        <v>yak</v>
      </c>
      <c r="H4507" s="3" t="s">
        <v>6715</v>
      </c>
      <c r="I4507" s="3" t="s">
        <v>6716</v>
      </c>
      <c r="J4507" s="3" t="s">
        <v>6715</v>
      </c>
      <c r="K4507" s="3" t="s">
        <v>6713</v>
      </c>
      <c r="L4507" s="3" t="s">
        <v>6717</v>
      </c>
      <c r="M4507" s="3" t="s">
        <v>6718</v>
      </c>
      <c r="N4507" s="3" t="s">
        <v>6719</v>
      </c>
    </row>
    <row r="4508">
      <c r="A4508" s="3">
        <v>1960.0</v>
      </c>
      <c r="B4508" s="3" t="s">
        <v>6738</v>
      </c>
      <c r="C4508" s="3" t="s">
        <v>190</v>
      </c>
      <c r="D4508" s="3" t="s">
        <v>6721</v>
      </c>
      <c r="E4508" s="3" t="s">
        <v>6714</v>
      </c>
      <c r="F4508" s="3" t="s">
        <v>6715</v>
      </c>
      <c r="G4508" s="3" t="str">
        <f>IFERROR(__xludf.DUMMYFUNCTION("GOOGLETRANSLATE(D4508,""fr"",""es"")"),"yaks")</f>
        <v>yaks</v>
      </c>
    </row>
    <row r="4509">
      <c r="A4509" s="3">
        <v>1961.0</v>
      </c>
      <c r="B4509" s="3" t="s">
        <v>6738</v>
      </c>
      <c r="C4509" s="3" t="s">
        <v>190</v>
      </c>
      <c r="D4509" s="3" t="s">
        <v>6722</v>
      </c>
      <c r="E4509" s="3" t="s">
        <v>6723</v>
      </c>
      <c r="F4509" s="3" t="s">
        <v>6724</v>
      </c>
      <c r="G4509" s="3" t="str">
        <f>IFERROR(__xludf.DUMMYFUNCTION("GOOGLETRANSLATE(D4509,""fr"",""es"")"),"yass")</f>
        <v>yass</v>
      </c>
    </row>
    <row r="4510">
      <c r="A4510" s="3">
        <v>1962.0</v>
      </c>
      <c r="B4510" s="3" t="s">
        <v>6738</v>
      </c>
      <c r="C4510" s="3" t="s">
        <v>190</v>
      </c>
      <c r="D4510" s="3" t="s">
        <v>6727</v>
      </c>
      <c r="E4510" s="3" t="s">
        <v>8048</v>
      </c>
      <c r="F4510" s="3" t="s">
        <v>6727</v>
      </c>
      <c r="G4510" s="3" t="str">
        <f>IFERROR(__xludf.DUMMYFUNCTION("GOOGLETRANSLATE(D4510,""fr"",""es"")"),"yin")</f>
        <v>yin</v>
      </c>
      <c r="H4510" s="3" t="s">
        <v>6727</v>
      </c>
    </row>
    <row r="4511">
      <c r="A4511" s="3">
        <v>1963.0</v>
      </c>
      <c r="B4511" s="3" t="s">
        <v>6738</v>
      </c>
      <c r="C4511" s="3" t="s">
        <v>190</v>
      </c>
      <c r="D4511" s="3" t="s">
        <v>8049</v>
      </c>
      <c r="E4511" s="3" t="s">
        <v>8050</v>
      </c>
      <c r="F4511" s="3" t="s">
        <v>8051</v>
      </c>
      <c r="G4511" s="3" t="str">
        <f>IFERROR(__xludf.DUMMYFUNCTION("GOOGLETRANSLATE(D4511,""fr"",""es"")"),"youpala")</f>
        <v>youpala</v>
      </c>
    </row>
    <row r="4512">
      <c r="A4512" s="3">
        <v>1964.0</v>
      </c>
      <c r="B4512" s="3" t="s">
        <v>6738</v>
      </c>
      <c r="C4512" s="3" t="s">
        <v>190</v>
      </c>
      <c r="D4512" s="3" t="s">
        <v>6729</v>
      </c>
      <c r="E4512" s="3" t="s">
        <v>8052</v>
      </c>
      <c r="F4512" s="3" t="s">
        <v>6731</v>
      </c>
      <c r="G4512" s="3" t="str">
        <f>IFERROR(__xludf.DUMMYFUNCTION("GOOGLETRANSLATE(D4512,""fr"",""es"")"),"Yoepi")</f>
        <v>Yoepi</v>
      </c>
      <c r="H4512" s="3" t="s">
        <v>6732</v>
      </c>
    </row>
    <row r="4513">
      <c r="A4513" s="3">
        <v>1965.0</v>
      </c>
      <c r="B4513" s="3" t="s">
        <v>6738</v>
      </c>
      <c r="C4513" s="3" t="s">
        <v>190</v>
      </c>
      <c r="D4513" s="3" t="s">
        <v>6733</v>
      </c>
      <c r="E4513" s="3" t="s">
        <v>8053</v>
      </c>
      <c r="F4513" s="3" t="s">
        <v>6735</v>
      </c>
      <c r="G4513" s="3" t="str">
        <f>IFERROR(__xludf.DUMMYFUNCTION("GOOGLETRANSLATE(D4513,""fr"",""es"")"),"YouPine")</f>
        <v>YouPine</v>
      </c>
    </row>
    <row r="4514">
      <c r="A4514" s="3">
        <v>1966.0</v>
      </c>
      <c r="B4514" s="3" t="s">
        <v>6738</v>
      </c>
      <c r="C4514" s="3" t="s">
        <v>190</v>
      </c>
      <c r="D4514" s="3" t="s">
        <v>6736</v>
      </c>
      <c r="E4514" s="3" t="s">
        <v>8053</v>
      </c>
      <c r="F4514" s="3" t="s">
        <v>6735</v>
      </c>
      <c r="G4514" s="3" t="str">
        <f>IFERROR(__xludf.DUMMYFUNCTION("GOOGLETRANSLATE(D4514,""fr"",""es"")"),"YouPines")</f>
        <v>YouPines</v>
      </c>
    </row>
    <row r="4515">
      <c r="A4515" s="3">
        <v>1967.0</v>
      </c>
      <c r="B4515" s="3" t="s">
        <v>6738</v>
      </c>
      <c r="C4515" s="3" t="s">
        <v>190</v>
      </c>
      <c r="D4515" s="3" t="s">
        <v>8054</v>
      </c>
      <c r="E4515" s="3" t="s">
        <v>8055</v>
      </c>
      <c r="F4515" s="3" t="s">
        <v>8056</v>
      </c>
      <c r="G4515" s="3" t="str">
        <f>IFERROR(__xludf.DUMMYFUNCTION("GOOGLETRANSLATE(D4515,""fr"",""es"")"),"yuca")</f>
        <v>yuca</v>
      </c>
      <c r="H4515" s="3" t="s">
        <v>8054</v>
      </c>
    </row>
    <row r="4516">
      <c r="A4516" s="3">
        <v>1968.0</v>
      </c>
      <c r="B4516" s="3" t="s">
        <v>6738</v>
      </c>
      <c r="C4516" s="3" t="s">
        <v>190</v>
      </c>
      <c r="D4516" s="3" t="s">
        <v>8057</v>
      </c>
      <c r="E4516" s="3" t="s">
        <v>8055</v>
      </c>
      <c r="F4516" s="3" t="s">
        <v>8056</v>
      </c>
      <c r="G4516" s="3" t="str">
        <f>IFERROR(__xludf.DUMMYFUNCTION("GOOGLETRANSLATE(D4516,""fr"",""es"")"),"yucas")</f>
        <v>yucas</v>
      </c>
    </row>
    <row r="4517">
      <c r="A4517" s="3">
        <v>1969.0</v>
      </c>
      <c r="B4517" s="3" t="s">
        <v>6738</v>
      </c>
      <c r="C4517" s="3" t="s">
        <v>190</v>
      </c>
      <c r="D4517" s="3" t="s">
        <v>6737</v>
      </c>
      <c r="E4517" s="3" t="s">
        <v>8052</v>
      </c>
      <c r="F4517" s="3" t="s">
        <v>6731</v>
      </c>
      <c r="G4517" s="3" t="str">
        <f>IFERROR(__xludf.DUMMYFUNCTION("GOOGLETRANSLATE(D4517,""fr"",""es"")"),"yuppie")</f>
        <v>yuppie</v>
      </c>
      <c r="H4517" s="3" t="s">
        <v>6737</v>
      </c>
    </row>
    <row r="4518">
      <c r="A4518" s="3">
        <v>1.0</v>
      </c>
      <c r="B4518" s="3" t="s">
        <v>8058</v>
      </c>
      <c r="C4518" s="3" t="s">
        <v>8059</v>
      </c>
      <c r="D4518" s="3" t="s">
        <v>191</v>
      </c>
      <c r="E4518" s="3" t="s">
        <v>192</v>
      </c>
      <c r="F4518" s="3" t="s">
        <v>191</v>
      </c>
      <c r="H4518" s="3" t="s">
        <v>198</v>
      </c>
      <c r="I4518" s="3" t="s">
        <v>191</v>
      </c>
      <c r="J4518" s="3" t="s">
        <v>8060</v>
      </c>
      <c r="K4518" s="3" t="s">
        <v>8061</v>
      </c>
      <c r="L4518" s="3" t="s">
        <v>198</v>
      </c>
    </row>
    <row r="4519">
      <c r="A4519" s="3">
        <v>2.0</v>
      </c>
      <c r="B4519" s="3" t="s">
        <v>8058</v>
      </c>
      <c r="C4519" s="3" t="s">
        <v>8059</v>
      </c>
      <c r="D4519" s="3" t="s">
        <v>273</v>
      </c>
      <c r="E4519" s="3" t="s">
        <v>272</v>
      </c>
      <c r="F4519" s="3" t="s">
        <v>273</v>
      </c>
    </row>
    <row r="4520">
      <c r="A4520" s="3">
        <v>3.0</v>
      </c>
      <c r="B4520" s="3" t="s">
        <v>8058</v>
      </c>
      <c r="C4520" s="3" t="s">
        <v>8059</v>
      </c>
      <c r="D4520" s="3" t="s">
        <v>480</v>
      </c>
      <c r="E4520" s="3" t="s">
        <v>479</v>
      </c>
      <c r="F4520" s="3" t="s">
        <v>480</v>
      </c>
    </row>
    <row r="4521">
      <c r="A4521" s="3">
        <v>4.0</v>
      </c>
      <c r="B4521" s="3" t="s">
        <v>8058</v>
      </c>
      <c r="C4521" s="3" t="s">
        <v>8059</v>
      </c>
      <c r="D4521" s="3" t="s">
        <v>414</v>
      </c>
      <c r="E4521" s="3" t="s">
        <v>413</v>
      </c>
      <c r="F4521" s="3" t="s">
        <v>414</v>
      </c>
    </row>
    <row r="4522">
      <c r="A4522" s="3">
        <v>5.0</v>
      </c>
      <c r="B4522" s="3" t="s">
        <v>8058</v>
      </c>
      <c r="C4522" s="3" t="s">
        <v>8059</v>
      </c>
      <c r="D4522" s="3" t="s">
        <v>8062</v>
      </c>
      <c r="E4522" s="3" t="s">
        <v>8063</v>
      </c>
      <c r="F4522" s="3" t="s">
        <v>8062</v>
      </c>
    </row>
    <row r="4523">
      <c r="A4523" s="3">
        <v>6.0</v>
      </c>
      <c r="B4523" s="3" t="s">
        <v>8058</v>
      </c>
      <c r="C4523" s="3" t="s">
        <v>8059</v>
      </c>
      <c r="D4523" s="3" t="s">
        <v>8064</v>
      </c>
      <c r="E4523" s="3" t="s">
        <v>8065</v>
      </c>
      <c r="F4523" s="3" t="s">
        <v>8064</v>
      </c>
    </row>
    <row r="4524">
      <c r="A4524" s="3">
        <v>7.0</v>
      </c>
      <c r="B4524" s="3" t="s">
        <v>8058</v>
      </c>
      <c r="C4524" s="3" t="s">
        <v>8059</v>
      </c>
      <c r="D4524" s="3" t="s">
        <v>377</v>
      </c>
      <c r="E4524" s="3" t="s">
        <v>376</v>
      </c>
      <c r="F4524" s="3" t="s">
        <v>377</v>
      </c>
    </row>
    <row r="4525">
      <c r="A4525" s="3">
        <v>8.0</v>
      </c>
      <c r="B4525" s="3" t="s">
        <v>8058</v>
      </c>
      <c r="C4525" s="3" t="s">
        <v>8059</v>
      </c>
      <c r="D4525" s="3" t="s">
        <v>8066</v>
      </c>
      <c r="E4525" s="3" t="s">
        <v>8067</v>
      </c>
      <c r="F4525" s="3" t="s">
        <v>8066</v>
      </c>
    </row>
    <row r="4526">
      <c r="A4526" s="3">
        <v>9.0</v>
      </c>
      <c r="B4526" s="3" t="s">
        <v>8058</v>
      </c>
      <c r="C4526" s="3" t="s">
        <v>8059</v>
      </c>
      <c r="D4526" s="3" t="s">
        <v>8068</v>
      </c>
      <c r="E4526" s="3" t="s">
        <v>8069</v>
      </c>
      <c r="F4526" s="3" t="s">
        <v>8068</v>
      </c>
    </row>
    <row r="4527">
      <c r="A4527" s="3">
        <v>10.0</v>
      </c>
      <c r="B4527" s="3" t="s">
        <v>8058</v>
      </c>
      <c r="C4527" s="3" t="s">
        <v>8059</v>
      </c>
      <c r="D4527" s="3" t="s">
        <v>8070</v>
      </c>
      <c r="E4527" s="3" t="s">
        <v>8071</v>
      </c>
      <c r="F4527" s="3" t="s">
        <v>8070</v>
      </c>
    </row>
    <row r="4528">
      <c r="A4528" s="3">
        <v>11.0</v>
      </c>
      <c r="B4528" s="3" t="s">
        <v>8058</v>
      </c>
      <c r="C4528" s="3" t="s">
        <v>8059</v>
      </c>
      <c r="D4528" s="3" t="s">
        <v>8072</v>
      </c>
      <c r="E4528" s="3" t="s">
        <v>8073</v>
      </c>
      <c r="F4528" s="3" t="s">
        <v>8072</v>
      </c>
    </row>
    <row r="4529">
      <c r="A4529" s="3">
        <v>12.0</v>
      </c>
      <c r="B4529" s="3" t="s">
        <v>8058</v>
      </c>
      <c r="C4529" s="3" t="s">
        <v>8059</v>
      </c>
      <c r="D4529" s="3" t="s">
        <v>8074</v>
      </c>
      <c r="E4529" s="3" t="s">
        <v>8075</v>
      </c>
      <c r="F4529" s="3" t="s">
        <v>8074</v>
      </c>
    </row>
    <row r="4530">
      <c r="A4530" s="3">
        <v>13.0</v>
      </c>
      <c r="B4530" s="3" t="s">
        <v>8058</v>
      </c>
      <c r="C4530" s="3" t="s">
        <v>8059</v>
      </c>
      <c r="D4530" s="3" t="s">
        <v>8076</v>
      </c>
      <c r="E4530" s="3" t="s">
        <v>8077</v>
      </c>
      <c r="F4530" s="3" t="s">
        <v>8076</v>
      </c>
    </row>
    <row r="4531">
      <c r="A4531" s="3">
        <v>14.0</v>
      </c>
      <c r="B4531" s="3" t="s">
        <v>8058</v>
      </c>
      <c r="C4531" s="3" t="s">
        <v>8059</v>
      </c>
      <c r="D4531" s="3" t="s">
        <v>2343</v>
      </c>
      <c r="E4531" s="3" t="s">
        <v>2342</v>
      </c>
      <c r="F4531" s="3" t="s">
        <v>2343</v>
      </c>
    </row>
    <row r="4532">
      <c r="A4532" s="3">
        <v>15.0</v>
      </c>
      <c r="B4532" s="3" t="s">
        <v>8058</v>
      </c>
      <c r="C4532" s="3" t="s">
        <v>8059</v>
      </c>
      <c r="D4532" s="3" t="s">
        <v>7129</v>
      </c>
      <c r="E4532" s="3" t="s">
        <v>7128</v>
      </c>
      <c r="F4532" s="3" t="s">
        <v>7129</v>
      </c>
    </row>
    <row r="4533">
      <c r="A4533" s="3">
        <v>16.0</v>
      </c>
      <c r="B4533" s="3" t="s">
        <v>8058</v>
      </c>
      <c r="C4533" s="3" t="s">
        <v>8059</v>
      </c>
      <c r="D4533" s="3" t="s">
        <v>8078</v>
      </c>
      <c r="E4533" s="3" t="s">
        <v>2491</v>
      </c>
      <c r="F4533" s="3" t="s">
        <v>2492</v>
      </c>
    </row>
    <row r="4534">
      <c r="A4534" s="3">
        <v>17.0</v>
      </c>
      <c r="B4534" s="3" t="s">
        <v>8058</v>
      </c>
      <c r="C4534" s="3" t="s">
        <v>8059</v>
      </c>
      <c r="D4534" s="3" t="s">
        <v>1063</v>
      </c>
      <c r="E4534" s="3" t="s">
        <v>1062</v>
      </c>
      <c r="F4534" s="3" t="s">
        <v>1063</v>
      </c>
    </row>
    <row r="4535">
      <c r="A4535" s="3">
        <v>18.0</v>
      </c>
      <c r="B4535" s="3" t="s">
        <v>8058</v>
      </c>
      <c r="C4535" s="3" t="s">
        <v>8059</v>
      </c>
      <c r="D4535" s="3" t="s">
        <v>1079</v>
      </c>
      <c r="E4535" s="3" t="s">
        <v>1078</v>
      </c>
      <c r="F4535" s="3" t="s">
        <v>1079</v>
      </c>
    </row>
    <row r="4536">
      <c r="A4536" s="3">
        <v>19.0</v>
      </c>
      <c r="B4536" s="3" t="s">
        <v>8058</v>
      </c>
      <c r="C4536" s="3" t="s">
        <v>8059</v>
      </c>
      <c r="D4536" s="3" t="s">
        <v>8079</v>
      </c>
      <c r="E4536" s="3" t="s">
        <v>8080</v>
      </c>
      <c r="F4536" s="3" t="s">
        <v>8079</v>
      </c>
    </row>
    <row r="4537">
      <c r="A4537" s="3">
        <v>20.0</v>
      </c>
      <c r="B4537" s="3" t="s">
        <v>8058</v>
      </c>
      <c r="C4537" s="3" t="s">
        <v>8059</v>
      </c>
      <c r="D4537" s="3" t="s">
        <v>8081</v>
      </c>
      <c r="E4537" s="3" t="s">
        <v>8082</v>
      </c>
      <c r="F4537" s="3" t="s">
        <v>8081</v>
      </c>
    </row>
    <row r="4538">
      <c r="A4538" s="3">
        <v>21.0</v>
      </c>
      <c r="B4538" s="3" t="s">
        <v>8058</v>
      </c>
      <c r="C4538" s="3" t="s">
        <v>8059</v>
      </c>
      <c r="D4538" s="3" t="s">
        <v>8083</v>
      </c>
      <c r="E4538" s="3" t="s">
        <v>8084</v>
      </c>
      <c r="F4538" s="3" t="s">
        <v>8083</v>
      </c>
    </row>
    <row r="4539">
      <c r="A4539" s="3">
        <v>22.0</v>
      </c>
      <c r="B4539" s="3" t="s">
        <v>8058</v>
      </c>
      <c r="C4539" s="3" t="s">
        <v>8059</v>
      </c>
      <c r="D4539" s="3" t="s">
        <v>8085</v>
      </c>
      <c r="E4539" s="3" t="s">
        <v>8086</v>
      </c>
      <c r="F4539" s="3" t="s">
        <v>8085</v>
      </c>
    </row>
    <row r="4540">
      <c r="A4540" s="3">
        <v>23.0</v>
      </c>
      <c r="B4540" s="3" t="s">
        <v>8058</v>
      </c>
      <c r="C4540" s="3" t="s">
        <v>8059</v>
      </c>
      <c r="D4540" s="3" t="s">
        <v>8087</v>
      </c>
      <c r="E4540" s="3" t="s">
        <v>8088</v>
      </c>
      <c r="F4540" s="3" t="s">
        <v>8087</v>
      </c>
    </row>
    <row r="4541">
      <c r="A4541" s="3">
        <v>24.0</v>
      </c>
      <c r="B4541" s="3" t="s">
        <v>8058</v>
      </c>
      <c r="C4541" s="3" t="s">
        <v>8059</v>
      </c>
      <c r="D4541" s="3" t="s">
        <v>2001</v>
      </c>
      <c r="E4541" s="3" t="s">
        <v>2000</v>
      </c>
      <c r="F4541" s="3" t="s">
        <v>2001</v>
      </c>
    </row>
    <row r="4542">
      <c r="A4542" s="3">
        <v>25.0</v>
      </c>
      <c r="B4542" s="3" t="s">
        <v>8058</v>
      </c>
      <c r="C4542" s="3" t="s">
        <v>8059</v>
      </c>
      <c r="D4542" s="3" t="s">
        <v>2200</v>
      </c>
      <c r="E4542" s="3" t="s">
        <v>7094</v>
      </c>
      <c r="F4542" s="3" t="s">
        <v>2200</v>
      </c>
    </row>
    <row r="4543">
      <c r="A4543" s="3">
        <v>26.0</v>
      </c>
      <c r="B4543" s="3" t="s">
        <v>8058</v>
      </c>
      <c r="C4543" s="3" t="s">
        <v>8059</v>
      </c>
      <c r="D4543" s="3" t="s">
        <v>8089</v>
      </c>
      <c r="E4543" s="3" t="s">
        <v>8090</v>
      </c>
      <c r="F4543" s="3" t="s">
        <v>8089</v>
      </c>
    </row>
    <row r="4544">
      <c r="A4544" s="3">
        <v>27.0</v>
      </c>
      <c r="B4544" s="3" t="s">
        <v>8058</v>
      </c>
      <c r="C4544" s="3" t="s">
        <v>8059</v>
      </c>
      <c r="D4544" s="3" t="s">
        <v>2764</v>
      </c>
      <c r="E4544" s="3" t="s">
        <v>2763</v>
      </c>
      <c r="F4544" s="3" t="s">
        <v>2764</v>
      </c>
    </row>
    <row r="4545">
      <c r="A4545" s="3">
        <v>28.0</v>
      </c>
      <c r="B4545" s="3" t="s">
        <v>8058</v>
      </c>
      <c r="C4545" s="3" t="s">
        <v>8059</v>
      </c>
      <c r="D4545" s="3" t="s">
        <v>2691</v>
      </c>
      <c r="E4545" s="3" t="s">
        <v>2690</v>
      </c>
      <c r="F4545" s="3" t="s">
        <v>2691</v>
      </c>
    </row>
    <row r="4546">
      <c r="A4546" s="3">
        <v>29.0</v>
      </c>
      <c r="B4546" s="3" t="s">
        <v>8058</v>
      </c>
      <c r="C4546" s="3" t="s">
        <v>8059</v>
      </c>
      <c r="D4546" s="3" t="s">
        <v>2658</v>
      </c>
      <c r="E4546" s="3" t="s">
        <v>2657</v>
      </c>
      <c r="F4546" s="3" t="s">
        <v>2658</v>
      </c>
      <c r="H4546" s="3" t="s">
        <v>8091</v>
      </c>
      <c r="I4546" s="3" t="s">
        <v>8092</v>
      </c>
    </row>
    <row r="4547">
      <c r="A4547" s="3">
        <v>30.0</v>
      </c>
      <c r="B4547" s="3" t="s">
        <v>8058</v>
      </c>
      <c r="C4547" s="3" t="s">
        <v>8059</v>
      </c>
      <c r="D4547" s="3" t="s">
        <v>8093</v>
      </c>
      <c r="E4547" s="3" t="s">
        <v>8094</v>
      </c>
      <c r="F4547" s="3" t="s">
        <v>8093</v>
      </c>
    </row>
    <row r="4548">
      <c r="A4548" s="3">
        <v>31.0</v>
      </c>
      <c r="B4548" s="3" t="s">
        <v>8058</v>
      </c>
      <c r="C4548" s="3" t="s">
        <v>8059</v>
      </c>
      <c r="D4548" s="3" t="s">
        <v>8095</v>
      </c>
      <c r="E4548" s="3" t="s">
        <v>8096</v>
      </c>
      <c r="F4548" s="3" t="s">
        <v>8095</v>
      </c>
    </row>
    <row r="4549">
      <c r="A4549" s="3">
        <v>32.0</v>
      </c>
      <c r="B4549" s="3" t="s">
        <v>8058</v>
      </c>
      <c r="C4549" s="3" t="s">
        <v>8059</v>
      </c>
      <c r="D4549" s="3" t="s">
        <v>2826</v>
      </c>
      <c r="E4549" s="3" t="s">
        <v>7202</v>
      </c>
      <c r="F4549" s="3" t="s">
        <v>2826</v>
      </c>
    </row>
    <row r="4550">
      <c r="A4550" s="3">
        <v>33.0</v>
      </c>
      <c r="B4550" s="3" t="s">
        <v>8058</v>
      </c>
      <c r="C4550" s="3" t="s">
        <v>8059</v>
      </c>
      <c r="D4550" s="3" t="s">
        <v>8097</v>
      </c>
      <c r="E4550" s="3" t="s">
        <v>7235</v>
      </c>
      <c r="F4550" s="3" t="s">
        <v>2971</v>
      </c>
    </row>
    <row r="4551">
      <c r="A4551" s="3">
        <v>34.0</v>
      </c>
      <c r="B4551" s="3" t="s">
        <v>8058</v>
      </c>
      <c r="C4551" s="3" t="s">
        <v>8059</v>
      </c>
      <c r="D4551" s="3" t="s">
        <v>135</v>
      </c>
      <c r="E4551" s="3" t="s">
        <v>7241</v>
      </c>
      <c r="F4551" s="3" t="s">
        <v>135</v>
      </c>
    </row>
    <row r="4552">
      <c r="A4552" s="3">
        <v>35.0</v>
      </c>
      <c r="B4552" s="3" t="s">
        <v>8058</v>
      </c>
      <c r="C4552" s="3" t="s">
        <v>8059</v>
      </c>
      <c r="D4552" s="3" t="s">
        <v>3282</v>
      </c>
      <c r="E4552" s="3" t="s">
        <v>3281</v>
      </c>
      <c r="F4552" s="3" t="s">
        <v>3282</v>
      </c>
    </row>
    <row r="4553">
      <c r="A4553" s="3">
        <v>36.0</v>
      </c>
      <c r="B4553" s="3" t="s">
        <v>8058</v>
      </c>
      <c r="C4553" s="3" t="s">
        <v>8059</v>
      </c>
      <c r="D4553" s="3" t="s">
        <v>8098</v>
      </c>
      <c r="E4553" s="3" t="s">
        <v>8099</v>
      </c>
      <c r="F4553" s="3" t="s">
        <v>8098</v>
      </c>
    </row>
    <row r="4554">
      <c r="A4554" s="3">
        <v>37.0</v>
      </c>
      <c r="B4554" s="3" t="s">
        <v>8058</v>
      </c>
      <c r="C4554" s="3" t="s">
        <v>8059</v>
      </c>
      <c r="D4554" s="3" t="s">
        <v>3519</v>
      </c>
      <c r="E4554" s="3" t="s">
        <v>3518</v>
      </c>
      <c r="F4554" s="3" t="s">
        <v>3519</v>
      </c>
    </row>
    <row r="4555">
      <c r="A4555" s="3">
        <v>38.0</v>
      </c>
      <c r="B4555" s="3" t="s">
        <v>8058</v>
      </c>
      <c r="C4555" s="3" t="s">
        <v>8059</v>
      </c>
      <c r="D4555" s="3" t="s">
        <v>149</v>
      </c>
      <c r="E4555" s="3" t="s">
        <v>150</v>
      </c>
      <c r="F4555" s="3" t="s">
        <v>149</v>
      </c>
    </row>
    <row r="4556">
      <c r="A4556" s="3">
        <v>39.0</v>
      </c>
      <c r="B4556" s="3" t="s">
        <v>8058</v>
      </c>
      <c r="C4556" s="3" t="s">
        <v>8059</v>
      </c>
      <c r="D4556" s="3" t="s">
        <v>8100</v>
      </c>
      <c r="E4556" s="3" t="s">
        <v>8101</v>
      </c>
      <c r="F4556" s="3" t="s">
        <v>8100</v>
      </c>
    </row>
    <row r="4557">
      <c r="A4557" s="3">
        <v>40.0</v>
      </c>
      <c r="B4557" s="3" t="s">
        <v>8058</v>
      </c>
      <c r="C4557" s="3" t="s">
        <v>8059</v>
      </c>
      <c r="D4557" s="3" t="s">
        <v>7454</v>
      </c>
      <c r="E4557" s="3" t="s">
        <v>7455</v>
      </c>
      <c r="F4557" s="3" t="s">
        <v>7454</v>
      </c>
      <c r="H4557" s="3" t="s">
        <v>7456</v>
      </c>
      <c r="I4557" s="3" t="s">
        <v>7457</v>
      </c>
      <c r="J4557" s="3" t="s">
        <v>7458</v>
      </c>
    </row>
    <row r="4558">
      <c r="A4558" s="3">
        <v>41.0</v>
      </c>
      <c r="B4558" s="3" t="s">
        <v>8058</v>
      </c>
      <c r="C4558" s="3" t="s">
        <v>8059</v>
      </c>
      <c r="D4558" s="3" t="s">
        <v>8102</v>
      </c>
      <c r="E4558" s="3" t="s">
        <v>8103</v>
      </c>
      <c r="F4558" s="3" t="s">
        <v>8102</v>
      </c>
    </row>
    <row r="4559">
      <c r="A4559" s="3">
        <v>42.0</v>
      </c>
      <c r="B4559" s="3" t="s">
        <v>8058</v>
      </c>
      <c r="C4559" s="3" t="s">
        <v>8059</v>
      </c>
      <c r="D4559" s="3" t="s">
        <v>8104</v>
      </c>
      <c r="E4559" s="3" t="s">
        <v>8105</v>
      </c>
      <c r="F4559" s="3" t="s">
        <v>8106</v>
      </c>
    </row>
    <row r="4560">
      <c r="A4560" s="3">
        <v>43.0</v>
      </c>
      <c r="B4560" s="3" t="s">
        <v>8058</v>
      </c>
      <c r="C4560" s="3" t="s">
        <v>8059</v>
      </c>
      <c r="D4560" s="3" t="s">
        <v>8107</v>
      </c>
      <c r="E4560" s="3" t="s">
        <v>8108</v>
      </c>
      <c r="F4560" s="3" t="s">
        <v>8109</v>
      </c>
    </row>
    <row r="4561">
      <c r="A4561" s="3">
        <v>44.0</v>
      </c>
      <c r="B4561" s="3" t="s">
        <v>8058</v>
      </c>
      <c r="C4561" s="3" t="s">
        <v>8059</v>
      </c>
      <c r="D4561" s="3" t="s">
        <v>8110</v>
      </c>
      <c r="E4561" s="3" t="s">
        <v>8111</v>
      </c>
      <c r="F4561" s="3" t="s">
        <v>8110</v>
      </c>
    </row>
    <row r="4562">
      <c r="A4562" s="3">
        <v>45.0</v>
      </c>
      <c r="B4562" s="3" t="s">
        <v>8058</v>
      </c>
      <c r="C4562" s="3" t="s">
        <v>8059</v>
      </c>
      <c r="D4562" s="3" t="s">
        <v>8112</v>
      </c>
      <c r="E4562" s="3" t="s">
        <v>8113</v>
      </c>
      <c r="F4562" s="3" t="s">
        <v>8112</v>
      </c>
    </row>
    <row r="4563">
      <c r="A4563" s="3">
        <v>46.0</v>
      </c>
      <c r="B4563" s="3" t="s">
        <v>8058</v>
      </c>
      <c r="C4563" s="3" t="s">
        <v>8059</v>
      </c>
      <c r="D4563" s="3" t="s">
        <v>8114</v>
      </c>
      <c r="E4563" s="3" t="s">
        <v>8115</v>
      </c>
      <c r="F4563" s="3" t="s">
        <v>8114</v>
      </c>
    </row>
    <row r="4564">
      <c r="A4564" s="3">
        <v>47.0</v>
      </c>
      <c r="B4564" s="3" t="s">
        <v>8058</v>
      </c>
      <c r="C4564" s="3" t="s">
        <v>8059</v>
      </c>
      <c r="D4564" s="3" t="s">
        <v>8116</v>
      </c>
      <c r="E4564" s="3" t="s">
        <v>8117</v>
      </c>
      <c r="F4564" s="3" t="s">
        <v>8116</v>
      </c>
    </row>
    <row r="4565">
      <c r="A4565" s="3">
        <v>48.0</v>
      </c>
      <c r="B4565" s="3" t="s">
        <v>8058</v>
      </c>
      <c r="C4565" s="3" t="s">
        <v>8059</v>
      </c>
      <c r="D4565" s="3" t="s">
        <v>7622</v>
      </c>
      <c r="E4565" s="3" t="s">
        <v>7621</v>
      </c>
      <c r="F4565" s="3" t="s">
        <v>7622</v>
      </c>
    </row>
    <row r="4566">
      <c r="A4566" s="3">
        <v>49.0</v>
      </c>
      <c r="B4566" s="3" t="s">
        <v>8058</v>
      </c>
      <c r="C4566" s="3" t="s">
        <v>8059</v>
      </c>
      <c r="D4566" s="3" t="s">
        <v>8118</v>
      </c>
      <c r="E4566" s="3" t="s">
        <v>8119</v>
      </c>
      <c r="F4566" s="3" t="s">
        <v>8118</v>
      </c>
    </row>
    <row r="4567">
      <c r="A4567" s="3">
        <v>50.0</v>
      </c>
      <c r="B4567" s="3" t="s">
        <v>8058</v>
      </c>
      <c r="C4567" s="3" t="s">
        <v>8059</v>
      </c>
      <c r="D4567" s="3" t="s">
        <v>174</v>
      </c>
      <c r="E4567" s="3" t="s">
        <v>175</v>
      </c>
      <c r="F4567" s="3" t="s">
        <v>174</v>
      </c>
    </row>
    <row r="4568">
      <c r="A4568" s="3">
        <v>51.0</v>
      </c>
      <c r="B4568" s="3" t="s">
        <v>8058</v>
      </c>
      <c r="C4568" s="3" t="s">
        <v>8059</v>
      </c>
      <c r="D4568" s="3" t="s">
        <v>8120</v>
      </c>
      <c r="E4568" s="3" t="s">
        <v>8121</v>
      </c>
      <c r="F4568" s="3" t="s">
        <v>8122</v>
      </c>
    </row>
    <row r="4569">
      <c r="A4569" s="3">
        <v>52.0</v>
      </c>
      <c r="B4569" s="3" t="s">
        <v>8058</v>
      </c>
      <c r="C4569" s="3" t="s">
        <v>8059</v>
      </c>
      <c r="D4569" s="3" t="s">
        <v>1419</v>
      </c>
      <c r="E4569" s="3" t="s">
        <v>1418</v>
      </c>
      <c r="F4569" s="3" t="s">
        <v>1419</v>
      </c>
    </row>
    <row r="4570">
      <c r="A4570" s="3">
        <v>53.0</v>
      </c>
      <c r="B4570" s="3" t="s">
        <v>8058</v>
      </c>
      <c r="C4570" s="3" t="s">
        <v>8059</v>
      </c>
      <c r="D4570" s="3" t="s">
        <v>8123</v>
      </c>
      <c r="E4570" s="3" t="s">
        <v>8124</v>
      </c>
      <c r="F4570" s="3" t="s">
        <v>8123</v>
      </c>
    </row>
    <row r="4571">
      <c r="A4571" s="3">
        <v>54.0</v>
      </c>
      <c r="B4571" s="3" t="s">
        <v>8058</v>
      </c>
      <c r="C4571" s="3" t="s">
        <v>8059</v>
      </c>
      <c r="D4571" s="3" t="s">
        <v>8125</v>
      </c>
      <c r="E4571" s="3" t="s">
        <v>8126</v>
      </c>
      <c r="F4571" s="3" t="s">
        <v>8125</v>
      </c>
    </row>
    <row r="4572">
      <c r="A4572" s="3">
        <v>55.0</v>
      </c>
      <c r="B4572" s="3" t="s">
        <v>8058</v>
      </c>
      <c r="C4572" s="3" t="s">
        <v>8059</v>
      </c>
      <c r="D4572" s="3" t="s">
        <v>1580</v>
      </c>
      <c r="E4572" s="3" t="s">
        <v>1579</v>
      </c>
      <c r="F4572" s="3" t="s">
        <v>1580</v>
      </c>
    </row>
    <row r="4573">
      <c r="A4573" s="3">
        <v>56.0</v>
      </c>
      <c r="B4573" s="3" t="s">
        <v>8058</v>
      </c>
      <c r="C4573" s="3" t="s">
        <v>8059</v>
      </c>
      <c r="D4573" s="3" t="s">
        <v>1910</v>
      </c>
      <c r="E4573" s="3" t="s">
        <v>1909</v>
      </c>
      <c r="F4573" s="3" t="s">
        <v>1910</v>
      </c>
    </row>
    <row r="4574">
      <c r="A4574" s="3">
        <v>57.0</v>
      </c>
      <c r="B4574" s="3" t="s">
        <v>8058</v>
      </c>
      <c r="C4574" s="3" t="s">
        <v>8059</v>
      </c>
      <c r="D4574" s="3" t="s">
        <v>2228</v>
      </c>
      <c r="E4574" s="3" t="s">
        <v>2227</v>
      </c>
      <c r="F4574" s="3" t="s">
        <v>2228</v>
      </c>
    </row>
    <row r="4575">
      <c r="A4575" s="3">
        <v>58.0</v>
      </c>
      <c r="B4575" s="3" t="s">
        <v>8058</v>
      </c>
      <c r="C4575" s="3" t="s">
        <v>8059</v>
      </c>
      <c r="D4575" s="3" t="s">
        <v>8127</v>
      </c>
      <c r="E4575" s="3" t="s">
        <v>8128</v>
      </c>
      <c r="F4575" s="3" t="s">
        <v>8127</v>
      </c>
    </row>
    <row r="4576">
      <c r="A4576" s="3">
        <v>59.0</v>
      </c>
      <c r="B4576" s="3" t="s">
        <v>8058</v>
      </c>
      <c r="C4576" s="3" t="s">
        <v>8059</v>
      </c>
      <c r="D4576" s="3" t="s">
        <v>8129</v>
      </c>
      <c r="E4576" s="3" t="s">
        <v>8130</v>
      </c>
      <c r="F4576" s="3" t="s">
        <v>8129</v>
      </c>
    </row>
    <row r="4577">
      <c r="A4577" s="3">
        <v>60.0</v>
      </c>
      <c r="B4577" s="3" t="s">
        <v>8058</v>
      </c>
      <c r="C4577" s="3" t="s">
        <v>8059</v>
      </c>
      <c r="D4577" s="3" t="s">
        <v>8131</v>
      </c>
      <c r="E4577" s="3" t="s">
        <v>8132</v>
      </c>
      <c r="F4577" s="3" t="s">
        <v>8133</v>
      </c>
    </row>
    <row r="4578">
      <c r="A4578" s="3">
        <v>61.0</v>
      </c>
      <c r="B4578" s="3" t="s">
        <v>8058</v>
      </c>
      <c r="C4578" s="3" t="s">
        <v>8059</v>
      </c>
      <c r="D4578" s="3" t="s">
        <v>6357</v>
      </c>
      <c r="E4578" s="3" t="s">
        <v>6356</v>
      </c>
      <c r="F4578" s="3" t="s">
        <v>6357</v>
      </c>
    </row>
    <row r="4579">
      <c r="A4579" s="3">
        <v>62.0</v>
      </c>
      <c r="B4579" s="3" t="s">
        <v>8058</v>
      </c>
      <c r="C4579" s="3" t="s">
        <v>8059</v>
      </c>
      <c r="D4579" s="3" t="s">
        <v>6376</v>
      </c>
      <c r="E4579" s="3" t="s">
        <v>6375</v>
      </c>
      <c r="F4579" s="3" t="s">
        <v>6376</v>
      </c>
    </row>
    <row r="4580">
      <c r="A4580" s="3">
        <v>63.0</v>
      </c>
      <c r="B4580" s="3" t="s">
        <v>8058</v>
      </c>
      <c r="C4580" s="3" t="s">
        <v>8059</v>
      </c>
      <c r="D4580" s="3" t="s">
        <v>8134</v>
      </c>
      <c r="E4580" s="3" t="s">
        <v>8135</v>
      </c>
      <c r="F4580" s="3" t="s">
        <v>8134</v>
      </c>
    </row>
    <row r="4581">
      <c r="A4581" s="3">
        <v>64.0</v>
      </c>
      <c r="B4581" s="3" t="s">
        <v>8058</v>
      </c>
      <c r="C4581" s="3" t="s">
        <v>8059</v>
      </c>
      <c r="D4581" s="3" t="s">
        <v>6297</v>
      </c>
      <c r="E4581" s="3" t="s">
        <v>6296</v>
      </c>
      <c r="F4581" s="3" t="s">
        <v>6297</v>
      </c>
    </row>
    <row r="4582">
      <c r="A4582" s="3">
        <v>65.0</v>
      </c>
      <c r="B4582" s="3" t="s">
        <v>8058</v>
      </c>
      <c r="C4582" s="3" t="s">
        <v>8059</v>
      </c>
      <c r="D4582" s="3" t="s">
        <v>7916</v>
      </c>
      <c r="E4582" s="3" t="s">
        <v>7915</v>
      </c>
      <c r="F4582" s="3" t="s">
        <v>7916</v>
      </c>
    </row>
    <row r="4583">
      <c r="A4583" s="3">
        <v>66.0</v>
      </c>
      <c r="B4583" s="3" t="s">
        <v>8058</v>
      </c>
      <c r="C4583" s="3" t="s">
        <v>8059</v>
      </c>
      <c r="D4583" s="3" t="s">
        <v>6705</v>
      </c>
      <c r="E4583" s="3" t="s">
        <v>6704</v>
      </c>
      <c r="F4583" s="3" t="s">
        <v>6705</v>
      </c>
    </row>
    <row r="4584">
      <c r="A4584" s="3">
        <v>67.0</v>
      </c>
      <c r="B4584" s="3" t="s">
        <v>8058</v>
      </c>
      <c r="C4584" s="3" t="s">
        <v>8059</v>
      </c>
      <c r="D4584" s="3" t="s">
        <v>8136</v>
      </c>
      <c r="E4584" s="3" t="s">
        <v>8137</v>
      </c>
      <c r="F4584" s="3" t="s">
        <v>8136</v>
      </c>
    </row>
    <row r="4585">
      <c r="A4585" s="3">
        <v>68.0</v>
      </c>
      <c r="B4585" s="3" t="s">
        <v>8058</v>
      </c>
      <c r="C4585" s="3" t="s">
        <v>8059</v>
      </c>
      <c r="D4585" s="3" t="s">
        <v>8138</v>
      </c>
      <c r="E4585" s="3" t="s">
        <v>8139</v>
      </c>
      <c r="F4585" s="3" t="s">
        <v>8138</v>
      </c>
    </row>
    <row r="4586">
      <c r="A4586" s="3">
        <v>69.0</v>
      </c>
      <c r="B4586" s="3" t="s">
        <v>8058</v>
      </c>
      <c r="C4586" s="3" t="s">
        <v>8059</v>
      </c>
      <c r="D4586" s="3" t="s">
        <v>8140</v>
      </c>
      <c r="E4586" s="3" t="s">
        <v>8141</v>
      </c>
      <c r="F4586" s="3" t="s">
        <v>8140</v>
      </c>
    </row>
    <row r="4587">
      <c r="A4587" s="3">
        <v>70.0</v>
      </c>
      <c r="B4587" s="3" t="s">
        <v>8058</v>
      </c>
      <c r="C4587" s="3" t="s">
        <v>8059</v>
      </c>
      <c r="D4587" s="3" t="s">
        <v>126</v>
      </c>
      <c r="E4587" s="3" t="s">
        <v>8142</v>
      </c>
      <c r="F4587" s="3" t="s">
        <v>126</v>
      </c>
    </row>
    <row r="4588">
      <c r="A4588" s="3">
        <v>71.0</v>
      </c>
      <c r="B4588" s="3" t="s">
        <v>8058</v>
      </c>
      <c r="C4588" s="3" t="s">
        <v>8059</v>
      </c>
      <c r="D4588" s="3" t="s">
        <v>2374</v>
      </c>
      <c r="E4588" s="3" t="s">
        <v>8143</v>
      </c>
      <c r="F4588" s="3" t="s">
        <v>2374</v>
      </c>
    </row>
    <row r="4589">
      <c r="A4589" s="3">
        <v>72.0</v>
      </c>
      <c r="B4589" s="3" t="s">
        <v>8058</v>
      </c>
      <c r="C4589" s="3" t="s">
        <v>8059</v>
      </c>
      <c r="D4589" s="3" t="s">
        <v>8144</v>
      </c>
      <c r="E4589" s="3" t="s">
        <v>8145</v>
      </c>
      <c r="F4589" s="3" t="s">
        <v>8144</v>
      </c>
    </row>
    <row r="4590">
      <c r="A4590" s="3">
        <v>73.0</v>
      </c>
      <c r="B4590" s="3" t="s">
        <v>8058</v>
      </c>
      <c r="C4590" s="3" t="s">
        <v>8059</v>
      </c>
      <c r="D4590" s="3" t="s">
        <v>8146</v>
      </c>
      <c r="E4590" s="3" t="s">
        <v>8147</v>
      </c>
      <c r="F4590" s="3" t="s">
        <v>8146</v>
      </c>
    </row>
    <row r="4591">
      <c r="A4591" s="3">
        <v>1.0</v>
      </c>
      <c r="B4591" s="3" t="s">
        <v>8148</v>
      </c>
      <c r="C4591" s="3" t="s">
        <v>8149</v>
      </c>
      <c r="D4591" s="3" t="s">
        <v>8150</v>
      </c>
      <c r="E4591" s="3" t="s">
        <v>8151</v>
      </c>
      <c r="F4591" s="3" t="s">
        <v>8152</v>
      </c>
      <c r="G4591" s="3" t="str">
        <f>IFERROR(__xludf.DUMMYFUNCTION("GOOGLETRANSLATE(D4591,""ja"",""es"")"),"NASA")</f>
        <v>NASA</v>
      </c>
    </row>
    <row r="4592">
      <c r="A4592" s="3">
        <v>2.0</v>
      </c>
      <c r="B4592" s="3" t="s">
        <v>8148</v>
      </c>
      <c r="C4592" s="3" t="s">
        <v>8149</v>
      </c>
      <c r="D4592" s="3" t="s">
        <v>8153</v>
      </c>
      <c r="E4592" s="3" t="s">
        <v>192</v>
      </c>
      <c r="F4592" s="3" t="s">
        <v>191</v>
      </c>
      <c r="G4592" s="3" t="str">
        <f>IFERROR(__xludf.DUMMYFUNCTION("GOOGLETRANSLATE(D4592,""ja"",""es"")"),"a")</f>
        <v>a</v>
      </c>
    </row>
    <row r="4593">
      <c r="A4593" s="3">
        <v>3.0</v>
      </c>
      <c r="B4593" s="3" t="s">
        <v>8148</v>
      </c>
      <c r="C4593" s="3" t="s">
        <v>8149</v>
      </c>
      <c r="D4593" s="3" t="s">
        <v>8154</v>
      </c>
      <c r="E4593" s="3" t="s">
        <v>8155</v>
      </c>
      <c r="F4593" s="3" t="s">
        <v>8156</v>
      </c>
      <c r="G4593" s="3" t="str">
        <f>IFERROR(__xludf.DUMMYFUNCTION("GOOGLETRANSLATE(D4593,""ja"",""es"")"),"Akaga")</f>
        <v>Akaga</v>
      </c>
    </row>
    <row r="4594">
      <c r="A4594" s="3">
        <v>4.0</v>
      </c>
      <c r="B4594" s="3" t="s">
        <v>8148</v>
      </c>
      <c r="C4594" s="3" t="s">
        <v>8149</v>
      </c>
      <c r="D4594" s="3" t="s">
        <v>8157</v>
      </c>
      <c r="E4594" s="3" t="s">
        <v>8063</v>
      </c>
      <c r="F4594" s="3" t="s">
        <v>8062</v>
      </c>
      <c r="G4594" s="3" t="str">
        <f>IFERROR(__xludf.DUMMYFUNCTION("GOOGLETRANSLATE(D4594,""ja"",""es"")"),"agujero")</f>
        <v>agujero</v>
      </c>
    </row>
    <row r="4595">
      <c r="A4595" s="3">
        <v>5.0</v>
      </c>
      <c r="B4595" s="3" t="s">
        <v>8148</v>
      </c>
      <c r="C4595" s="3" t="s">
        <v>8149</v>
      </c>
      <c r="D4595" s="3" t="s">
        <v>8158</v>
      </c>
      <c r="E4595" s="3" t="s">
        <v>8159</v>
      </c>
      <c r="F4595" s="3" t="s">
        <v>8160</v>
      </c>
      <c r="G4595" s="3" t="str">
        <f>IFERROR(__xludf.DUMMYFUNCTION("GOOGLETRANSLATE(D4595,""ja"",""es"")"),"Aya")</f>
        <v>Aya</v>
      </c>
    </row>
    <row r="4596">
      <c r="A4596" s="3">
        <v>6.0</v>
      </c>
      <c r="B4596" s="3" t="s">
        <v>8148</v>
      </c>
      <c r="C4596" s="3" t="s">
        <v>8149</v>
      </c>
      <c r="D4596" s="3" t="s">
        <v>8161</v>
      </c>
      <c r="E4596" s="3" t="s">
        <v>8162</v>
      </c>
      <c r="F4596" s="3" t="s">
        <v>8163</v>
      </c>
      <c r="G4596" s="3" t="str">
        <f>IFERROR(__xludf.DUMMYFUNCTION("GOOGLETRANSLATE(D4596,""ja"",""es"")"),"Ahaha")</f>
        <v>Ahaha</v>
      </c>
    </row>
    <row r="4597">
      <c r="A4597" s="3">
        <v>7.0</v>
      </c>
      <c r="B4597" s="3" t="s">
        <v>8148</v>
      </c>
      <c r="C4597" s="3" t="s">
        <v>8149</v>
      </c>
      <c r="D4597" s="3" t="s">
        <v>8164</v>
      </c>
      <c r="E4597" s="3" t="s">
        <v>8165</v>
      </c>
      <c r="F4597" s="3" t="s">
        <v>8166</v>
      </c>
      <c r="G4597" s="3" t="str">
        <f>IFERROR(__xludf.DUMMYFUNCTION("GOOGLETRANSLATE(D4597,""ja"",""es"")"),"Sabor")</f>
        <v>Sabor</v>
      </c>
      <c r="H4597" s="3" t="s">
        <v>8167</v>
      </c>
      <c r="I4597" s="3" t="s">
        <v>8168</v>
      </c>
      <c r="J4597" s="3" t="s">
        <v>8168</v>
      </c>
      <c r="K4597" s="3" t="s">
        <v>8167</v>
      </c>
      <c r="L4597" s="3" t="s">
        <v>8169</v>
      </c>
    </row>
    <row r="4598">
      <c r="A4598" s="3">
        <v>8.0</v>
      </c>
      <c r="B4598" s="3" t="s">
        <v>8148</v>
      </c>
      <c r="C4598" s="3" t="s">
        <v>8149</v>
      </c>
      <c r="D4598" s="3" t="s">
        <v>8170</v>
      </c>
      <c r="E4598" s="3" t="s">
        <v>376</v>
      </c>
      <c r="F4598" s="3" t="s">
        <v>377</v>
      </c>
      <c r="G4598" s="3" t="str">
        <f>IFERROR(__xludf.DUMMYFUNCTION("GOOGLETRANSLATE(D4598,""ja"",""es"")"),"Aya")</f>
        <v>Aya</v>
      </c>
    </row>
    <row r="4599">
      <c r="A4599" s="3">
        <v>9.0</v>
      </c>
      <c r="B4599" s="3" t="s">
        <v>8148</v>
      </c>
      <c r="C4599" s="3" t="s">
        <v>8149</v>
      </c>
      <c r="D4599" s="3" t="s">
        <v>8171</v>
      </c>
      <c r="E4599" s="3" t="s">
        <v>8172</v>
      </c>
      <c r="F4599" s="3" t="s">
        <v>8173</v>
      </c>
      <c r="G4599" s="3" t="str">
        <f>IFERROR(__xludf.DUMMYFUNCTION("GOOGLETRANSLATE(D4599,""ja"",""es"")"),"Vaya")</f>
        <v>Vaya</v>
      </c>
    </row>
    <row r="4600">
      <c r="A4600" s="3">
        <v>10.0</v>
      </c>
      <c r="B4600" s="3" t="s">
        <v>8148</v>
      </c>
      <c r="C4600" s="3" t="s">
        <v>8149</v>
      </c>
      <c r="D4600" s="3" t="s">
        <v>8174</v>
      </c>
      <c r="E4600" s="3" t="s">
        <v>8175</v>
      </c>
      <c r="F4600" s="3" t="s">
        <v>8176</v>
      </c>
      <c r="G4600" s="3" t="str">
        <f>IFERROR(__xludf.DUMMYFUNCTION("GOOGLETRANSLATE(D4600,""ja"",""es"")"),"Existencia")</f>
        <v>Existencia</v>
      </c>
    </row>
    <row r="4601">
      <c r="A4601" s="3">
        <v>11.0</v>
      </c>
      <c r="B4601" s="3" t="s">
        <v>8148</v>
      </c>
      <c r="C4601" s="3" t="s">
        <v>8149</v>
      </c>
      <c r="D4601" s="3" t="s">
        <v>8177</v>
      </c>
      <c r="E4601" s="3" t="s">
        <v>8178</v>
      </c>
      <c r="F4601" s="3" t="s">
        <v>8179</v>
      </c>
      <c r="G4601" s="3" t="str">
        <f>IFERROR(__xludf.DUMMYFUNCTION("GOOGLETRANSLATE(D4601,""ja"",""es"")"),"Ganar")</f>
        <v>Ganar</v>
      </c>
      <c r="H4601" s="3" t="s">
        <v>8180</v>
      </c>
    </row>
    <row r="4602">
      <c r="A4602" s="3">
        <v>12.0</v>
      </c>
      <c r="B4602" s="3" t="s">
        <v>8148</v>
      </c>
      <c r="C4602" s="3" t="s">
        <v>8149</v>
      </c>
      <c r="D4602" s="3" t="s">
        <v>8181</v>
      </c>
      <c r="E4602" s="3" t="s">
        <v>2267</v>
      </c>
      <c r="F4602" s="3" t="s">
        <v>2268</v>
      </c>
      <c r="G4602" s="3" t="str">
        <f>IFERROR(__xludf.DUMMYFUNCTION("GOOGLETRANSLATE(D4602,""ja"",""es"")"),"estómago")</f>
        <v>estómago</v>
      </c>
    </row>
    <row r="4603">
      <c r="A4603" s="3">
        <v>13.0</v>
      </c>
      <c r="B4603" s="3" t="s">
        <v>8148</v>
      </c>
      <c r="C4603" s="3" t="s">
        <v>8149</v>
      </c>
      <c r="D4603" s="3" t="s">
        <v>8182</v>
      </c>
      <c r="E4603" s="3" t="s">
        <v>8183</v>
      </c>
      <c r="F4603" s="3" t="s">
        <v>8184</v>
      </c>
      <c r="G4603" s="3" t="str">
        <f>IFERROR(__xludf.DUMMYFUNCTION("GOOGLETRANSLATE(D4603,""ja"",""es"")"),"No")</f>
        <v>No</v>
      </c>
    </row>
    <row r="4604">
      <c r="A4604" s="3">
        <v>14.0</v>
      </c>
      <c r="B4604" s="3" t="s">
        <v>8148</v>
      </c>
      <c r="C4604" s="3" t="s">
        <v>8149</v>
      </c>
      <c r="D4604" s="3" t="s">
        <v>8185</v>
      </c>
      <c r="E4604" s="3" t="s">
        <v>5376</v>
      </c>
      <c r="F4604" s="3" t="s">
        <v>5377</v>
      </c>
      <c r="G4604" s="3" t="str">
        <f>IFERROR(__xludf.DUMMYFUNCTION("GOOGLETRANSLATE(D4604,""ja"",""es"")"),"mosquito")</f>
        <v>mosquito</v>
      </c>
    </row>
    <row r="4605">
      <c r="A4605" s="3">
        <v>15.0</v>
      </c>
      <c r="B4605" s="3" t="s">
        <v>8148</v>
      </c>
      <c r="C4605" s="3" t="s">
        <v>8149</v>
      </c>
      <c r="D4605" s="3" t="s">
        <v>8186</v>
      </c>
      <c r="E4605" s="3" t="s">
        <v>8187</v>
      </c>
      <c r="F4605" s="3" t="s">
        <v>8188</v>
      </c>
      <c r="G4605" s="3" t="str">
        <f>IFERROR(__xludf.DUMMYFUNCTION("GOOGLETRANSLATE(D4605,""ja"",""es"")"),"ostra")</f>
        <v>ostra</v>
      </c>
    </row>
    <row r="4606">
      <c r="A4606" s="3">
        <v>16.0</v>
      </c>
      <c r="B4606" s="3" t="s">
        <v>8148</v>
      </c>
      <c r="C4606" s="3" t="s">
        <v>8149</v>
      </c>
      <c r="D4606" s="3" t="s">
        <v>8189</v>
      </c>
      <c r="E4606" s="3" t="s">
        <v>8190</v>
      </c>
      <c r="F4606" s="3" t="s">
        <v>8191</v>
      </c>
      <c r="G4606" s="3" t="str">
        <f>IFERROR(__xludf.DUMMYFUNCTION("GOOGLETRANSLATE(D4606,""ja"",""es"")"),"A granel")</f>
        <v>A granel</v>
      </c>
      <c r="H4606" s="3" t="s">
        <v>8192</v>
      </c>
      <c r="I4606" s="3" t="s">
        <v>8193</v>
      </c>
      <c r="J4606" s="3" t="s">
        <v>8194</v>
      </c>
      <c r="K4606" s="3" t="s">
        <v>8195</v>
      </c>
      <c r="L4606" s="3" t="s">
        <v>8196</v>
      </c>
    </row>
    <row r="4607">
      <c r="A4607" s="3">
        <v>17.0</v>
      </c>
      <c r="B4607" s="3" t="s">
        <v>8148</v>
      </c>
      <c r="C4607" s="3" t="s">
        <v>8149</v>
      </c>
      <c r="D4607" s="3" t="s">
        <v>8197</v>
      </c>
      <c r="E4607" s="3" t="s">
        <v>8198</v>
      </c>
      <c r="F4607" s="3" t="s">
        <v>8199</v>
      </c>
      <c r="G4607" s="3" t="str">
        <f>IFERROR(__xludf.DUMMYFUNCTION("GOOGLETRANSLATE(D4607,""ja"",""es"")"),"Etiqueta")</f>
        <v>Etiqueta</v>
      </c>
    </row>
    <row r="4608">
      <c r="A4608" s="3">
        <v>18.0</v>
      </c>
      <c r="B4608" s="3" t="s">
        <v>8148</v>
      </c>
      <c r="C4608" s="3" t="s">
        <v>8149</v>
      </c>
      <c r="D4608" s="3" t="s">
        <v>8200</v>
      </c>
      <c r="E4608" s="3" t="s">
        <v>8201</v>
      </c>
      <c r="F4608" s="3" t="s">
        <v>8202</v>
      </c>
      <c r="G4608" s="3" t="str">
        <f>IFERROR(__xludf.DUMMYFUNCTION("GOOGLETRANSLATE(D4608,""ja"",""es"")"),"Mano")</f>
        <v>Mano</v>
      </c>
    </row>
    <row r="4609">
      <c r="A4609" s="3">
        <v>19.0</v>
      </c>
      <c r="B4609" s="3" t="s">
        <v>8148</v>
      </c>
      <c r="C4609" s="3" t="s">
        <v>8149</v>
      </c>
      <c r="D4609" s="3" t="s">
        <v>8203</v>
      </c>
      <c r="E4609" s="3" t="s">
        <v>8204</v>
      </c>
      <c r="F4609" s="3" t="s">
        <v>8205</v>
      </c>
      <c r="G4609" s="3" t="str">
        <f>IFERROR(__xludf.DUMMYFUNCTION("GOOGLETRANSLATE(D4609,""ja"",""es"")"),"A la parrilla")</f>
        <v>A la parrilla</v>
      </c>
    </row>
    <row r="4610">
      <c r="A4610" s="3">
        <v>20.0</v>
      </c>
      <c r="B4610" s="3" t="s">
        <v>8148</v>
      </c>
      <c r="C4610" s="3" t="s">
        <v>8149</v>
      </c>
      <c r="D4610" s="3" t="s">
        <v>8206</v>
      </c>
      <c r="E4610" s="3" t="s">
        <v>8204</v>
      </c>
      <c r="F4610" s="3" t="s">
        <v>8205</v>
      </c>
      <c r="G4610" s="3" t="str">
        <f>IFERROR(__xludf.DUMMYFUNCTION("GOOGLETRANSLATE(D4610,""ja"",""es"")"),"Katoyaki")</f>
        <v>Katoyaki</v>
      </c>
    </row>
    <row r="4611">
      <c r="A4611" s="3">
        <v>21.0</v>
      </c>
      <c r="B4611" s="3" t="s">
        <v>8148</v>
      </c>
      <c r="C4611" s="3" t="s">
        <v>8149</v>
      </c>
      <c r="D4611" s="3" t="s">
        <v>8207</v>
      </c>
      <c r="E4611" s="3" t="s">
        <v>1162</v>
      </c>
      <c r="F4611" s="3" t="s">
        <v>1163</v>
      </c>
      <c r="G4611" s="3" t="str">
        <f>IFERROR(__xludf.DUMMYFUNCTION("GOOGLETRANSLATE(D4611,""ja"",""es"")"),"kana")</f>
        <v>kana</v>
      </c>
    </row>
    <row r="4612">
      <c r="A4612" s="3">
        <v>22.0</v>
      </c>
      <c r="B4612" s="3" t="s">
        <v>8148</v>
      </c>
      <c r="C4612" s="3" t="s">
        <v>8149</v>
      </c>
      <c r="D4612" s="3" t="s">
        <v>8208</v>
      </c>
      <c r="E4612" s="3" t="s">
        <v>8209</v>
      </c>
      <c r="F4612" s="3" t="s">
        <v>8210</v>
      </c>
      <c r="G4612" s="3" t="str">
        <f>IFERROR(__xludf.DUMMYFUNCTION("GOOGLETRANSLATE(D4612,""ja"",""es"")"),"Alguna cosa")</f>
        <v>Alguna cosa</v>
      </c>
    </row>
    <row r="4613">
      <c r="A4613" s="3">
        <v>23.0</v>
      </c>
      <c r="B4613" s="3" t="s">
        <v>8148</v>
      </c>
      <c r="C4613" s="3" t="s">
        <v>8149</v>
      </c>
      <c r="D4613" s="3" t="s">
        <v>8211</v>
      </c>
      <c r="E4613" s="3" t="s">
        <v>8212</v>
      </c>
      <c r="F4613" s="3" t="s">
        <v>8213</v>
      </c>
      <c r="G4613" s="3" t="str">
        <f>IFERROR(__xludf.DUMMYFUNCTION("GOOGLETRANSLATE(D4613,""ja"",""es"")"),"Bola de cangrejo")</f>
        <v>Bola de cangrejo</v>
      </c>
    </row>
    <row r="4614">
      <c r="A4614" s="3">
        <v>24.0</v>
      </c>
      <c r="B4614" s="3" t="s">
        <v>8148</v>
      </c>
      <c r="C4614" s="3" t="s">
        <v>8149</v>
      </c>
      <c r="D4614" s="3" t="s">
        <v>8214</v>
      </c>
      <c r="E4614" s="3" t="s">
        <v>8215</v>
      </c>
      <c r="F4614" s="3" t="s">
        <v>8216</v>
      </c>
      <c r="G4614" s="3" t="str">
        <f>IFERROR(__xludf.DUMMYFUNCTION("GOOGLETRANSLATE(D4614,""ja"",""es"")"),"Crujiente")</f>
        <v>Crujiente</v>
      </c>
    </row>
    <row r="4615">
      <c r="A4615" s="3">
        <v>25.0</v>
      </c>
      <c r="B4615" s="3" t="s">
        <v>8148</v>
      </c>
      <c r="C4615" s="3" t="s">
        <v>8149</v>
      </c>
      <c r="D4615" s="3" t="s">
        <v>8217</v>
      </c>
      <c r="E4615" s="3" t="s">
        <v>1022</v>
      </c>
      <c r="F4615" s="3" t="s">
        <v>1023</v>
      </c>
      <c r="G4615" s="3" t="str">
        <f>IFERROR(__xludf.DUMMYFUNCTION("GOOGLETRANSLATE(D4615,""ja"",""es"")"),"Kaya")</f>
        <v>Kaya</v>
      </c>
    </row>
    <row r="4616">
      <c r="A4616" s="3">
        <v>26.0</v>
      </c>
      <c r="B4616" s="3" t="s">
        <v>8148</v>
      </c>
      <c r="C4616" s="3" t="s">
        <v>8149</v>
      </c>
      <c r="D4616" s="3" t="s">
        <v>8218</v>
      </c>
      <c r="E4616" s="3" t="s">
        <v>8219</v>
      </c>
      <c r="F4616" s="3" t="s">
        <v>8220</v>
      </c>
      <c r="G4616" s="3" t="str">
        <f>IFERROR(__xludf.DUMMYFUNCTION("GOOGLETRANSLATE(D4616,""ja"",""es"")"),"Descuidado")</f>
        <v>Descuidado</v>
      </c>
    </row>
    <row r="4617">
      <c r="A4617" s="3">
        <v>27.0</v>
      </c>
      <c r="B4617" s="3" t="s">
        <v>8148</v>
      </c>
      <c r="C4617" s="3" t="s">
        <v>8149</v>
      </c>
      <c r="D4617" s="3" t="s">
        <v>8221</v>
      </c>
      <c r="E4617" s="3" t="s">
        <v>8222</v>
      </c>
      <c r="F4617" s="3" t="s">
        <v>8223</v>
      </c>
      <c r="G4617" s="3" t="str">
        <f>IFERROR(__xludf.DUMMYFUNCTION("GOOGLETRANSLATE(D4617,""ja"",""es"")"),"de")</f>
        <v>de</v>
      </c>
      <c r="H4617" s="3" t="s">
        <v>8224</v>
      </c>
      <c r="I4617" s="3" t="s">
        <v>8225</v>
      </c>
    </row>
    <row r="4618">
      <c r="A4618" s="3">
        <v>28.0</v>
      </c>
      <c r="B4618" s="3" t="s">
        <v>8148</v>
      </c>
      <c r="C4618" s="3" t="s">
        <v>8149</v>
      </c>
      <c r="D4618" s="3" t="s">
        <v>8226</v>
      </c>
      <c r="E4618" s="3" t="s">
        <v>8227</v>
      </c>
      <c r="F4618" s="3" t="s">
        <v>8228</v>
      </c>
      <c r="G4618" s="3" t="str">
        <f>IFERROR(__xludf.DUMMYFUNCTION("GOOGLETRANSLATE(D4618,""ja"",""es"")"),"Enredo")</f>
        <v>Enredo</v>
      </c>
      <c r="H4618" s="3" t="s">
        <v>5783</v>
      </c>
      <c r="I4618" s="3" t="s">
        <v>8192</v>
      </c>
      <c r="J4618" s="3" t="s">
        <v>8193</v>
      </c>
      <c r="K4618" s="3" t="s">
        <v>8194</v>
      </c>
      <c r="L4618" s="3" t="s">
        <v>8195</v>
      </c>
      <c r="M4618" s="3" t="s">
        <v>8196</v>
      </c>
    </row>
    <row r="4619">
      <c r="A4619" s="3">
        <v>29.0</v>
      </c>
      <c r="B4619" s="3" t="s">
        <v>8148</v>
      </c>
      <c r="C4619" s="3" t="s">
        <v>8149</v>
      </c>
      <c r="D4619" s="3" t="s">
        <v>8229</v>
      </c>
      <c r="E4619" s="3" t="s">
        <v>8230</v>
      </c>
      <c r="F4619" s="3" t="s">
        <v>8231</v>
      </c>
      <c r="G4619" s="3" t="str">
        <f>IFERROR(__xludf.DUMMYFUNCTION("GOOGLETRANSLATE(D4619,""ja"",""es"")"),"Enredo")</f>
        <v>Enredo</v>
      </c>
      <c r="H4619" s="3" t="s">
        <v>8232</v>
      </c>
      <c r="I4619" s="3" t="s">
        <v>3291</v>
      </c>
      <c r="J4619" s="3" t="s">
        <v>8233</v>
      </c>
      <c r="K4619" s="3" t="s">
        <v>8234</v>
      </c>
      <c r="L4619" s="3" t="s">
        <v>8235</v>
      </c>
      <c r="M4619" s="3" t="s">
        <v>8236</v>
      </c>
      <c r="N4619" s="3" t="s">
        <v>8237</v>
      </c>
    </row>
    <row r="4620">
      <c r="A4620" s="3">
        <v>30.0</v>
      </c>
      <c r="B4620" s="3" t="s">
        <v>8148</v>
      </c>
      <c r="C4620" s="3" t="s">
        <v>8149</v>
      </c>
      <c r="D4620" s="3" t="s">
        <v>8238</v>
      </c>
      <c r="E4620" s="3" t="s">
        <v>8239</v>
      </c>
      <c r="F4620" s="3" t="s">
        <v>8240</v>
      </c>
      <c r="G4620" s="3" t="str">
        <f>IFERROR(__xludf.DUMMYFUNCTION("GOOGLETRANSLATE(D4620,""ja"",""es"")"),"En")</f>
        <v>En</v>
      </c>
    </row>
    <row r="4621">
      <c r="A4621" s="3">
        <v>31.0</v>
      </c>
      <c r="B4621" s="3" t="s">
        <v>8148</v>
      </c>
      <c r="C4621" s="3" t="s">
        <v>8149</v>
      </c>
      <c r="D4621" s="3" t="s">
        <v>8241</v>
      </c>
      <c r="E4621" s="3" t="s">
        <v>8242</v>
      </c>
      <c r="F4621" s="3" t="s">
        <v>8243</v>
      </c>
      <c r="G4621" s="3" t="str">
        <f>IFERROR(__xludf.DUMMYFUNCTION("GOOGLETRANSLATE(D4621,""ja"",""es"")"),"Queremi")</f>
        <v>Queremi</v>
      </c>
    </row>
    <row r="4622">
      <c r="A4622" s="3">
        <v>32.0</v>
      </c>
      <c r="B4622" s="3" t="s">
        <v>8148</v>
      </c>
      <c r="C4622" s="3" t="s">
        <v>8149</v>
      </c>
      <c r="D4622" s="3" t="s">
        <v>8244</v>
      </c>
      <c r="E4622" s="3" t="s">
        <v>8245</v>
      </c>
      <c r="F4622" s="3" t="s">
        <v>8246</v>
      </c>
      <c r="G4622" s="3" t="str">
        <f>IFERROR(__xludf.DUMMYFUNCTION("GOOGLETRANSLATE(D4622,""ja"",""es"")"),"Enojado")</f>
        <v>Enojado</v>
      </c>
    </row>
    <row r="4623">
      <c r="A4623" s="3">
        <v>33.0</v>
      </c>
      <c r="B4623" s="3" t="s">
        <v>8148</v>
      </c>
      <c r="C4623" s="3" t="s">
        <v>8149</v>
      </c>
      <c r="D4623" s="3" t="s">
        <v>8247</v>
      </c>
      <c r="E4623" s="3" t="s">
        <v>8248</v>
      </c>
      <c r="F4623" s="3" t="s">
        <v>8249</v>
      </c>
      <c r="G4623" s="3" t="str">
        <f>IFERROR(__xludf.DUMMYFUNCTION("GOOGLETRANSLATE(D4623,""ja"",""es"")"),"Sombrilla")</f>
        <v>Sombrilla</v>
      </c>
    </row>
    <row r="4624">
      <c r="A4624" s="3">
        <v>34.0</v>
      </c>
      <c r="B4624" s="3" t="s">
        <v>8148</v>
      </c>
      <c r="C4624" s="3" t="s">
        <v>8149</v>
      </c>
      <c r="D4624" s="3" t="s">
        <v>8250</v>
      </c>
      <c r="E4624" s="3" t="s">
        <v>8251</v>
      </c>
      <c r="F4624" s="3" t="s">
        <v>8252</v>
      </c>
      <c r="G4624" s="3" t="str">
        <f>IFERROR(__xludf.DUMMYFUNCTION("GOOGLETRANSLATE(D4624,""ja"",""es"")"),"Karakari")</f>
        <v>Karakari</v>
      </c>
    </row>
    <row r="4625">
      <c r="A4625" s="3">
        <v>35.0</v>
      </c>
      <c r="B4625" s="3" t="s">
        <v>8148</v>
      </c>
      <c r="C4625" s="3" t="s">
        <v>8149</v>
      </c>
      <c r="D4625" s="3" t="s">
        <v>8253</v>
      </c>
      <c r="E4625" s="3" t="s">
        <v>8254</v>
      </c>
      <c r="F4625" s="3" t="s">
        <v>8255</v>
      </c>
      <c r="G4625" s="3" t="str">
        <f>IFERROR(__xludf.DUMMYFUNCTION("GOOGLETRANSLATE(D4625,""ja"",""es"")"),"Desagradable")</f>
        <v>Desagradable</v>
      </c>
    </row>
    <row r="4626">
      <c r="A4626" s="3">
        <v>36.0</v>
      </c>
      <c r="B4626" s="3" t="s">
        <v>8148</v>
      </c>
      <c r="C4626" s="3" t="s">
        <v>8149</v>
      </c>
      <c r="D4626" s="3" t="s">
        <v>8256</v>
      </c>
      <c r="E4626" s="3" t="s">
        <v>8257</v>
      </c>
      <c r="F4626" s="3" t="s">
        <v>8258</v>
      </c>
      <c r="G4626" s="3" t="str">
        <f>IFERROR(__xludf.DUMMYFUNCTION("GOOGLETRANSLATE(D4626,""ja"",""es"")"),"Brillantina")</f>
        <v>Brillantina</v>
      </c>
      <c r="H4626" s="3" t="s">
        <v>8259</v>
      </c>
      <c r="I4626" s="3" t="s">
        <v>8260</v>
      </c>
      <c r="J4626" s="3" t="s">
        <v>8261</v>
      </c>
    </row>
    <row r="4627">
      <c r="A4627" s="3">
        <v>37.0</v>
      </c>
      <c r="B4627" s="3" t="s">
        <v>8148</v>
      </c>
      <c r="C4627" s="3" t="s">
        <v>8149</v>
      </c>
      <c r="D4627" s="3" t="s">
        <v>8262</v>
      </c>
      <c r="E4627" s="3" t="s">
        <v>8263</v>
      </c>
      <c r="F4627" s="3" t="s">
        <v>8264</v>
      </c>
      <c r="G4627" s="3" t="str">
        <f>IFERROR(__xludf.DUMMYFUNCTION("GOOGLETRANSLATE(D4627,""ja"",""es"")"),"Crujiente")</f>
        <v>Crujiente</v>
      </c>
    </row>
    <row r="4628">
      <c r="A4628" s="3">
        <v>38.0</v>
      </c>
      <c r="B4628" s="3" t="s">
        <v>8148</v>
      </c>
      <c r="C4628" s="3" t="s">
        <v>8149</v>
      </c>
      <c r="D4628" s="3" t="s">
        <v>8265</v>
      </c>
      <c r="E4628" s="3" t="s">
        <v>8266</v>
      </c>
      <c r="F4628" s="3" t="s">
        <v>8267</v>
      </c>
      <c r="G4628" s="3" t="str">
        <f>IFERROR(__xludf.DUMMYFUNCTION("GOOGLETRANSLATE(D4628,""ja"",""es"")"),"Crujiente")</f>
        <v>Crujiente</v>
      </c>
      <c r="H4628" s="3" t="s">
        <v>8268</v>
      </c>
      <c r="I4628" s="3" t="s">
        <v>8269</v>
      </c>
      <c r="J4628" s="3" t="s">
        <v>8270</v>
      </c>
      <c r="K4628" s="3" t="s">
        <v>8271</v>
      </c>
      <c r="L4628" s="3" t="s">
        <v>8272</v>
      </c>
    </row>
    <row r="4629">
      <c r="A4629" s="3">
        <v>39.0</v>
      </c>
      <c r="B4629" s="3" t="s">
        <v>8148</v>
      </c>
      <c r="C4629" s="3" t="s">
        <v>8149</v>
      </c>
      <c r="D4629" s="3" t="s">
        <v>8273</v>
      </c>
      <c r="E4629" s="3" t="s">
        <v>8274</v>
      </c>
      <c r="F4629" s="3" t="s">
        <v>8275</v>
      </c>
      <c r="G4629" s="3" t="str">
        <f>IFERROR(__xludf.DUMMYFUNCTION("GOOGLETRANSLATE(D4629,""ja"",""es"")"),"Atrevido")</f>
        <v>Atrevido</v>
      </c>
    </row>
    <row r="4630">
      <c r="A4630" s="3">
        <v>40.0</v>
      </c>
      <c r="B4630" s="3" t="s">
        <v>8148</v>
      </c>
      <c r="C4630" s="3" t="s">
        <v>8149</v>
      </c>
      <c r="D4630" s="3" t="s">
        <v>8276</v>
      </c>
      <c r="E4630" s="3" t="s">
        <v>1435</v>
      </c>
      <c r="F4630" s="3" t="s">
        <v>178</v>
      </c>
      <c r="G4630" s="3" t="str">
        <f>IFERROR(__xludf.DUMMYFUNCTION("GOOGLETRANSLATE(D4630,""ja"",""es"")"),"diferencia")</f>
        <v>diferencia</v>
      </c>
    </row>
    <row r="4631">
      <c r="A4631" s="3">
        <v>41.0</v>
      </c>
      <c r="B4631" s="3" t="s">
        <v>8148</v>
      </c>
      <c r="C4631" s="3" t="s">
        <v>8149</v>
      </c>
      <c r="D4631" s="3" t="s">
        <v>8277</v>
      </c>
      <c r="E4631" s="3" t="s">
        <v>8278</v>
      </c>
      <c r="F4631" s="3" t="s">
        <v>8279</v>
      </c>
      <c r="G4631" s="3" t="str">
        <f>IFERROR(__xludf.DUMMYFUNCTION("GOOGLETRANSLATE(D4631,""ja"",""es"")"),"Cuerpo")</f>
        <v>Cuerpo</v>
      </c>
    </row>
    <row r="4632">
      <c r="A4632" s="3">
        <v>42.0</v>
      </c>
      <c r="B4632" s="3" t="s">
        <v>8148</v>
      </c>
      <c r="C4632" s="3" t="s">
        <v>8149</v>
      </c>
      <c r="D4632" s="3" t="s">
        <v>8280</v>
      </c>
      <c r="E4632" s="3" t="s">
        <v>8281</v>
      </c>
      <c r="F4632" s="3" t="s">
        <v>8282</v>
      </c>
      <c r="G4632" s="3" t="str">
        <f>IFERROR(__xludf.DUMMYFUNCTION("GOOGLETRANSLATE(D4632,""ja"",""es"")"),"Dayaya")</f>
        <v>Dayaya</v>
      </c>
    </row>
    <row r="4633">
      <c r="A4633" s="3">
        <v>43.0</v>
      </c>
      <c r="B4633" s="3" t="s">
        <v>8148</v>
      </c>
      <c r="C4633" s="3" t="s">
        <v>8149</v>
      </c>
      <c r="D4633" s="3" t="s">
        <v>8283</v>
      </c>
      <c r="E4633" s="3" t="s">
        <v>8284</v>
      </c>
      <c r="F4633" s="3" t="s">
        <v>8285</v>
      </c>
      <c r="G4633" s="3" t="str">
        <f>IFERROR(__xludf.DUMMYFUNCTION("GOOGLETRANSLATE(D4633,""ja"",""es"")"),"Suavemente")</f>
        <v>Suavemente</v>
      </c>
      <c r="H4633" s="3" t="s">
        <v>5783</v>
      </c>
      <c r="I4633" s="3" t="s">
        <v>8286</v>
      </c>
      <c r="J4633" s="3" t="s">
        <v>8287</v>
      </c>
      <c r="K4633" s="3" t="s">
        <v>8288</v>
      </c>
      <c r="L4633" s="3" t="s">
        <v>8289</v>
      </c>
    </row>
    <row r="4634">
      <c r="A4634" s="3">
        <v>44.0</v>
      </c>
      <c r="B4634" s="3" t="s">
        <v>8148</v>
      </c>
      <c r="C4634" s="3" t="s">
        <v>8149</v>
      </c>
      <c r="D4634" s="3" t="s">
        <v>8290</v>
      </c>
      <c r="E4634" s="3" t="s">
        <v>8291</v>
      </c>
      <c r="F4634" s="3" t="s">
        <v>8292</v>
      </c>
      <c r="G4634" s="3" t="str">
        <f>IFERROR(__xludf.DUMMYFUNCTION("GOOGLETRANSLATE(D4634,""ja"",""es"")"),"Luz")</f>
        <v>Luz</v>
      </c>
    </row>
    <row r="4635">
      <c r="A4635" s="3">
        <v>45.0</v>
      </c>
      <c r="B4635" s="3" t="s">
        <v>8148</v>
      </c>
      <c r="C4635" s="3" t="s">
        <v>8149</v>
      </c>
      <c r="D4635" s="3" t="s">
        <v>8293</v>
      </c>
      <c r="E4635" s="3" t="s">
        <v>6191</v>
      </c>
      <c r="F4635" s="3" t="s">
        <v>6190</v>
      </c>
      <c r="G4635" s="3" t="str">
        <f>IFERROR(__xludf.DUMMYFUNCTION("GOOGLETRANSLATE(D4635,""ja"",""es"")"),"campo de arroz")</f>
        <v>campo de arroz</v>
      </c>
    </row>
    <row r="4636">
      <c r="A4636" s="3">
        <v>46.0</v>
      </c>
      <c r="B4636" s="3" t="s">
        <v>8148</v>
      </c>
      <c r="C4636" s="3" t="s">
        <v>8149</v>
      </c>
      <c r="D4636" s="3" t="s">
        <v>8294</v>
      </c>
      <c r="E4636" s="3" t="s">
        <v>8295</v>
      </c>
      <c r="F4636" s="3" t="s">
        <v>8296</v>
      </c>
      <c r="G4636" s="3" t="str">
        <f>IFERROR(__xludf.DUMMYFUNCTION("GOOGLETRANSLATE(D4636,""ja"",""es"")"),"Reunión")</f>
        <v>Reunión</v>
      </c>
      <c r="H4636" s="3" t="s">
        <v>8297</v>
      </c>
      <c r="I4636" s="3" t="s">
        <v>8298</v>
      </c>
      <c r="J4636" s="3" t="s">
        <v>8299</v>
      </c>
      <c r="K4636" s="3" t="s">
        <v>8300</v>
      </c>
      <c r="L4636" s="3" t="s">
        <v>8301</v>
      </c>
    </row>
    <row r="4637">
      <c r="A4637" s="3">
        <v>47.0</v>
      </c>
      <c r="B4637" s="3" t="s">
        <v>8148</v>
      </c>
      <c r="C4637" s="3" t="s">
        <v>8149</v>
      </c>
      <c r="D4637" s="3" t="s">
        <v>8302</v>
      </c>
      <c r="E4637" s="3" t="s">
        <v>8303</v>
      </c>
      <c r="F4637" s="3" t="s">
        <v>8304</v>
      </c>
      <c r="G4637" s="3" t="str">
        <f>IFERROR(__xludf.DUMMYFUNCTION("GOOGLETRANSLATE(D4637,""ja"",""es"")"),"Errante")</f>
        <v>Errante</v>
      </c>
    </row>
    <row r="4638">
      <c r="A4638" s="3">
        <v>48.0</v>
      </c>
      <c r="B4638" s="3" t="s">
        <v>8148</v>
      </c>
      <c r="C4638" s="3" t="s">
        <v>8149</v>
      </c>
      <c r="D4638" s="3" t="s">
        <v>8305</v>
      </c>
      <c r="E4638" s="3" t="s">
        <v>8306</v>
      </c>
      <c r="F4638" s="3" t="s">
        <v>8307</v>
      </c>
      <c r="G4638" s="3" t="str">
        <f>IFERROR(__xludf.DUMMYFUNCTION("GOOGLETRANSLATE(D4638,""ja"",""es"")"),"Después")</f>
        <v>Después</v>
      </c>
    </row>
    <row r="4639">
      <c r="A4639" s="3">
        <v>49.0</v>
      </c>
      <c r="B4639" s="3" t="s">
        <v>8148</v>
      </c>
      <c r="C4639" s="3" t="s">
        <v>8149</v>
      </c>
      <c r="D4639" s="3" t="s">
        <v>8308</v>
      </c>
      <c r="E4639" s="3" t="s">
        <v>8309</v>
      </c>
      <c r="F4639" s="3" t="s">
        <v>8310</v>
      </c>
      <c r="G4639" s="3" t="str">
        <f>IFERROR(__xludf.DUMMYFUNCTION("GOOGLETRANSLATE(D4639,""ja"",""es"")"),"Después")</f>
        <v>Después</v>
      </c>
    </row>
    <row r="4640">
      <c r="A4640" s="3">
        <v>50.0</v>
      </c>
      <c r="B4640" s="3" t="s">
        <v>8148</v>
      </c>
      <c r="C4640" s="3" t="s">
        <v>8149</v>
      </c>
      <c r="D4640" s="3" t="s">
        <v>8311</v>
      </c>
      <c r="E4640" s="3" t="s">
        <v>8312</v>
      </c>
      <c r="F4640" s="3" t="s">
        <v>8313</v>
      </c>
      <c r="G4640" s="3" t="str">
        <f>IFERROR(__xludf.DUMMYFUNCTION("GOOGLETRANSLATE(D4640,""ja"",""es"")"),"De lo contrario")</f>
        <v>De lo contrario</v>
      </c>
    </row>
    <row r="4641">
      <c r="A4641" s="3">
        <v>51.0</v>
      </c>
      <c r="B4641" s="3" t="s">
        <v>8148</v>
      </c>
      <c r="C4641" s="3" t="s">
        <v>8149</v>
      </c>
      <c r="D4641" s="3" t="s">
        <v>8314</v>
      </c>
      <c r="E4641" s="3" t="s">
        <v>7455</v>
      </c>
      <c r="F4641" s="3" t="s">
        <v>7454</v>
      </c>
      <c r="G4641" s="3" t="str">
        <f>IFERROR(__xludf.DUMMYFUNCTION("GOOGLETRANSLATE(D4641,""ja"",""es"")"),"Nombrada")</f>
        <v>Nombrada</v>
      </c>
    </row>
    <row r="4642">
      <c r="A4642" s="3">
        <v>52.0</v>
      </c>
      <c r="B4642" s="3" t="s">
        <v>8148</v>
      </c>
      <c r="C4642" s="3" t="s">
        <v>8149</v>
      </c>
      <c r="D4642" s="3" t="s">
        <v>8315</v>
      </c>
      <c r="E4642" s="3" t="s">
        <v>8316</v>
      </c>
      <c r="F4642" s="3" t="s">
        <v>8317</v>
      </c>
      <c r="G4642" s="3" t="str">
        <f>IFERROR(__xludf.DUMMYFUNCTION("GOOGLETRANSLATE(D4642,""ja"",""es"")"),"Nana Minami")</f>
        <v>Nana Minami</v>
      </c>
    </row>
    <row r="4643">
      <c r="A4643" s="3">
        <v>53.0</v>
      </c>
      <c r="B4643" s="3" t="s">
        <v>8148</v>
      </c>
      <c r="C4643" s="3" t="s">
        <v>8149</v>
      </c>
      <c r="D4643" s="3" t="s">
        <v>8318</v>
      </c>
      <c r="E4643" s="3" t="s">
        <v>8319</v>
      </c>
      <c r="F4643" s="3" t="s">
        <v>8320</v>
      </c>
      <c r="G4643" s="3" t="str">
        <f>IFERROR(__xludf.DUMMYFUNCTION("GOOGLETRANSLATE(D4643,""ja"",""es"")"),"Oral")</f>
        <v>Oral</v>
      </c>
    </row>
    <row r="4644">
      <c r="A4644" s="3">
        <v>54.0</v>
      </c>
      <c r="B4644" s="3" t="s">
        <v>8148</v>
      </c>
      <c r="C4644" s="3" t="s">
        <v>8149</v>
      </c>
      <c r="D4644" s="3" t="s">
        <v>8321</v>
      </c>
      <c r="E4644" s="3" t="s">
        <v>8322</v>
      </c>
      <c r="F4644" s="3" t="s">
        <v>8323</v>
      </c>
      <c r="G4644" s="3" t="str">
        <f>IFERROR(__xludf.DUMMYFUNCTION("GOOGLETRANSLATE(D4644,""ja"",""es"")"),"En")</f>
        <v>En</v>
      </c>
    </row>
    <row r="4645">
      <c r="A4645" s="3">
        <v>55.0</v>
      </c>
      <c r="B4645" s="3" t="s">
        <v>8148</v>
      </c>
      <c r="C4645" s="3" t="s">
        <v>8149</v>
      </c>
      <c r="D4645" s="3" t="s">
        <v>8324</v>
      </c>
      <c r="E4645" s="3" t="s">
        <v>8325</v>
      </c>
      <c r="F4645" s="3" t="s">
        <v>8326</v>
      </c>
      <c r="G4645" s="3" t="str">
        <f>IFERROR(__xludf.DUMMYFUNCTION("GOOGLETRANSLATE(D4645,""ja"",""es"")"),"En el futuro")</f>
        <v>En el futuro</v>
      </c>
    </row>
    <row r="4646">
      <c r="A4646" s="3">
        <v>56.0</v>
      </c>
      <c r="B4646" s="3" t="s">
        <v>8148</v>
      </c>
      <c r="C4646" s="3" t="s">
        <v>8149</v>
      </c>
      <c r="D4646" s="3" t="s">
        <v>8327</v>
      </c>
      <c r="E4646" s="3" t="s">
        <v>4188</v>
      </c>
      <c r="F4646" s="3" t="s">
        <v>4187</v>
      </c>
      <c r="G4646" s="3" t="str">
        <f>IFERROR(__xludf.DUMMYFUNCTION("GOOGLETRANSLATE(D4646,""ja"",""es"")"),"En")</f>
        <v>En</v>
      </c>
    </row>
    <row r="4647">
      <c r="A4647" s="3">
        <v>57.0</v>
      </c>
      <c r="B4647" s="3" t="s">
        <v>8148</v>
      </c>
      <c r="C4647" s="3" t="s">
        <v>8149</v>
      </c>
      <c r="D4647" s="3" t="s">
        <v>8328</v>
      </c>
      <c r="E4647" s="3" t="s">
        <v>8329</v>
      </c>
      <c r="F4647" s="3" t="s">
        <v>8330</v>
      </c>
      <c r="G4647" s="3" t="str">
        <f>IFERROR(__xludf.DUMMYFUNCTION("GOOGLETRANSLATE(D4647,""ja"",""es"")"),"Linterna")</f>
        <v>Linterna</v>
      </c>
      <c r="H4647" s="3" t="s">
        <v>8331</v>
      </c>
      <c r="I4647" s="3" t="s">
        <v>8331</v>
      </c>
    </row>
    <row r="4648">
      <c r="A4648" s="3">
        <v>58.0</v>
      </c>
      <c r="B4648" s="3" t="s">
        <v>8148</v>
      </c>
      <c r="C4648" s="3" t="s">
        <v>8149</v>
      </c>
      <c r="D4648" s="3" t="s">
        <v>8332</v>
      </c>
      <c r="E4648" s="3" t="s">
        <v>8333</v>
      </c>
      <c r="F4648" s="3" t="s">
        <v>8334</v>
      </c>
      <c r="G4648" s="3" t="str">
        <f>IFERROR(__xludf.DUMMYFUNCTION("GOOGLETRANSLATE(D4648,""ja"",""es"")"),"En")</f>
        <v>En</v>
      </c>
    </row>
    <row r="4649">
      <c r="A4649" s="3">
        <v>59.0</v>
      </c>
      <c r="B4649" s="3" t="s">
        <v>8148</v>
      </c>
      <c r="C4649" s="3" t="s">
        <v>8149</v>
      </c>
      <c r="D4649" s="3" t="s">
        <v>8335</v>
      </c>
      <c r="E4649" s="3" t="s">
        <v>8336</v>
      </c>
      <c r="F4649" s="3" t="s">
        <v>8337</v>
      </c>
      <c r="G4649" s="3" t="str">
        <f>IFERROR(__xludf.DUMMYFUNCTION("GOOGLETRANSLATE(D4649,""ja"",""es"")"),"por")</f>
        <v>por</v>
      </c>
    </row>
    <row r="4650">
      <c r="A4650" s="3">
        <v>60.0</v>
      </c>
      <c r="B4650" s="3" t="s">
        <v>8148</v>
      </c>
      <c r="C4650" s="3" t="s">
        <v>8149</v>
      </c>
      <c r="D4650" s="3" t="s">
        <v>8338</v>
      </c>
      <c r="E4650" s="3" t="s">
        <v>8339</v>
      </c>
      <c r="F4650" s="3" t="s">
        <v>8340</v>
      </c>
      <c r="G4650" s="3" t="str">
        <f>IFERROR(__xludf.DUMMYFUNCTION("GOOGLETRANSLATE(D4650,""ja"",""es"")"),"sonriente")</f>
        <v>sonriente</v>
      </c>
      <c r="H4650" s="3" t="s">
        <v>8341</v>
      </c>
      <c r="I4650" s="3" t="s">
        <v>8342</v>
      </c>
      <c r="J4650" s="3" t="s">
        <v>8343</v>
      </c>
      <c r="K4650" s="3" t="s">
        <v>8344</v>
      </c>
    </row>
    <row r="4651">
      <c r="A4651" s="3">
        <v>61.0</v>
      </c>
      <c r="B4651" s="3" t="s">
        <v>8148</v>
      </c>
      <c r="C4651" s="3" t="s">
        <v>8149</v>
      </c>
      <c r="D4651" s="3" t="s">
        <v>8345</v>
      </c>
      <c r="E4651" s="3" t="s">
        <v>8346</v>
      </c>
      <c r="F4651" s="3" t="s">
        <v>8347</v>
      </c>
      <c r="G4651" s="3" t="str">
        <f>IFERROR(__xludf.DUMMYFUNCTION("GOOGLETRANSLATE(D4651,""ja"",""es"")"),"Nic")</f>
        <v>Nic</v>
      </c>
    </row>
    <row r="4652">
      <c r="A4652" s="3">
        <v>62.0</v>
      </c>
      <c r="B4652" s="3" t="s">
        <v>8148</v>
      </c>
      <c r="C4652" s="3" t="s">
        <v>8149</v>
      </c>
      <c r="D4652" s="3" t="s">
        <v>8348</v>
      </c>
      <c r="E4652" s="3" t="s">
        <v>8349</v>
      </c>
      <c r="F4652" s="3" t="s">
        <v>93</v>
      </c>
      <c r="G4652" s="3" t="str">
        <f>IFERROR(__xludf.DUMMYFUNCTION("GOOGLETRANSLATE(D4652,""ja"",""es"")"),"dientes")</f>
        <v>dientes</v>
      </c>
    </row>
    <row r="4653">
      <c r="A4653" s="3">
        <v>63.0</v>
      </c>
      <c r="B4653" s="3" t="s">
        <v>8148</v>
      </c>
      <c r="C4653" s="3" t="s">
        <v>8149</v>
      </c>
      <c r="D4653" s="3" t="s">
        <v>8350</v>
      </c>
      <c r="E4653" s="3" t="s">
        <v>8351</v>
      </c>
      <c r="F4653" s="3" t="s">
        <v>8352</v>
      </c>
      <c r="G4653" s="3" t="str">
        <f>IFERROR(__xludf.DUMMYFUNCTION("GOOGLETRANSLATE(D4653,""ja"",""es"")"),"Posdata")</f>
        <v>Posdata</v>
      </c>
      <c r="H4653" s="3" t="s">
        <v>8353</v>
      </c>
      <c r="I4653" s="3" t="s">
        <v>8354</v>
      </c>
    </row>
    <row r="4654">
      <c r="A4654" s="3">
        <v>64.0</v>
      </c>
      <c r="B4654" s="3" t="s">
        <v>8148</v>
      </c>
      <c r="C4654" s="3" t="s">
        <v>8149</v>
      </c>
      <c r="D4654" s="3" t="s">
        <v>8355</v>
      </c>
      <c r="E4654" s="3" t="s">
        <v>8356</v>
      </c>
      <c r="F4654" s="3" t="s">
        <v>8357</v>
      </c>
      <c r="G4654" s="3" t="str">
        <f>IFERROR(__xludf.DUMMYFUNCTION("GOOGLETRANSLATE(D4654,""ja"",""es"")"),"Hisaki a la parrilla")</f>
        <v>Hisaki a la parrilla</v>
      </c>
    </row>
    <row r="4655">
      <c r="A4655" s="3">
        <v>65.0</v>
      </c>
      <c r="B4655" s="3" t="s">
        <v>8148</v>
      </c>
      <c r="C4655" s="3" t="s">
        <v>8149</v>
      </c>
      <c r="D4655" s="3" t="s">
        <v>8358</v>
      </c>
      <c r="E4655" s="3" t="s">
        <v>8359</v>
      </c>
      <c r="F4655" s="3" t="s">
        <v>8360</v>
      </c>
      <c r="G4655" s="3" t="str">
        <f>IFERROR(__xludf.DUMMYFUNCTION("GOOGLETRANSLATE(D4655,""ja"",""es"")"),"Hatata")</f>
        <v>Hatata</v>
      </c>
      <c r="H4655" s="3" t="s">
        <v>8361</v>
      </c>
      <c r="I4655" s="3" t="s">
        <v>8362</v>
      </c>
    </row>
    <row r="4656">
      <c r="A4656" s="3">
        <v>66.0</v>
      </c>
      <c r="B4656" s="3" t="s">
        <v>8148</v>
      </c>
      <c r="C4656" s="3" t="s">
        <v>8149</v>
      </c>
      <c r="D4656" s="3" t="s">
        <v>8363</v>
      </c>
      <c r="E4656" s="3" t="s">
        <v>8364</v>
      </c>
      <c r="F4656" s="3" t="s">
        <v>8365</v>
      </c>
      <c r="G4656" s="3" t="str">
        <f>IFERROR(__xludf.DUMMYFUNCTION("GOOGLETRANSLATE(D4656,""ja"",""es"")"),"Borroso")</f>
        <v>Borroso</v>
      </c>
    </row>
    <row r="4657">
      <c r="A4657" s="3">
        <v>67.0</v>
      </c>
      <c r="B4657" s="3" t="s">
        <v>8148</v>
      </c>
      <c r="C4657" s="3" t="s">
        <v>8149</v>
      </c>
      <c r="D4657" s="3" t="s">
        <v>8366</v>
      </c>
      <c r="E4657" s="3" t="s">
        <v>8367</v>
      </c>
      <c r="F4657" s="3" t="s">
        <v>8368</v>
      </c>
      <c r="G4657" s="3" t="str">
        <f>IFERROR(__xludf.DUMMYFUNCTION("GOOGLETRANSLATE(D4657,""ja"",""es"")"),"tímido")</f>
        <v>tímido</v>
      </c>
    </row>
    <row r="4658">
      <c r="A4658" s="3">
        <v>68.0</v>
      </c>
      <c r="B4658" s="3" t="s">
        <v>8148</v>
      </c>
      <c r="C4658" s="3" t="s">
        <v>8149</v>
      </c>
      <c r="D4658" s="3" t="s">
        <v>8369</v>
      </c>
      <c r="E4658" s="3" t="s">
        <v>8370</v>
      </c>
      <c r="F4658" s="3" t="s">
        <v>8371</v>
      </c>
      <c r="G4658" s="3" t="str">
        <f>IFERROR(__xludf.DUMMYFUNCTION("GOOGLETRANSLATE(D4658,""ja"",""es"")"),"Jajaja")</f>
        <v>Jajaja</v>
      </c>
    </row>
    <row r="4659">
      <c r="A4659" s="3">
        <v>69.0</v>
      </c>
      <c r="B4659" s="3" t="s">
        <v>8148</v>
      </c>
      <c r="C4659" s="3" t="s">
        <v>8149</v>
      </c>
      <c r="D4659" s="3" t="s">
        <v>8372</v>
      </c>
      <c r="E4659" s="3" t="s">
        <v>8373</v>
      </c>
      <c r="F4659" s="3" t="s">
        <v>8374</v>
      </c>
      <c r="G4659" s="3" t="str">
        <f>IFERROR(__xludf.DUMMYFUNCTION("GOOGLETRANSLATE(D4659,""ja"",""es"")"),"Hara")</f>
        <v>Hara</v>
      </c>
    </row>
    <row r="4660">
      <c r="A4660" s="3">
        <v>70.0</v>
      </c>
      <c r="B4660" s="3" t="s">
        <v>8148</v>
      </c>
      <c r="C4660" s="3" t="s">
        <v>8149</v>
      </c>
      <c r="D4660" s="3" t="s">
        <v>8375</v>
      </c>
      <c r="E4660" s="3" t="s">
        <v>8376</v>
      </c>
      <c r="F4660" s="3" t="s">
        <v>8377</v>
      </c>
      <c r="G4660" s="3" t="str">
        <f>IFERROR(__xludf.DUMMYFUNCTION("GOOGLETRANSLATE(D4660,""ja"",""es"")"),"Maquinilla de afeitar")</f>
        <v>Maquinilla de afeitar</v>
      </c>
      <c r="H4660" s="3" t="s">
        <v>8378</v>
      </c>
      <c r="I4660" s="3" t="s">
        <v>8379</v>
      </c>
      <c r="J4660" s="3" t="s">
        <v>8380</v>
      </c>
    </row>
    <row r="4661">
      <c r="A4661" s="3">
        <v>71.0</v>
      </c>
      <c r="B4661" s="3" t="s">
        <v>8148</v>
      </c>
      <c r="C4661" s="3" t="s">
        <v>8149</v>
      </c>
      <c r="D4661" s="3" t="s">
        <v>8381</v>
      </c>
      <c r="E4661" s="3" t="s">
        <v>8382</v>
      </c>
      <c r="F4661" s="3" t="s">
        <v>8383</v>
      </c>
      <c r="G4661" s="3" t="str">
        <f>IFERROR(__xludf.DUMMYFUNCTION("GOOGLETRANSLATE(D4661,""ja"",""es"")"),"Harihashi")</f>
        <v>Harihashi</v>
      </c>
    </row>
    <row r="4662">
      <c r="A4662" s="3">
        <v>72.0</v>
      </c>
      <c r="B4662" s="3" t="s">
        <v>8148</v>
      </c>
      <c r="C4662" s="3" t="s">
        <v>8149</v>
      </c>
      <c r="D4662" s="3" t="s">
        <v>8384</v>
      </c>
      <c r="E4662" s="3" t="s">
        <v>4350</v>
      </c>
      <c r="F4662" s="3" t="s">
        <v>4351</v>
      </c>
      <c r="G4662" s="3" t="str">
        <f>IFERROR(__xludf.DUMMYFUNCTION("GOOGLETRANSLATE(D4662,""ja"",""es"")"),"Sacrificio")</f>
        <v>Sacrificio</v>
      </c>
    </row>
    <row r="4663">
      <c r="A4663" s="3">
        <v>73.0</v>
      </c>
      <c r="B4663" s="3" t="s">
        <v>8148</v>
      </c>
      <c r="C4663" s="3" t="s">
        <v>8149</v>
      </c>
      <c r="D4663" s="3" t="s">
        <v>8385</v>
      </c>
      <c r="E4663" s="3" t="s">
        <v>8386</v>
      </c>
      <c r="F4663" s="3" t="s">
        <v>8387</v>
      </c>
      <c r="G4663" s="3" t="str">
        <f>IFERROR(__xludf.DUMMYFUNCTION("GOOGLETRANSLATE(D4663,""ja"",""es"")"),"Arroz")</f>
        <v>Arroz</v>
      </c>
    </row>
    <row r="4664">
      <c r="A4664" s="3">
        <v>74.0</v>
      </c>
      <c r="B4664" s="3" t="s">
        <v>8148</v>
      </c>
      <c r="C4664" s="3" t="s">
        <v>8149</v>
      </c>
      <c r="D4664" s="3" t="s">
        <v>8388</v>
      </c>
      <c r="E4664" s="3" t="s">
        <v>8389</v>
      </c>
      <c r="F4664" s="3" t="s">
        <v>8390</v>
      </c>
      <c r="G4664" s="3" t="str">
        <f>IFERROR(__xludf.DUMMYFUNCTION("GOOGLETRANSLATE(D4664,""ja"",""es"")"),"Poner un")</f>
        <v>Poner un</v>
      </c>
      <c r="H4664" s="3" t="s">
        <v>8391</v>
      </c>
    </row>
    <row r="4665">
      <c r="A4665" s="3">
        <v>75.0</v>
      </c>
      <c r="B4665" s="3" t="s">
        <v>8148</v>
      </c>
      <c r="C4665" s="3" t="s">
        <v>8149</v>
      </c>
      <c r="D4665" s="3" t="s">
        <v>8392</v>
      </c>
      <c r="E4665" s="3" t="s">
        <v>8393</v>
      </c>
      <c r="F4665" s="3" t="s">
        <v>8394</v>
      </c>
      <c r="G4665" s="3" t="str">
        <f>IFERROR(__xludf.DUMMYFUNCTION("GOOGLETRANSLATE(D4665,""ja"",""es"")"),"Sacrificio")</f>
        <v>Sacrificio</v>
      </c>
    </row>
    <row r="4666">
      <c r="A4666" s="3">
        <v>76.0</v>
      </c>
      <c r="B4666" s="3" t="s">
        <v>8148</v>
      </c>
      <c r="C4666" s="3" t="s">
        <v>8149</v>
      </c>
      <c r="D4666" s="3" t="s">
        <v>8395</v>
      </c>
      <c r="E4666" s="3" t="s">
        <v>8396</v>
      </c>
      <c r="F4666" s="3" t="s">
        <v>8397</v>
      </c>
      <c r="G4666" s="3" t="str">
        <f>IFERROR(__xludf.DUMMYFUNCTION("GOOGLETRANSLATE(D4666,""ja"",""es"")"),"Esponjoso")</f>
        <v>Esponjoso</v>
      </c>
      <c r="H4666" s="3" t="s">
        <v>8398</v>
      </c>
    </row>
    <row r="4667">
      <c r="A4667" s="3">
        <v>77.0</v>
      </c>
      <c r="B4667" s="3" t="s">
        <v>8148</v>
      </c>
      <c r="C4667" s="3" t="s">
        <v>8149</v>
      </c>
      <c r="D4667" s="3" t="s">
        <v>8399</v>
      </c>
      <c r="E4667" s="3" t="s">
        <v>8400</v>
      </c>
      <c r="F4667" s="3" t="s">
        <v>8401</v>
      </c>
      <c r="G4667" s="3" t="str">
        <f>IFERROR(__xludf.DUMMYFUNCTION("GOOGLETRANSLATE(D4667,""ja"",""es"")"),"Tedioso")</f>
        <v>Tedioso</v>
      </c>
      <c r="H4667" s="3" t="s">
        <v>8378</v>
      </c>
      <c r="I4667" s="3" t="s">
        <v>8379</v>
      </c>
      <c r="J4667" s="3" t="s">
        <v>8380</v>
      </c>
    </row>
    <row r="4668">
      <c r="A4668" s="3">
        <v>78.0</v>
      </c>
      <c r="B4668" s="3" t="s">
        <v>8148</v>
      </c>
      <c r="C4668" s="3" t="s">
        <v>8149</v>
      </c>
      <c r="D4668" s="3" t="s">
        <v>8402</v>
      </c>
      <c r="E4668" s="3" t="s">
        <v>8403</v>
      </c>
      <c r="F4668" s="3" t="s">
        <v>8404</v>
      </c>
      <c r="G4668" s="3" t="str">
        <f>IFERROR(__xludf.DUMMYFUNCTION("GOOGLETRANSLATE(D4668,""ja"",""es"")"),"crujiente")</f>
        <v>crujiente</v>
      </c>
      <c r="H4668" s="3" t="s">
        <v>8405</v>
      </c>
      <c r="I4668" s="3" t="s">
        <v>8406</v>
      </c>
    </row>
    <row r="4669">
      <c r="A4669" s="3">
        <v>79.0</v>
      </c>
      <c r="B4669" s="3" t="s">
        <v>8148</v>
      </c>
      <c r="C4669" s="3" t="s">
        <v>8149</v>
      </c>
      <c r="D4669" s="3" t="s">
        <v>8407</v>
      </c>
      <c r="E4669" s="3" t="s">
        <v>8408</v>
      </c>
      <c r="F4669" s="3" t="s">
        <v>8409</v>
      </c>
      <c r="G4669" s="3" t="str">
        <f>IFERROR(__xludf.DUMMYFUNCTION("GOOGLETRANSLATE(D4669,""ja"",""es"")"),"Crujiente")</f>
        <v>Crujiente</v>
      </c>
      <c r="H4669" s="3" t="s">
        <v>8261</v>
      </c>
      <c r="I4669" s="3" t="s">
        <v>8261</v>
      </c>
      <c r="J4669" s="3" t="s">
        <v>8410</v>
      </c>
      <c r="K4669" s="3" t="s">
        <v>8411</v>
      </c>
      <c r="L4669" s="3" t="s">
        <v>8412</v>
      </c>
      <c r="M4669" s="3" t="s">
        <v>8413</v>
      </c>
    </row>
    <row r="4670">
      <c r="A4670" s="3">
        <v>80.0</v>
      </c>
      <c r="B4670" s="3" t="s">
        <v>8148</v>
      </c>
      <c r="C4670" s="3" t="s">
        <v>8149</v>
      </c>
      <c r="D4670" s="3" t="s">
        <v>8414</v>
      </c>
      <c r="E4670" s="3" t="s">
        <v>8415</v>
      </c>
      <c r="F4670" s="3" t="s">
        <v>8416</v>
      </c>
      <c r="G4670" s="3" t="str">
        <f>IFERROR(__xludf.DUMMYFUNCTION("GOOGLETRANSLATE(D4670,""ja"",""es"")"),"Crujiente")</f>
        <v>Crujiente</v>
      </c>
    </row>
    <row r="4671">
      <c r="A4671" s="3">
        <v>81.0</v>
      </c>
      <c r="B4671" s="3" t="s">
        <v>8148</v>
      </c>
      <c r="C4671" s="3" t="s">
        <v>8149</v>
      </c>
      <c r="D4671" s="3" t="s">
        <v>8417</v>
      </c>
      <c r="E4671" s="3" t="s">
        <v>8418</v>
      </c>
      <c r="F4671" s="3" t="s">
        <v>8419</v>
      </c>
      <c r="G4671" s="3" t="str">
        <f>IFERROR(__xludf.DUMMYFUNCTION("GOOGLETRANSLATE(D4671,""ja"",""es"")"),"Perfecto")</f>
        <v>Perfecto</v>
      </c>
      <c r="H4671" s="3" t="s">
        <v>8420</v>
      </c>
      <c r="I4671" s="3" t="s">
        <v>5019</v>
      </c>
      <c r="J4671" s="3" t="s">
        <v>5020</v>
      </c>
      <c r="K4671" s="3" t="s">
        <v>3288</v>
      </c>
      <c r="L4671" s="3" t="s">
        <v>8421</v>
      </c>
      <c r="M4671" s="3" t="s">
        <v>8420</v>
      </c>
      <c r="N4671" s="3" t="s">
        <v>5019</v>
      </c>
      <c r="O4671" s="3" t="s">
        <v>8422</v>
      </c>
      <c r="P4671" s="3" t="s">
        <v>5020</v>
      </c>
      <c r="Q4671" s="3" t="s">
        <v>8423</v>
      </c>
      <c r="R4671" s="3" t="s">
        <v>8421</v>
      </c>
      <c r="S4671" s="3" t="s">
        <v>8424</v>
      </c>
    </row>
    <row r="4672">
      <c r="A4672" s="3">
        <v>82.0</v>
      </c>
      <c r="B4672" s="3" t="s">
        <v>8148</v>
      </c>
      <c r="C4672" s="3" t="s">
        <v>8149</v>
      </c>
      <c r="D4672" s="3" t="s">
        <v>8425</v>
      </c>
      <c r="E4672" s="3" t="s">
        <v>8426</v>
      </c>
      <c r="F4672" s="3" t="s">
        <v>8427</v>
      </c>
      <c r="G4672" s="3" t="str">
        <f>IFERROR(__xludf.DUMMYFUNCTION("GOOGLETRANSLATE(D4672,""ja"",""es"")"),"Pirapira")</f>
        <v>Pirapira</v>
      </c>
    </row>
    <row r="4673">
      <c r="A4673" s="3">
        <v>83.0</v>
      </c>
      <c r="B4673" s="3" t="s">
        <v>8148</v>
      </c>
      <c r="C4673" s="3" t="s">
        <v>8149</v>
      </c>
      <c r="D4673" s="3" t="s">
        <v>8428</v>
      </c>
      <c r="E4673" s="3" t="s">
        <v>8429</v>
      </c>
      <c r="F4673" s="3" t="s">
        <v>8430</v>
      </c>
      <c r="G4673" s="3" t="str">
        <f>IFERROR(__xludf.DUMMYFUNCTION("GOOGLETRANSLATE(D4673,""ja"",""es"")"),"Esponjoso")</f>
        <v>Esponjoso</v>
      </c>
      <c r="H4673" s="3" t="s">
        <v>8431</v>
      </c>
    </row>
    <row r="4674">
      <c r="A4674" s="3">
        <v>84.0</v>
      </c>
      <c r="B4674" s="3" t="s">
        <v>8148</v>
      </c>
      <c r="C4674" s="3" t="s">
        <v>8149</v>
      </c>
      <c r="D4674" s="3" t="s">
        <v>8432</v>
      </c>
      <c r="E4674" s="3" t="s">
        <v>8433</v>
      </c>
      <c r="F4674" s="3" t="s">
        <v>8434</v>
      </c>
      <c r="G4674" s="3" t="str">
        <f>IFERROR(__xludf.DUMMYFUNCTION("GOOGLETRANSLATE(D4674,""ja"",""es"")"),"Susurro")</f>
        <v>Susurro</v>
      </c>
    </row>
    <row r="4675">
      <c r="A4675" s="3">
        <v>85.0</v>
      </c>
      <c r="B4675" s="3" t="s">
        <v>8148</v>
      </c>
      <c r="C4675" s="3" t="s">
        <v>8149</v>
      </c>
      <c r="D4675" s="3" t="s">
        <v>8435</v>
      </c>
      <c r="E4675" s="3" t="s">
        <v>8436</v>
      </c>
      <c r="F4675" s="3" t="s">
        <v>8437</v>
      </c>
      <c r="G4675" s="3" t="str">
        <f>IFERROR(__xludf.DUMMYFUNCTION("GOOGLETRANSLATE(D4675,""ja"",""es"")"),"Picante")</f>
        <v>Picante</v>
      </c>
    </row>
    <row r="4676">
      <c r="A4676" s="3">
        <v>86.0</v>
      </c>
      <c r="B4676" s="3" t="s">
        <v>8148</v>
      </c>
      <c r="C4676" s="3" t="s">
        <v>8149</v>
      </c>
      <c r="D4676" s="3" t="s">
        <v>8438</v>
      </c>
      <c r="E4676" s="3" t="s">
        <v>3137</v>
      </c>
      <c r="F4676" s="3" t="s">
        <v>136</v>
      </c>
      <c r="G4676" s="3" t="str">
        <f>IFERROR(__xludf.DUMMYFUNCTION("GOOGLETRANSLATE(D4676,""ja"",""es"")"),"demonio")</f>
        <v>demonio</v>
      </c>
    </row>
    <row r="4677">
      <c r="A4677" s="3">
        <v>87.0</v>
      </c>
      <c r="B4677" s="3" t="s">
        <v>8148</v>
      </c>
      <c r="C4677" s="3" t="s">
        <v>8149</v>
      </c>
      <c r="D4677" s="3" t="s">
        <v>8439</v>
      </c>
      <c r="E4677" s="3" t="s">
        <v>150</v>
      </c>
      <c r="F4677" s="3" t="s">
        <v>149</v>
      </c>
      <c r="G4677" s="3" t="str">
        <f>IFERROR(__xludf.DUMMYFUNCTION("GOOGLETRANSLATE(D4677,""ja"",""es"")"),"Fruta")</f>
        <v>Fruta</v>
      </c>
    </row>
    <row r="4678">
      <c r="A4678" s="3">
        <v>88.0</v>
      </c>
      <c r="B4678" s="3" t="s">
        <v>8148</v>
      </c>
      <c r="C4678" s="3" t="s">
        <v>8149</v>
      </c>
      <c r="D4678" s="3" t="s">
        <v>8440</v>
      </c>
      <c r="E4678" s="3" t="s">
        <v>8441</v>
      </c>
      <c r="F4678" s="3" t="s">
        <v>8442</v>
      </c>
      <c r="G4678" s="3" t="str">
        <f>IFERROR(__xludf.DUMMYFUNCTION("GOOGLETRANSLATE(D4678,""ja"",""es"")"),"Todo el mundo")</f>
        <v>Todo el mundo</v>
      </c>
    </row>
    <row r="4679">
      <c r="A4679" s="3">
        <v>89.0</v>
      </c>
      <c r="B4679" s="3" t="s">
        <v>8148</v>
      </c>
      <c r="C4679" s="3" t="s">
        <v>8149</v>
      </c>
      <c r="D4679" s="3" t="s">
        <v>8443</v>
      </c>
      <c r="E4679" s="3" t="s">
        <v>8142</v>
      </c>
      <c r="F4679" s="3" t="s">
        <v>126</v>
      </c>
      <c r="G4679" s="3" t="str">
        <f>IFERROR(__xludf.DUMMYFUNCTION("GOOGLETRANSLATE(D4679,""ja"",""es"")"),"o")</f>
        <v>o</v>
      </c>
    </row>
    <row r="4680">
      <c r="A4680" s="3">
        <v>90.0</v>
      </c>
      <c r="B4680" s="3" t="s">
        <v>8148</v>
      </c>
      <c r="C4680" s="3" t="s">
        <v>8149</v>
      </c>
      <c r="D4680" s="3" t="s">
        <v>8444</v>
      </c>
      <c r="E4680" s="3" t="s">
        <v>8445</v>
      </c>
      <c r="F4680" s="3" t="s">
        <v>8446</v>
      </c>
      <c r="G4680" s="3" t="str">
        <f>IFERROR(__xludf.DUMMYFUNCTION("GOOGLETRANSLATE(D4680,""ja"",""es"")"),"Un poco")</f>
        <v>Un poco</v>
      </c>
    </row>
    <row r="4681">
      <c r="A4681" s="3">
        <v>91.0</v>
      </c>
      <c r="B4681" s="3" t="s">
        <v>8148</v>
      </c>
      <c r="C4681" s="3" t="s">
        <v>8149</v>
      </c>
      <c r="D4681" s="3" t="s">
        <v>8447</v>
      </c>
      <c r="E4681" s="3" t="s">
        <v>8448</v>
      </c>
      <c r="F4681" s="3" t="s">
        <v>8449</v>
      </c>
      <c r="G4681" s="3" t="str">
        <f>IFERROR(__xludf.DUMMYFUNCTION("GOOGLETRANSLATE(D4681,""ja"",""es"")"),"Galería")</f>
        <v>Galería</v>
      </c>
    </row>
    <row r="4682">
      <c r="A4682" s="3">
        <v>92.0</v>
      </c>
      <c r="B4682" s="3" t="s">
        <v>8148</v>
      </c>
      <c r="C4682" s="3" t="s">
        <v>8149</v>
      </c>
      <c r="D4682" s="3" t="s">
        <v>8450</v>
      </c>
      <c r="E4682" s="3" t="s">
        <v>8451</v>
      </c>
      <c r="F4682" s="3" t="s">
        <v>8452</v>
      </c>
      <c r="G4682" s="3" t="str">
        <f>IFERROR(__xludf.DUMMYFUNCTION("GOOGLETRANSLATE(D4682,""ja"",""es"")"),"mas o menos")</f>
        <v>mas o menos</v>
      </c>
      <c r="H4682" s="3" t="s">
        <v>8453</v>
      </c>
      <c r="I4682" s="3" t="s">
        <v>8454</v>
      </c>
      <c r="J4682" s="3" t="s">
        <v>8455</v>
      </c>
      <c r="K4682" s="3" t="s">
        <v>8456</v>
      </c>
      <c r="L4682" s="3" t="s">
        <v>8457</v>
      </c>
      <c r="M4682" s="3" t="s">
        <v>8458</v>
      </c>
    </row>
    <row r="4683">
      <c r="A4683" s="3">
        <v>93.0</v>
      </c>
      <c r="B4683" s="3" t="s">
        <v>8148</v>
      </c>
      <c r="C4683" s="3" t="s">
        <v>8149</v>
      </c>
      <c r="D4683" s="3" t="s">
        <v>8459</v>
      </c>
      <c r="E4683" s="3" t="s">
        <v>8460</v>
      </c>
      <c r="F4683" s="3" t="s">
        <v>8461</v>
      </c>
      <c r="G4683" s="3" t="str">
        <f>IFERROR(__xludf.DUMMYFUNCTION("GOOGLETRANSLATE(D4683,""ja"",""es"")"),"Ruido")</f>
        <v>Ruido</v>
      </c>
    </row>
    <row r="4684">
      <c r="A4684" s="3">
        <v>94.0</v>
      </c>
      <c r="B4684" s="3" t="s">
        <v>8148</v>
      </c>
      <c r="C4684" s="3" t="s">
        <v>8149</v>
      </c>
      <c r="D4684" s="3" t="s">
        <v>8462</v>
      </c>
      <c r="E4684" s="3" t="s">
        <v>8463</v>
      </c>
      <c r="F4684" s="3" t="s">
        <v>8464</v>
      </c>
      <c r="G4684" s="3" t="str">
        <f>IFERROR(__xludf.DUMMYFUNCTION("GOOGLETRANSLATE(D4684,""ja"",""es"")"),"Henahata")</f>
        <v>Henahata</v>
      </c>
    </row>
    <row r="4685">
      <c r="A4685" s="3">
        <v>95.0</v>
      </c>
      <c r="B4685" s="3" t="s">
        <v>8148</v>
      </c>
      <c r="C4685" s="3" t="s">
        <v>8149</v>
      </c>
      <c r="D4685" s="3" t="s">
        <v>8465</v>
      </c>
      <c r="E4685" s="3" t="s">
        <v>8466</v>
      </c>
      <c r="F4685" s="3" t="s">
        <v>8467</v>
      </c>
      <c r="G4685" s="3" t="str">
        <f>IFERROR(__xludf.DUMMYFUNCTION("GOOGLETRANSLATE(D4685,""ja"",""es"")"),"Syowa")</f>
        <v>Syowa</v>
      </c>
    </row>
    <row r="4686">
      <c r="A4686" s="3">
        <v>96.0</v>
      </c>
      <c r="B4686" s="3" t="s">
        <v>8148</v>
      </c>
      <c r="C4686" s="3" t="s">
        <v>8149</v>
      </c>
      <c r="D4686" s="3" t="s">
        <v>8468</v>
      </c>
      <c r="E4686" s="3" t="s">
        <v>8469</v>
      </c>
      <c r="F4686" s="3" t="s">
        <v>8470</v>
      </c>
      <c r="G4686" s="3" t="str">
        <f>IFERROR(__xludf.DUMMYFUNCTION("GOOGLETRANSLATE(D4686,""ja"",""es"")"),"manera")</f>
        <v>manera</v>
      </c>
      <c r="H4686" s="3" t="s">
        <v>3027</v>
      </c>
      <c r="I4686" s="3" t="s">
        <v>8471</v>
      </c>
      <c r="J4686" s="3" t="s">
        <v>8472</v>
      </c>
      <c r="K4686" s="3" t="s">
        <v>8473</v>
      </c>
      <c r="L4686" s="3" t="s">
        <v>5202</v>
      </c>
      <c r="M4686" s="3" t="s">
        <v>8474</v>
      </c>
      <c r="N4686" s="3" t="s">
        <v>8475</v>
      </c>
      <c r="O4686" s="3" t="s">
        <v>8476</v>
      </c>
      <c r="P4686" s="3" t="s">
        <v>8477</v>
      </c>
      <c r="Q4686" s="3" t="s">
        <v>8478</v>
      </c>
      <c r="R4686" s="3" t="s">
        <v>8479</v>
      </c>
      <c r="S4686" s="3" t="s">
        <v>8478</v>
      </c>
      <c r="T4686" s="3" t="s">
        <v>8480</v>
      </c>
      <c r="U4686" s="3" t="s">
        <v>4501</v>
      </c>
      <c r="V4686" s="3" t="s">
        <v>5202</v>
      </c>
      <c r="W4686" s="3" t="s">
        <v>8474</v>
      </c>
      <c r="X4686" s="3" t="s">
        <v>8481</v>
      </c>
    </row>
    <row r="4687">
      <c r="A4687" s="3">
        <v>97.0</v>
      </c>
      <c r="B4687" s="3" t="s">
        <v>8148</v>
      </c>
      <c r="C4687" s="3" t="s">
        <v>8149</v>
      </c>
      <c r="D4687" s="3" t="s">
        <v>8482</v>
      </c>
      <c r="E4687" s="3" t="s">
        <v>8483</v>
      </c>
      <c r="F4687" s="3" t="s">
        <v>8484</v>
      </c>
      <c r="G4687" s="3" t="str">
        <f>IFERROR(__xludf.DUMMYFUNCTION("GOOGLETRANSLATE(D4687,""ja"",""es"")"),"Oral")</f>
        <v>Oral</v>
      </c>
    </row>
    <row r="4688">
      <c r="A4688" s="3">
        <v>98.0</v>
      </c>
      <c r="B4688" s="3" t="s">
        <v>8148</v>
      </c>
      <c r="C4688" s="3" t="s">
        <v>8149</v>
      </c>
      <c r="D4688" s="3" t="s">
        <v>8485</v>
      </c>
      <c r="E4688" s="3" t="s">
        <v>268</v>
      </c>
      <c r="F4688" s="3" t="s">
        <v>269</v>
      </c>
      <c r="G4688" s="3" t="str">
        <f>IFERROR(__xludf.DUMMYFUNCTION("GOOGLETRANSLATE(D4688,""ja"",""es"")"),"Rojo")</f>
        <v>Rojo</v>
      </c>
    </row>
    <row r="4689">
      <c r="A4689" s="3">
        <v>99.0</v>
      </c>
      <c r="B4689" s="3" t="s">
        <v>8148</v>
      </c>
      <c r="C4689" s="3" t="s">
        <v>8149</v>
      </c>
      <c r="D4689" s="3" t="s">
        <v>8486</v>
      </c>
      <c r="E4689" s="3" t="s">
        <v>8487</v>
      </c>
      <c r="F4689" s="3" t="s">
        <v>8488</v>
      </c>
      <c r="G4689" s="3" t="str">
        <f>IFERROR(__xludf.DUMMYFUNCTION("GOOGLETRANSLATE(D4689,""ja"",""es"")"),"Akahata")</f>
        <v>Akahata</v>
      </c>
    </row>
    <row r="4690">
      <c r="A4690" s="3">
        <v>100.0</v>
      </c>
      <c r="B4690" s="3" t="s">
        <v>8148</v>
      </c>
      <c r="C4690" s="3" t="s">
        <v>8149</v>
      </c>
      <c r="D4690" s="3" t="s">
        <v>8489</v>
      </c>
      <c r="E4690" s="3" t="s">
        <v>8490</v>
      </c>
      <c r="F4690" s="3" t="s">
        <v>8491</v>
      </c>
      <c r="G4690" s="3" t="str">
        <f>IFERROR(__xludf.DUMMYFUNCTION("GOOGLETRANSLATE(D4690,""ja"",""es"")"),"Akahara")</f>
        <v>Akahara</v>
      </c>
    </row>
    <row r="4691">
      <c r="A4691" s="3">
        <v>101.0</v>
      </c>
      <c r="B4691" s="3" t="s">
        <v>8148</v>
      </c>
      <c r="C4691" s="3" t="s">
        <v>8149</v>
      </c>
      <c r="D4691" s="3" t="s">
        <v>8492</v>
      </c>
      <c r="E4691" s="3" t="s">
        <v>8155</v>
      </c>
      <c r="F4691" s="3" t="s">
        <v>8156</v>
      </c>
      <c r="G4691" s="3" t="str">
        <f>IFERROR(__xludf.DUMMYFUNCTION("GOOGLETRANSLATE(D4691,""ja"",""es"")"),"Akamata")</f>
        <v>Akamata</v>
      </c>
    </row>
    <row r="4692">
      <c r="A4692" s="3">
        <v>102.0</v>
      </c>
      <c r="B4692" s="3" t="s">
        <v>8148</v>
      </c>
      <c r="C4692" s="3" t="s">
        <v>8149</v>
      </c>
      <c r="D4692" s="3" t="s">
        <v>8493</v>
      </c>
      <c r="E4692" s="3" t="s">
        <v>8494</v>
      </c>
      <c r="F4692" s="3" t="s">
        <v>8495</v>
      </c>
      <c r="G4692" s="3" t="str">
        <f>IFERROR(__xludf.DUMMYFUNCTION("GOOGLETRANSLATE(D4692,""ja"",""es"")"),"Almeja")</f>
        <v>Almeja</v>
      </c>
    </row>
    <row r="4693">
      <c r="A4693" s="3">
        <v>103.0</v>
      </c>
      <c r="B4693" s="3" t="s">
        <v>8148</v>
      </c>
      <c r="C4693" s="3" t="s">
        <v>8149</v>
      </c>
      <c r="D4693" s="3" t="s">
        <v>8496</v>
      </c>
      <c r="E4693" s="3" t="s">
        <v>8497</v>
      </c>
      <c r="F4693" s="3" t="s">
        <v>8498</v>
      </c>
      <c r="G4693" s="3" t="str">
        <f>IFERROR(__xludf.DUMMYFUNCTION("GOOGLETRANSLATE(D4693,""ja"",""es"")"),"Atari")</f>
        <v>Atari</v>
      </c>
    </row>
    <row r="4694">
      <c r="A4694" s="3">
        <v>104.0</v>
      </c>
      <c r="B4694" s="3" t="s">
        <v>8148</v>
      </c>
      <c r="C4694" s="3" t="s">
        <v>8149</v>
      </c>
      <c r="D4694" s="3" t="s">
        <v>8499</v>
      </c>
      <c r="E4694" s="3" t="s">
        <v>8063</v>
      </c>
      <c r="F4694" s="3" t="s">
        <v>8062</v>
      </c>
      <c r="G4694" s="3" t="str">
        <f>IFERROR(__xludf.DUMMYFUNCTION("GOOGLETRANSLATE(D4694,""ja"",""es"")"),"Ana")</f>
        <v>Ana</v>
      </c>
    </row>
    <row r="4695">
      <c r="A4695" s="3">
        <v>105.0</v>
      </c>
      <c r="B4695" s="3" t="s">
        <v>8148</v>
      </c>
      <c r="C4695" s="3" t="s">
        <v>8149</v>
      </c>
      <c r="D4695" s="3" t="s">
        <v>8500</v>
      </c>
      <c r="E4695" s="3" t="s">
        <v>8501</v>
      </c>
      <c r="F4695" s="3" t="s">
        <v>8502</v>
      </c>
      <c r="G4695" s="3" t="str">
        <f>IFERROR(__xludf.DUMMYFUNCTION("GOOGLETRANSLATE(D4695,""ja"",""es"")"),"Anikara")</f>
        <v>Anikara</v>
      </c>
    </row>
    <row r="4696">
      <c r="A4696" s="3">
        <v>106.0</v>
      </c>
      <c r="B4696" s="3" t="s">
        <v>8148</v>
      </c>
      <c r="C4696" s="3" t="s">
        <v>8149</v>
      </c>
      <c r="D4696" s="3" t="s">
        <v>8503</v>
      </c>
      <c r="E4696" s="3" t="s">
        <v>8504</v>
      </c>
      <c r="F4696" s="3" t="s">
        <v>8505</v>
      </c>
      <c r="G4696" s="3" t="str">
        <f>IFERROR(__xludf.DUMMYFUNCTION("GOOGLETRANSLATE(D4696,""ja"",""es"")"),"Hermano mayor")</f>
        <v>Hermano mayor</v>
      </c>
    </row>
    <row r="4697">
      <c r="A4697" s="3">
        <v>107.0</v>
      </c>
      <c r="B4697" s="3" t="s">
        <v>8148</v>
      </c>
      <c r="C4697" s="3" t="s">
        <v>8149</v>
      </c>
      <c r="D4697" s="3" t="s">
        <v>8506</v>
      </c>
      <c r="E4697" s="3" t="s">
        <v>6799</v>
      </c>
      <c r="F4697" s="3" t="s">
        <v>613</v>
      </c>
      <c r="G4697" s="3" t="str">
        <f>IFERROR(__xludf.DUMMYFUNCTION("GOOGLETRANSLATE(D4697,""ja"",""es"")"),"Anima")</f>
        <v>Anima</v>
      </c>
      <c r="H4697" s="3" t="s">
        <v>613</v>
      </c>
    </row>
    <row r="4698">
      <c r="A4698" s="3">
        <v>108.0</v>
      </c>
      <c r="B4698" s="3" t="s">
        <v>8148</v>
      </c>
      <c r="C4698" s="3" t="s">
        <v>8149</v>
      </c>
      <c r="D4698" s="3" t="s">
        <v>8507</v>
      </c>
      <c r="E4698" s="3" t="s">
        <v>8162</v>
      </c>
      <c r="F4698" s="3" t="s">
        <v>8163</v>
      </c>
      <c r="G4698" s="3" t="str">
        <f>IFERROR(__xludf.DUMMYFUNCTION("GOOGLETRANSLATE(D4698,""ja"",""es"")"),"Ahaha")</f>
        <v>Ahaha</v>
      </c>
    </row>
    <row r="4699">
      <c r="A4699" s="3">
        <v>109.0</v>
      </c>
      <c r="B4699" s="3" t="s">
        <v>8148</v>
      </c>
      <c r="C4699" s="3" t="s">
        <v>8149</v>
      </c>
      <c r="D4699" s="3" t="s">
        <v>8508</v>
      </c>
      <c r="E4699" s="3" t="s">
        <v>8509</v>
      </c>
      <c r="F4699" s="3" t="s">
        <v>8064</v>
      </c>
      <c r="G4699" s="3" t="str">
        <f>IFERROR(__xludf.DUMMYFUNCTION("GOOGLETRANSLATE(D4699,""ja"",""es"")"),"Affi")</f>
        <v>Affi</v>
      </c>
    </row>
    <row r="4700">
      <c r="A4700" s="3">
        <v>110.0</v>
      </c>
      <c r="B4700" s="3" t="s">
        <v>8148</v>
      </c>
      <c r="C4700" s="3" t="s">
        <v>8149</v>
      </c>
      <c r="D4700" s="3" t="s">
        <v>8510</v>
      </c>
      <c r="E4700" s="3" t="s">
        <v>8511</v>
      </c>
      <c r="F4700" s="3" t="s">
        <v>8512</v>
      </c>
      <c r="G4700" s="3" t="str">
        <f>IFERROR(__xludf.DUMMYFUNCTION("GOOGLETRANSLATE(D4700,""ja"",""es"")"),"Afiliado")</f>
        <v>Afiliado</v>
      </c>
    </row>
    <row r="4701">
      <c r="A4701" s="3">
        <v>111.0</v>
      </c>
      <c r="B4701" s="3" t="s">
        <v>8148</v>
      </c>
      <c r="C4701" s="3" t="s">
        <v>8149</v>
      </c>
      <c r="D4701" s="3" t="s">
        <v>8513</v>
      </c>
      <c r="E4701" s="3" t="s">
        <v>394</v>
      </c>
      <c r="F4701" s="3" t="s">
        <v>395</v>
      </c>
      <c r="G4701" s="3" t="str">
        <f>IFERROR(__xludf.DUMMYFUNCTION("GOOGLETRANSLATE(D4701,""ja"",""es"")"),"Aficionado")</f>
        <v>Aficionado</v>
      </c>
      <c r="H4701" s="3" t="s">
        <v>8514</v>
      </c>
      <c r="I4701" s="3" t="s">
        <v>8515</v>
      </c>
      <c r="J4701" s="3" t="s">
        <v>8516</v>
      </c>
      <c r="K4701" s="3" t="s">
        <v>8517</v>
      </c>
    </row>
    <row r="4702">
      <c r="A4702" s="3">
        <v>112.0</v>
      </c>
      <c r="B4702" s="3" t="s">
        <v>8148</v>
      </c>
      <c r="C4702" s="3" t="s">
        <v>8149</v>
      </c>
      <c r="D4702" s="3" t="s">
        <v>8518</v>
      </c>
      <c r="E4702" s="3" t="s">
        <v>8519</v>
      </c>
      <c r="F4702" s="3" t="s">
        <v>8520</v>
      </c>
      <c r="G4702" s="3" t="str">
        <f>IFERROR(__xludf.DUMMYFUNCTION("GOOGLETRANSLATE(D4702,""ja"",""es"")"),"Amana")</f>
        <v>Amana</v>
      </c>
    </row>
    <row r="4703">
      <c r="A4703" s="3">
        <v>113.0</v>
      </c>
      <c r="B4703" s="3" t="s">
        <v>8148</v>
      </c>
      <c r="C4703" s="3" t="s">
        <v>8149</v>
      </c>
      <c r="D4703" s="3" t="s">
        <v>8521</v>
      </c>
      <c r="E4703" s="3" t="s">
        <v>544</v>
      </c>
      <c r="F4703" s="3" t="s">
        <v>543</v>
      </c>
      <c r="G4703" s="3" t="str">
        <f>IFERROR(__xludf.DUMMYFUNCTION("GOOGLETRANSLATE(D4703,""ja"",""es"")"),"Ami")</f>
        <v>Ami</v>
      </c>
      <c r="H4703" s="3" t="s">
        <v>8522</v>
      </c>
      <c r="I4703" s="3" t="s">
        <v>8523</v>
      </c>
      <c r="J4703" s="3" t="s">
        <v>8524</v>
      </c>
      <c r="K4703" s="3" t="s">
        <v>8525</v>
      </c>
    </row>
    <row r="4704">
      <c r="A4704" s="3">
        <v>114.0</v>
      </c>
      <c r="B4704" s="3" t="s">
        <v>8148</v>
      </c>
      <c r="C4704" s="3" t="s">
        <v>8149</v>
      </c>
      <c r="D4704" s="3" t="s">
        <v>8526</v>
      </c>
      <c r="E4704" s="3" t="s">
        <v>8172</v>
      </c>
      <c r="F4704" s="3" t="s">
        <v>8173</v>
      </c>
      <c r="G4704" s="3" t="str">
        <f>IFERROR(__xludf.DUMMYFUNCTION("GOOGLETRANSLATE(D4704,""ja"",""es"")"),"Ara")</f>
        <v>Ara</v>
      </c>
    </row>
    <row r="4705">
      <c r="A4705" s="3">
        <v>115.0</v>
      </c>
      <c r="B4705" s="3" t="s">
        <v>8148</v>
      </c>
      <c r="C4705" s="3" t="s">
        <v>8149</v>
      </c>
      <c r="D4705" s="3" t="s">
        <v>8527</v>
      </c>
      <c r="E4705" s="3" t="s">
        <v>8528</v>
      </c>
      <c r="F4705" s="3" t="s">
        <v>8529</v>
      </c>
      <c r="G4705" s="3" t="str">
        <f>IFERROR(__xludf.DUMMYFUNCTION("GOOGLETRANSLATE(D4705,""ja"",""es"")"),"Araki")</f>
        <v>Araki</v>
      </c>
    </row>
    <row r="4706">
      <c r="A4706" s="3">
        <v>116.0</v>
      </c>
      <c r="B4706" s="3" t="s">
        <v>8148</v>
      </c>
      <c r="C4706" s="3" t="s">
        <v>8149</v>
      </c>
      <c r="D4706" s="3" t="s">
        <v>8530</v>
      </c>
      <c r="E4706" s="3" t="s">
        <v>8531</v>
      </c>
      <c r="F4706" s="3" t="s">
        <v>8532</v>
      </c>
      <c r="G4706" s="3" t="str">
        <f>IFERROR(__xludf.DUMMYFUNCTION("GOOGLETRANSLATE(D4706,""ja"",""es"")"),"Hormiga")</f>
        <v>Hormiga</v>
      </c>
      <c r="H4706" s="3" t="s">
        <v>8533</v>
      </c>
      <c r="I4706" s="3" t="s">
        <v>8534</v>
      </c>
      <c r="J4706" s="3" t="s">
        <v>8535</v>
      </c>
      <c r="K4706" s="3" t="s">
        <v>8536</v>
      </c>
      <c r="L4706" s="3" t="s">
        <v>8536</v>
      </c>
      <c r="M4706" s="3" t="s">
        <v>8537</v>
      </c>
      <c r="N4706" s="3" t="s">
        <v>8538</v>
      </c>
      <c r="O4706" s="3" t="s">
        <v>8539</v>
      </c>
    </row>
    <row r="4707">
      <c r="A4707" s="3">
        <v>117.0</v>
      </c>
      <c r="B4707" s="3" t="s">
        <v>8148</v>
      </c>
      <c r="C4707" s="3" t="s">
        <v>8149</v>
      </c>
      <c r="D4707" s="3" t="s">
        <v>8540</v>
      </c>
      <c r="E4707" s="3" t="s">
        <v>8541</v>
      </c>
      <c r="F4707" s="3" t="s">
        <v>8542</v>
      </c>
      <c r="G4707" s="3" t="str">
        <f>IFERROR(__xludf.DUMMYFUNCTION("GOOGLETRANSLATE(D4707,""ja"",""es"")"),"Arimaki")</f>
        <v>Arimaki</v>
      </c>
      <c r="H4707" s="3" t="s">
        <v>5220</v>
      </c>
      <c r="I4707" s="3" t="s">
        <v>5216</v>
      </c>
    </row>
    <row r="4708">
      <c r="A4708" s="3">
        <v>118.0</v>
      </c>
      <c r="B4708" s="3" t="s">
        <v>8148</v>
      </c>
      <c r="C4708" s="3" t="s">
        <v>8149</v>
      </c>
      <c r="D4708" s="3" t="s">
        <v>8543</v>
      </c>
      <c r="E4708" s="3" t="s">
        <v>2267</v>
      </c>
      <c r="F4708" s="3" t="s">
        <v>2268</v>
      </c>
      <c r="G4708" s="3" t="str">
        <f>IFERROR(__xludf.DUMMYFUNCTION("GOOGLETRANSLATE(D4708,""ja"",""es"")"),"estómago")</f>
        <v>estómago</v>
      </c>
    </row>
    <row r="4709">
      <c r="A4709" s="3">
        <v>119.0</v>
      </c>
      <c r="B4709" s="3" t="s">
        <v>8148</v>
      </c>
      <c r="C4709" s="3" t="s">
        <v>8149</v>
      </c>
      <c r="D4709" s="3" t="s">
        <v>8544</v>
      </c>
      <c r="E4709" s="3" t="s">
        <v>8545</v>
      </c>
      <c r="F4709" s="3" t="s">
        <v>8546</v>
      </c>
      <c r="G4709" s="3" t="str">
        <f>IFERROR(__xludf.DUMMYFUNCTION("GOOGLETRANSLATE(D4709,""ja"",""es"")"),"calamar")</f>
        <v>calamar</v>
      </c>
      <c r="H4709" s="3" t="s">
        <v>5820</v>
      </c>
      <c r="I4709" s="3" t="s">
        <v>5820</v>
      </c>
      <c r="J4709" s="3" t="s">
        <v>8547</v>
      </c>
      <c r="K4709" s="3" t="s">
        <v>8548</v>
      </c>
    </row>
    <row r="4710">
      <c r="A4710" s="3">
        <v>120.0</v>
      </c>
      <c r="B4710" s="3" t="s">
        <v>8148</v>
      </c>
      <c r="C4710" s="3" t="s">
        <v>8149</v>
      </c>
      <c r="D4710" s="3" t="s">
        <v>8549</v>
      </c>
      <c r="E4710" s="3" t="s">
        <v>8550</v>
      </c>
      <c r="F4710" s="3" t="s">
        <v>8551</v>
      </c>
      <c r="G4710" s="3" t="str">
        <f>IFERROR(__xludf.DUMMYFUNCTION("GOOGLETRANSLATE(D4710,""ja"",""es"")"),"Iki")</f>
        <v>Iki</v>
      </c>
    </row>
    <row r="4711">
      <c r="A4711" s="3">
        <v>121.0</v>
      </c>
      <c r="B4711" s="3" t="s">
        <v>8148</v>
      </c>
      <c r="C4711" s="3" t="s">
        <v>8149</v>
      </c>
      <c r="D4711" s="3" t="s">
        <v>8552</v>
      </c>
      <c r="E4711" s="3" t="s">
        <v>8553</v>
      </c>
      <c r="F4711" s="3" t="s">
        <v>8554</v>
      </c>
      <c r="G4711" s="3" t="str">
        <f>IFERROR(__xludf.DUMMYFUNCTION("GOOGLETRANSLATE(D4711,""ja"",""es"")"),"Isaki")</f>
        <v>Isaki</v>
      </c>
      <c r="H4711" s="3" t="s">
        <v>8555</v>
      </c>
    </row>
    <row r="4712">
      <c r="A4712" s="3">
        <v>122.0</v>
      </c>
      <c r="B4712" s="3" t="s">
        <v>8148</v>
      </c>
      <c r="C4712" s="3" t="s">
        <v>8149</v>
      </c>
      <c r="D4712" s="3" t="s">
        <v>8556</v>
      </c>
      <c r="E4712" s="3" t="s">
        <v>8557</v>
      </c>
      <c r="F4712" s="3" t="s">
        <v>8558</v>
      </c>
      <c r="G4712" s="3" t="str">
        <f>IFERROR(__xludf.DUMMYFUNCTION("GOOGLETRANSLATE(D4712,""ja"",""es"")"),"Ini")</f>
        <v>Ini</v>
      </c>
    </row>
    <row r="4713">
      <c r="A4713" s="3">
        <v>123.0</v>
      </c>
      <c r="B4713" s="3" t="s">
        <v>8148</v>
      </c>
      <c r="C4713" s="3" t="s">
        <v>8149</v>
      </c>
      <c r="D4713" s="3" t="s">
        <v>8559</v>
      </c>
      <c r="E4713" s="3" t="s">
        <v>8560</v>
      </c>
      <c r="F4713" s="3" t="s">
        <v>8561</v>
      </c>
      <c r="G4713" s="3" t="str">
        <f>IFERROR(__xludf.DUMMYFUNCTION("GOOGLETRANSLATE(D4713,""ja"",""es"")"),"Desagradable")</f>
        <v>Desagradable</v>
      </c>
    </row>
    <row r="4714">
      <c r="A4714" s="3">
        <v>124.0</v>
      </c>
      <c r="B4714" s="3" t="s">
        <v>8148</v>
      </c>
      <c r="C4714" s="3" t="s">
        <v>8149</v>
      </c>
      <c r="D4714" s="3" t="s">
        <v>8562</v>
      </c>
      <c r="E4714" s="3" t="s">
        <v>5376</v>
      </c>
      <c r="F4714" s="3" t="s">
        <v>5377</v>
      </c>
      <c r="G4714" s="3" t="str">
        <f>IFERROR(__xludf.DUMMYFUNCTION("GOOGLETRANSLATE(D4714,""ja"",""es"")"),"energía")</f>
        <v>energía</v>
      </c>
    </row>
    <row r="4715">
      <c r="A4715" s="3">
        <v>125.0</v>
      </c>
      <c r="B4715" s="3" t="s">
        <v>8148</v>
      </c>
      <c r="C4715" s="3" t="s">
        <v>8149</v>
      </c>
      <c r="D4715" s="3" t="s">
        <v>8563</v>
      </c>
      <c r="E4715" s="3" t="s">
        <v>8564</v>
      </c>
      <c r="F4715" s="3" t="s">
        <v>8565</v>
      </c>
      <c r="G4715" s="3" t="str">
        <f>IFERROR(__xludf.DUMMYFUNCTION("GOOGLETRANSLATE(D4715,""ja"",""es"")"),"Kakari")</f>
        <v>Kakari</v>
      </c>
    </row>
    <row r="4716">
      <c r="A4716" s="3">
        <v>126.0</v>
      </c>
      <c r="B4716" s="3" t="s">
        <v>8148</v>
      </c>
      <c r="C4716" s="3" t="s">
        <v>8149</v>
      </c>
      <c r="D4716" s="3" t="s">
        <v>8566</v>
      </c>
      <c r="E4716" s="3" t="s">
        <v>2514</v>
      </c>
      <c r="F4716" s="3" t="s">
        <v>2513</v>
      </c>
      <c r="G4716" s="3" t="str">
        <f>IFERROR(__xludf.DUMMYFUNCTION("GOOGLETRANSLATE(D4716,""ja"",""es"")"),"ostra")</f>
        <v>ostra</v>
      </c>
      <c r="H4716" s="3" t="s">
        <v>8567</v>
      </c>
      <c r="I4716" s="3" t="s">
        <v>2516</v>
      </c>
      <c r="J4716" s="3" t="s">
        <v>8568</v>
      </c>
      <c r="K4716" s="3" t="s">
        <v>8567</v>
      </c>
      <c r="L4716" s="3" t="s">
        <v>2516</v>
      </c>
      <c r="M4716" s="3" t="s">
        <v>2517</v>
      </c>
    </row>
    <row r="4717">
      <c r="A4717" s="3">
        <v>127.0</v>
      </c>
      <c r="B4717" s="3" t="s">
        <v>8148</v>
      </c>
      <c r="C4717" s="3" t="s">
        <v>8149</v>
      </c>
      <c r="D4717" s="3" t="s">
        <v>8569</v>
      </c>
      <c r="E4717" s="3" t="s">
        <v>8187</v>
      </c>
      <c r="F4717" s="3" t="s">
        <v>8188</v>
      </c>
      <c r="G4717" s="3" t="str">
        <f>IFERROR(__xludf.DUMMYFUNCTION("GOOGLETRANSLATE(D4717,""ja"",""es"")"),"Kakina")</f>
        <v>Kakina</v>
      </c>
    </row>
    <row r="4718">
      <c r="A4718" s="3">
        <v>128.0</v>
      </c>
      <c r="B4718" s="3" t="s">
        <v>8148</v>
      </c>
      <c r="C4718" s="3" t="s">
        <v>8149</v>
      </c>
      <c r="D4718" s="3" t="s">
        <v>8570</v>
      </c>
      <c r="E4718" s="3" t="s">
        <v>8190</v>
      </c>
      <c r="F4718" s="3" t="s">
        <v>8191</v>
      </c>
      <c r="G4718" s="3" t="str">
        <f>IFERROR(__xludf.DUMMYFUNCTION("GOOGLETRANSLATE(D4718,""ja"",""es"")"),"Crujiente")</f>
        <v>Crujiente</v>
      </c>
    </row>
    <row r="4719">
      <c r="A4719" s="3">
        <v>129.0</v>
      </c>
      <c r="B4719" s="3" t="s">
        <v>8148</v>
      </c>
      <c r="C4719" s="3" t="s">
        <v>8149</v>
      </c>
      <c r="D4719" s="3" t="s">
        <v>8571</v>
      </c>
      <c r="E4719" s="3" t="s">
        <v>8572</v>
      </c>
      <c r="F4719" s="3" t="s">
        <v>8573</v>
      </c>
      <c r="G4719" s="3" t="str">
        <f>IFERROR(__xludf.DUMMYFUNCTION("GOOGLETRANSLATE(D4719,""ja"",""es"")"),"Katakana")</f>
        <v>Katakana</v>
      </c>
    </row>
    <row r="4720">
      <c r="A4720" s="3">
        <v>130.0</v>
      </c>
      <c r="B4720" s="3" t="s">
        <v>8148</v>
      </c>
      <c r="C4720" s="3" t="s">
        <v>8149</v>
      </c>
      <c r="D4720" s="3" t="s">
        <v>8574</v>
      </c>
      <c r="E4720" s="3" t="s">
        <v>8575</v>
      </c>
      <c r="F4720" s="3" t="s">
        <v>8576</v>
      </c>
      <c r="G4720" s="3" t="str">
        <f>IFERROR(__xludf.DUMMYFUNCTION("GOOGLETRANSLATE(D4720,""ja"",""es"")"),"Canaca")</f>
        <v>Canaca</v>
      </c>
    </row>
    <row r="4721">
      <c r="A4721" s="3">
        <v>131.0</v>
      </c>
      <c r="B4721" s="3" t="s">
        <v>8148</v>
      </c>
      <c r="C4721" s="3" t="s">
        <v>8149</v>
      </c>
      <c r="D4721" s="3" t="s">
        <v>8577</v>
      </c>
      <c r="E4721" s="3" t="s">
        <v>8578</v>
      </c>
      <c r="F4721" s="3" t="s">
        <v>8579</v>
      </c>
      <c r="G4721" s="3" t="str">
        <f>IFERROR(__xludf.DUMMYFUNCTION("GOOGLETRANSLATE(D4721,""ja"",""es"")"),"Kanakana")</f>
        <v>Kanakana</v>
      </c>
    </row>
    <row r="4722">
      <c r="A4722" s="3">
        <v>132.0</v>
      </c>
      <c r="B4722" s="3" t="s">
        <v>8148</v>
      </c>
      <c r="C4722" s="3" t="s">
        <v>8149</v>
      </c>
      <c r="D4722" s="3" t="s">
        <v>8580</v>
      </c>
      <c r="E4722" s="3" t="s">
        <v>8581</v>
      </c>
      <c r="F4722" s="3" t="s">
        <v>8582</v>
      </c>
      <c r="G4722" s="3" t="str">
        <f>IFERROR(__xludf.DUMMYFUNCTION("GOOGLETRANSLATE(D4722,""ja"",""es"")"),"Canario")</f>
        <v>Canario</v>
      </c>
      <c r="H4722" s="3" t="s">
        <v>8583</v>
      </c>
    </row>
    <row r="4723">
      <c r="A4723" s="3">
        <v>133.0</v>
      </c>
      <c r="B4723" s="3" t="s">
        <v>8148</v>
      </c>
      <c r="C4723" s="3" t="s">
        <v>8149</v>
      </c>
      <c r="D4723" s="3" t="s">
        <v>8584</v>
      </c>
      <c r="E4723" s="3" t="s">
        <v>8585</v>
      </c>
      <c r="F4723" s="3" t="s">
        <v>8586</v>
      </c>
      <c r="G4723" s="3" t="str">
        <f>IFERROR(__xludf.DUMMYFUNCTION("GOOGLETRANSLATE(D4723,""ja"",""es"")"),"cangrejo")</f>
        <v>cangrejo</v>
      </c>
      <c r="H4723" s="3" t="s">
        <v>8587</v>
      </c>
      <c r="I4723" s="3" t="s">
        <v>8587</v>
      </c>
      <c r="J4723" s="3" t="s">
        <v>8588</v>
      </c>
    </row>
    <row r="4724">
      <c r="A4724" s="3">
        <v>134.0</v>
      </c>
      <c r="B4724" s="3" t="s">
        <v>8148</v>
      </c>
      <c r="C4724" s="3" t="s">
        <v>8149</v>
      </c>
      <c r="D4724" s="3" t="s">
        <v>8589</v>
      </c>
      <c r="E4724" s="3" t="s">
        <v>8590</v>
      </c>
      <c r="F4724" s="3" t="s">
        <v>8591</v>
      </c>
      <c r="G4724" s="3" t="str">
        <f>IFERROR(__xludf.DUMMYFUNCTION("GOOGLETRANSLATE(D4724,""ja"",""es"")"),"Kanikama")</f>
        <v>Kanikama</v>
      </c>
    </row>
    <row r="4725">
      <c r="A4725" s="3">
        <v>135.0</v>
      </c>
      <c r="B4725" s="3" t="s">
        <v>8148</v>
      </c>
      <c r="C4725" s="3" t="s">
        <v>8149</v>
      </c>
      <c r="D4725" s="3" t="s">
        <v>8592</v>
      </c>
      <c r="E4725" s="3" t="s">
        <v>8590</v>
      </c>
      <c r="F4725" s="3" t="s">
        <v>8591</v>
      </c>
      <c r="G4725" s="3" t="str">
        <f>IFERROR(__xludf.DUMMYFUNCTION("GOOGLETRANSLATE(D4725,""ja"",""es"")"),"Cangrejo")</f>
        <v>Cangrejo</v>
      </c>
    </row>
    <row r="4726">
      <c r="A4726" s="3">
        <v>136.0</v>
      </c>
      <c r="B4726" s="3" t="s">
        <v>8148</v>
      </c>
      <c r="C4726" s="3" t="s">
        <v>8149</v>
      </c>
      <c r="D4726" s="3" t="s">
        <v>8593</v>
      </c>
      <c r="E4726" s="3" t="s">
        <v>8215</v>
      </c>
      <c r="F4726" s="3" t="s">
        <v>8216</v>
      </c>
      <c r="G4726" s="3" t="str">
        <f>IFERROR(__xludf.DUMMYFUNCTION("GOOGLETRANSLATE(D4726,""ja"",""es"")"),"Capicapi")</f>
        <v>Capicapi</v>
      </c>
    </row>
    <row r="4727">
      <c r="A4727" s="3">
        <v>137.0</v>
      </c>
      <c r="B4727" s="3" t="s">
        <v>8148</v>
      </c>
      <c r="C4727" s="3" t="s">
        <v>8149</v>
      </c>
      <c r="D4727" s="3" t="s">
        <v>8594</v>
      </c>
      <c r="E4727" s="3" t="s">
        <v>8595</v>
      </c>
      <c r="F4727" s="3" t="s">
        <v>8596</v>
      </c>
      <c r="G4727" s="3" t="str">
        <f>IFERROR(__xludf.DUMMYFUNCTION("GOOGLETRANSLATE(D4727,""ja"",""es"")"),"Mantis")</f>
        <v>Mantis</v>
      </c>
    </row>
    <row r="4728">
      <c r="A4728" s="3">
        <v>138.0</v>
      </c>
      <c r="B4728" s="3" t="s">
        <v>8148</v>
      </c>
      <c r="C4728" s="3" t="s">
        <v>8149</v>
      </c>
      <c r="D4728" s="3" t="s">
        <v>8597</v>
      </c>
      <c r="E4728" s="3" t="s">
        <v>1022</v>
      </c>
      <c r="F4728" s="3" t="s">
        <v>1023</v>
      </c>
      <c r="G4728" s="3" t="str">
        <f>IFERROR(__xludf.DUMMYFUNCTION("GOOGLETRANSLATE(D4728,""ja"",""es"")"),"Kaya")</f>
        <v>Kaya</v>
      </c>
    </row>
    <row r="4729">
      <c r="A4729" s="3">
        <v>139.0</v>
      </c>
      <c r="B4729" s="3" t="s">
        <v>8148</v>
      </c>
      <c r="C4729" s="3" t="s">
        <v>8149</v>
      </c>
      <c r="D4729" s="3" t="s">
        <v>8598</v>
      </c>
      <c r="E4729" s="3" t="s">
        <v>8219</v>
      </c>
      <c r="F4729" s="3" t="s">
        <v>8220</v>
      </c>
      <c r="G4729" s="3" t="str">
        <f>IFERROR(__xludf.DUMMYFUNCTION("GOOGLETRANSLATE(D4729,""ja"",""es"")"),"Kayakaya")</f>
        <v>Kayakaya</v>
      </c>
    </row>
    <row r="4730">
      <c r="A4730" s="3">
        <v>140.0</v>
      </c>
      <c r="B4730" s="3" t="s">
        <v>8148</v>
      </c>
      <c r="C4730" s="3" t="s">
        <v>8149</v>
      </c>
      <c r="D4730" s="3" t="s">
        <v>8599</v>
      </c>
      <c r="E4730" s="3" t="s">
        <v>8227</v>
      </c>
      <c r="F4730" s="3" t="s">
        <v>8228</v>
      </c>
      <c r="G4730" s="3" t="str">
        <f>IFERROR(__xludf.DUMMYFUNCTION("GOOGLETRANSLATE(D4730,""ja"",""es"")"),"Karakara")</f>
        <v>Karakara</v>
      </c>
    </row>
    <row r="4731">
      <c r="A4731" s="3">
        <v>141.0</v>
      </c>
      <c r="B4731" s="3" t="s">
        <v>8148</v>
      </c>
      <c r="C4731" s="3" t="s">
        <v>8149</v>
      </c>
      <c r="D4731" s="3" t="s">
        <v>8600</v>
      </c>
      <c r="E4731" s="3" t="s">
        <v>8601</v>
      </c>
      <c r="F4731" s="3" t="s">
        <v>8602</v>
      </c>
      <c r="G4731" s="3" t="str">
        <f>IFERROR(__xludf.DUMMYFUNCTION("GOOGLETRANSLATE(D4731,""ja"",""es"")"),"Kali")</f>
        <v>Kali</v>
      </c>
      <c r="H4731" s="3" t="s">
        <v>8603</v>
      </c>
      <c r="I4731" s="3" t="s">
        <v>7140</v>
      </c>
      <c r="J4731" s="3" t="s">
        <v>3750</v>
      </c>
      <c r="K4731" s="3" t="s">
        <v>7141</v>
      </c>
      <c r="L4731" s="3" t="s">
        <v>8604</v>
      </c>
      <c r="M4731" s="3" t="s">
        <v>8605</v>
      </c>
      <c r="N4731" s="3" t="s">
        <v>8606</v>
      </c>
    </row>
    <row r="4732">
      <c r="A4732" s="3">
        <v>142.0</v>
      </c>
      <c r="B4732" s="3" t="s">
        <v>8148</v>
      </c>
      <c r="C4732" s="3" t="s">
        <v>8149</v>
      </c>
      <c r="D4732" s="3" t="s">
        <v>8607</v>
      </c>
      <c r="E4732" s="3" t="s">
        <v>8251</v>
      </c>
      <c r="F4732" s="3" t="s">
        <v>8252</v>
      </c>
      <c r="G4732" s="3" t="str">
        <f>IFERROR(__xludf.DUMMYFUNCTION("GOOGLETRANSLATE(D4732,""ja"",""es"")"),"Crujiente")</f>
        <v>Crujiente</v>
      </c>
    </row>
    <row r="4733">
      <c r="A4733" s="3">
        <v>143.0</v>
      </c>
      <c r="B4733" s="3" t="s">
        <v>8148</v>
      </c>
      <c r="C4733" s="3" t="s">
        <v>8149</v>
      </c>
      <c r="D4733" s="3" t="s">
        <v>8608</v>
      </c>
      <c r="E4733" s="3" t="s">
        <v>8609</v>
      </c>
      <c r="F4733" s="3" t="s">
        <v>8610</v>
      </c>
      <c r="G4733" s="3" t="str">
        <f>IFERROR(__xludf.DUMMYFUNCTION("GOOGLETRANSLATE(D4733,""ja"",""es"")"),"Kitaki")</f>
        <v>Kitaki</v>
      </c>
    </row>
    <row r="4734">
      <c r="A4734" s="3">
        <v>144.0</v>
      </c>
      <c r="B4734" s="3" t="s">
        <v>8148</v>
      </c>
      <c r="C4734" s="3" t="s">
        <v>8149</v>
      </c>
      <c r="D4734" s="3" t="s">
        <v>8611</v>
      </c>
      <c r="E4734" s="3" t="s">
        <v>8612</v>
      </c>
      <c r="F4734" s="3" t="s">
        <v>8613</v>
      </c>
      <c r="G4734" s="3" t="str">
        <f>IFERROR(__xludf.DUMMYFUNCTION("GOOGLETRANSLATE(D4734,""ja"",""es"")"),"Kitara")</f>
        <v>Kitara</v>
      </c>
    </row>
    <row r="4735">
      <c r="A4735" s="3">
        <v>145.0</v>
      </c>
      <c r="B4735" s="3" t="s">
        <v>8148</v>
      </c>
      <c r="C4735" s="3" t="s">
        <v>8149</v>
      </c>
      <c r="D4735" s="3" t="s">
        <v>8614</v>
      </c>
      <c r="E4735" s="3" t="s">
        <v>8615</v>
      </c>
      <c r="F4735" s="3" t="s">
        <v>8616</v>
      </c>
      <c r="G4735" s="3" t="str">
        <f>IFERROR(__xludf.DUMMYFUNCTION("GOOGLETRANSLATE(D4735,""ja"",""es"")"),"Kinilla")</f>
        <v>Kinilla</v>
      </c>
    </row>
    <row r="4736">
      <c r="A4736" s="3">
        <v>146.0</v>
      </c>
      <c r="B4736" s="3" t="s">
        <v>8148</v>
      </c>
      <c r="C4736" s="3" t="s">
        <v>8149</v>
      </c>
      <c r="D4736" s="3" t="s">
        <v>8617</v>
      </c>
      <c r="E4736" s="3" t="s">
        <v>8257</v>
      </c>
      <c r="F4736" s="3" t="s">
        <v>8258</v>
      </c>
      <c r="G4736" s="3" t="str">
        <f>IFERROR(__xludf.DUMMYFUNCTION("GOOGLETRANSLATE(D4736,""ja"",""es"")"),"Brillantina")</f>
        <v>Brillantina</v>
      </c>
    </row>
    <row r="4737">
      <c r="A4737" s="3">
        <v>147.0</v>
      </c>
      <c r="B4737" s="3" t="s">
        <v>8148</v>
      </c>
      <c r="C4737" s="3" t="s">
        <v>8149</v>
      </c>
      <c r="D4737" s="3" t="s">
        <v>8618</v>
      </c>
      <c r="E4737" s="3" t="s">
        <v>8619</v>
      </c>
      <c r="F4737" s="3" t="s">
        <v>8620</v>
      </c>
      <c r="G4737" s="3" t="str">
        <f>IFERROR(__xludf.DUMMYFUNCTION("GOOGLETRANSLATE(D4737,""ja"",""es"")"),"Taladro")</f>
        <v>Taladro</v>
      </c>
    </row>
    <row r="4738">
      <c r="A4738" s="3">
        <v>148.0</v>
      </c>
      <c r="B4738" s="3" t="s">
        <v>8148</v>
      </c>
      <c r="C4738" s="3" t="s">
        <v>8149</v>
      </c>
      <c r="D4738" s="3" t="s">
        <v>8621</v>
      </c>
      <c r="E4738" s="3" t="s">
        <v>8278</v>
      </c>
      <c r="F4738" s="3" t="s">
        <v>8279</v>
      </c>
      <c r="G4738" s="3" t="str">
        <f>IFERROR(__xludf.DUMMYFUNCTION("GOOGLETRANSLATE(D4738,""ja"",""es"")"),"Filete")</f>
        <v>Filete</v>
      </c>
    </row>
    <row r="4739">
      <c r="A4739" s="3">
        <v>149.0</v>
      </c>
      <c r="B4739" s="3" t="s">
        <v>8148</v>
      </c>
      <c r="C4739" s="3" t="s">
        <v>8149</v>
      </c>
      <c r="D4739" s="3" t="s">
        <v>8622</v>
      </c>
      <c r="E4739" s="3" t="s">
        <v>8623</v>
      </c>
      <c r="F4739" s="3" t="s">
        <v>8624</v>
      </c>
      <c r="G4739" s="3" t="str">
        <f>IFERROR(__xludf.DUMMYFUNCTION("GOOGLETRANSLATE(D4739,""ja"",""es"")"),"Sáhara")</f>
        <v>Sáhara</v>
      </c>
      <c r="H4739" s="3" t="s">
        <v>8625</v>
      </c>
      <c r="I4739" s="3" t="s">
        <v>8626</v>
      </c>
      <c r="J4739" s="3" t="s">
        <v>8627</v>
      </c>
      <c r="K4739" s="3" t="s">
        <v>8628</v>
      </c>
    </row>
    <row r="4740">
      <c r="A4740" s="3">
        <v>150.0</v>
      </c>
      <c r="B4740" s="3" t="s">
        <v>8148</v>
      </c>
      <c r="C4740" s="3" t="s">
        <v>8149</v>
      </c>
      <c r="D4740" s="3" t="s">
        <v>8629</v>
      </c>
      <c r="E4740" s="3" t="s">
        <v>8630</v>
      </c>
      <c r="F4740" s="3" t="s">
        <v>8631</v>
      </c>
      <c r="G4740" s="3" t="str">
        <f>IFERROR(__xludf.DUMMYFUNCTION("GOOGLETRANSLATE(D4740,""ja"",""es"")"),"Safari")</f>
        <v>Safari</v>
      </c>
      <c r="H4740" s="3" t="s">
        <v>8632</v>
      </c>
      <c r="I4740" s="3" t="s">
        <v>8633</v>
      </c>
      <c r="J4740" s="3" t="s">
        <v>8634</v>
      </c>
    </row>
    <row r="4741">
      <c r="A4741" s="3">
        <v>151.0</v>
      </c>
      <c r="B4741" s="3" t="s">
        <v>8148</v>
      </c>
      <c r="C4741" s="3" t="s">
        <v>8149</v>
      </c>
      <c r="D4741" s="3" t="s">
        <v>8635</v>
      </c>
      <c r="E4741" s="3" t="s">
        <v>8636</v>
      </c>
      <c r="F4741" s="3" t="s">
        <v>8637</v>
      </c>
      <c r="G4741" s="3" t="str">
        <f>IFERROR(__xludf.DUMMYFUNCTION("GOOGLETRANSLATE(D4741,""ja"",""es"")"),"Resumen")</f>
        <v>Resumen</v>
      </c>
      <c r="H4741" s="3" t="s">
        <v>8638</v>
      </c>
      <c r="I4741" s="3" t="s">
        <v>8639</v>
      </c>
      <c r="J4741" s="3" t="s">
        <v>8640</v>
      </c>
      <c r="K4741" s="3" t="s">
        <v>8641</v>
      </c>
      <c r="L4741" s="3" t="s">
        <v>1856</v>
      </c>
      <c r="M4741" s="3" t="s">
        <v>8642</v>
      </c>
    </row>
    <row r="4742">
      <c r="A4742" s="3">
        <v>152.0</v>
      </c>
      <c r="B4742" s="3" t="s">
        <v>8148</v>
      </c>
      <c r="C4742" s="3" t="s">
        <v>8149</v>
      </c>
      <c r="D4742" s="3" t="s">
        <v>8643</v>
      </c>
      <c r="E4742" s="3" t="s">
        <v>8644</v>
      </c>
      <c r="F4742" s="3" t="s">
        <v>8645</v>
      </c>
      <c r="G4742" s="3" t="str">
        <f>IFERROR(__xludf.DUMMYFUNCTION("GOOGLETRANSLATE(D4742,""ja"",""es"")"),"Sara")</f>
        <v>Sara</v>
      </c>
    </row>
    <row r="4743">
      <c r="A4743" s="3">
        <v>153.0</v>
      </c>
      <c r="B4743" s="3" t="s">
        <v>8148</v>
      </c>
      <c r="C4743" s="3" t="s">
        <v>8149</v>
      </c>
      <c r="D4743" s="3" t="s">
        <v>8646</v>
      </c>
      <c r="E4743" s="3" t="s">
        <v>8647</v>
      </c>
      <c r="F4743" s="3" t="s">
        <v>8648</v>
      </c>
      <c r="G4743" s="3" t="str">
        <f>IFERROR(__xludf.DUMMYFUNCTION("GOOGLETRANSLATE(D4743,""ja"",""es"")"),"Sarasahata")</f>
        <v>Sarasahata</v>
      </c>
    </row>
    <row r="4744">
      <c r="A4744" s="3">
        <v>154.0</v>
      </c>
      <c r="B4744" s="3" t="s">
        <v>8148</v>
      </c>
      <c r="C4744" s="3" t="s">
        <v>8149</v>
      </c>
      <c r="D4744" s="3" t="s">
        <v>8649</v>
      </c>
      <c r="E4744" s="3" t="s">
        <v>8650</v>
      </c>
      <c r="F4744" s="3" t="s">
        <v>8651</v>
      </c>
      <c r="G4744" s="3" t="str">
        <f>IFERROR(__xludf.DUMMYFUNCTION("GOOGLETRANSLATE(D4744,""ja"",""es"")"),"salami")</f>
        <v>salami</v>
      </c>
      <c r="H4744" s="3" t="s">
        <v>5590</v>
      </c>
    </row>
    <row r="4745">
      <c r="A4745" s="3">
        <v>155.0</v>
      </c>
      <c r="B4745" s="3" t="s">
        <v>8148</v>
      </c>
      <c r="C4745" s="3" t="s">
        <v>8149</v>
      </c>
      <c r="D4745" s="3" t="s">
        <v>8652</v>
      </c>
      <c r="E4745" s="3" t="s">
        <v>8653</v>
      </c>
      <c r="F4745" s="3" t="s">
        <v>8654</v>
      </c>
      <c r="G4745" s="3" t="str">
        <f>IFERROR(__xludf.DUMMYFUNCTION("GOOGLETRANSLATE(D4745,""ja"",""es"")"),"Takana")</f>
        <v>Takana</v>
      </c>
      <c r="H4745" s="3" t="s">
        <v>8655</v>
      </c>
    </row>
    <row r="4746">
      <c r="A4746" s="3">
        <v>156.0</v>
      </c>
      <c r="B4746" s="3" t="s">
        <v>8148</v>
      </c>
      <c r="C4746" s="3" t="s">
        <v>8149</v>
      </c>
      <c r="D4746" s="3" t="s">
        <v>8656</v>
      </c>
      <c r="E4746" s="3" t="s">
        <v>8657</v>
      </c>
      <c r="F4746" s="3" t="s">
        <v>8658</v>
      </c>
      <c r="G4746" s="3" t="str">
        <f>IFERROR(__xludf.DUMMYFUNCTION("GOOGLETRANSLATE(D4746,""ja"",""es"")"),"Takahaya")</f>
        <v>Takahaya</v>
      </c>
    </row>
    <row r="4747">
      <c r="A4747" s="3">
        <v>157.0</v>
      </c>
      <c r="B4747" s="3" t="s">
        <v>8148</v>
      </c>
      <c r="C4747" s="3" t="s">
        <v>8149</v>
      </c>
      <c r="D4747" s="3" t="s">
        <v>8659</v>
      </c>
      <c r="E4747" s="3" t="s">
        <v>8303</v>
      </c>
      <c r="F4747" s="3" t="s">
        <v>8304</v>
      </c>
      <c r="G4747" s="3" t="str">
        <f>IFERROR(__xludf.DUMMYFUNCTION("GOOGLETRANSLATE(D4747,""ja"",""es"")"),"Escuela de halcón")</f>
        <v>Escuela de halcón</v>
      </c>
      <c r="H4747" s="3" t="s">
        <v>8660</v>
      </c>
      <c r="I4747" s="3" t="s">
        <v>8661</v>
      </c>
    </row>
    <row r="4748">
      <c r="A4748" s="3">
        <v>158.0</v>
      </c>
      <c r="B4748" s="3" t="s">
        <v>8148</v>
      </c>
      <c r="C4748" s="3" t="s">
        <v>8149</v>
      </c>
      <c r="D4748" s="3" t="s">
        <v>8662</v>
      </c>
      <c r="E4748" s="3" t="s">
        <v>8663</v>
      </c>
      <c r="F4748" s="3" t="s">
        <v>8664</v>
      </c>
      <c r="G4748" s="3" t="str">
        <f>IFERROR(__xludf.DUMMYFUNCTION("GOOGLETRANSLATE(D4748,""ja"",""es"")"),"Tataki")</f>
        <v>Tataki</v>
      </c>
    </row>
    <row r="4749">
      <c r="A4749" s="3">
        <v>159.0</v>
      </c>
      <c r="B4749" s="3" t="s">
        <v>8148</v>
      </c>
      <c r="C4749" s="3" t="s">
        <v>8149</v>
      </c>
      <c r="D4749" s="3" t="s">
        <v>8665</v>
      </c>
      <c r="E4749" s="3" t="s">
        <v>6380</v>
      </c>
      <c r="F4749" s="3" t="s">
        <v>6379</v>
      </c>
      <c r="G4749" s="3" t="str">
        <f>IFERROR(__xludf.DUMMYFUNCTION("GOOGLETRANSLATE(D4749,""ja"",""es"")"),"Cinta")</f>
        <v>Cinta</v>
      </c>
    </row>
    <row r="4750">
      <c r="A4750" s="3">
        <v>160.0</v>
      </c>
      <c r="B4750" s="3" t="s">
        <v>8148</v>
      </c>
      <c r="C4750" s="3" t="s">
        <v>8149</v>
      </c>
      <c r="D4750" s="3" t="s">
        <v>8666</v>
      </c>
      <c r="E4750" s="3" t="s">
        <v>8306</v>
      </c>
      <c r="F4750" s="3" t="s">
        <v>8307</v>
      </c>
      <c r="G4750" s="3" t="str">
        <f>IFERROR(__xludf.DUMMYFUNCTION("GOOGLETRANSLATE(D4750,""ja"",""es"")"),"Bacalao")</f>
        <v>Bacalao</v>
      </c>
      <c r="H4750" s="3" t="s">
        <v>8667</v>
      </c>
      <c r="I4750" s="3" t="s">
        <v>8668</v>
      </c>
      <c r="J4750" s="3" t="s">
        <v>8667</v>
      </c>
      <c r="K4750" s="3" t="s">
        <v>8668</v>
      </c>
    </row>
    <row r="4751">
      <c r="A4751" s="3">
        <v>161.0</v>
      </c>
      <c r="B4751" s="3" t="s">
        <v>8148</v>
      </c>
      <c r="C4751" s="3" t="s">
        <v>8149</v>
      </c>
      <c r="D4751" s="3" t="s">
        <v>8669</v>
      </c>
      <c r="E4751" s="3" t="s">
        <v>4188</v>
      </c>
      <c r="F4751" s="3" t="s">
        <v>4187</v>
      </c>
      <c r="G4751" s="3" t="str">
        <f>IFERROR(__xludf.DUMMYFUNCTION("GOOGLETRANSLATE(D4751,""ja"",""es"")"),"DI")</f>
        <v>DI</v>
      </c>
    </row>
    <row r="4752">
      <c r="A4752" s="3">
        <v>162.0</v>
      </c>
      <c r="B4752" s="3" t="s">
        <v>8148</v>
      </c>
      <c r="C4752" s="3" t="s">
        <v>8149</v>
      </c>
      <c r="D4752" s="3" t="s">
        <v>8670</v>
      </c>
      <c r="E4752" s="3" t="s">
        <v>8329</v>
      </c>
      <c r="F4752" s="3" t="s">
        <v>8330</v>
      </c>
      <c r="G4752" s="3" t="str">
        <f>IFERROR(__xludf.DUMMYFUNCTION("GOOGLETRANSLATE(D4752,""ja"",""es"")"),"Nitanita")</f>
        <v>Nitanita</v>
      </c>
    </row>
    <row r="4753">
      <c r="A4753" s="3">
        <v>163.0</v>
      </c>
      <c r="B4753" s="3" t="s">
        <v>8148</v>
      </c>
      <c r="C4753" s="3" t="s">
        <v>8149</v>
      </c>
      <c r="D4753" s="3" t="s">
        <v>8671</v>
      </c>
      <c r="E4753" s="3" t="s">
        <v>8333</v>
      </c>
      <c r="F4753" s="3" t="s">
        <v>8334</v>
      </c>
      <c r="G4753" s="3" t="str">
        <f>IFERROR(__xludf.DUMMYFUNCTION("GOOGLETRANSLATE(D4753,""ja"",""es"")"),"Nitari")</f>
        <v>Nitari</v>
      </c>
    </row>
    <row r="4754">
      <c r="A4754" s="3">
        <v>164.0</v>
      </c>
      <c r="B4754" s="3" t="s">
        <v>8148</v>
      </c>
      <c r="C4754" s="3" t="s">
        <v>8149</v>
      </c>
      <c r="D4754" s="3" t="s">
        <v>8672</v>
      </c>
      <c r="E4754" s="3" t="s">
        <v>8339</v>
      </c>
      <c r="F4754" s="3" t="s">
        <v>8340</v>
      </c>
      <c r="G4754" s="3" t="str">
        <f>IFERROR(__xludf.DUMMYFUNCTION("GOOGLETRANSLATE(D4754,""ja"",""es"")"),"Sonrisa")</f>
        <v>Sonrisa</v>
      </c>
      <c r="H4754" s="3" t="s">
        <v>8341</v>
      </c>
      <c r="I4754" s="3" t="s">
        <v>8342</v>
      </c>
      <c r="J4754" s="3" t="s">
        <v>8343</v>
      </c>
      <c r="K4754" s="3" t="s">
        <v>8344</v>
      </c>
    </row>
    <row r="4755">
      <c r="A4755" s="3">
        <v>165.0</v>
      </c>
      <c r="B4755" s="3" t="s">
        <v>8148</v>
      </c>
      <c r="C4755" s="3" t="s">
        <v>8149</v>
      </c>
      <c r="D4755" s="3" t="s">
        <v>8673</v>
      </c>
      <c r="E4755" s="3" t="s">
        <v>8346</v>
      </c>
      <c r="F4755" s="3" t="s">
        <v>8347</v>
      </c>
      <c r="G4755" s="3" t="str">
        <f>IFERROR(__xludf.DUMMYFUNCTION("GOOGLETRANSLATE(D4755,""ja"",""es"")"),"Sonriente")</f>
        <v>Sonriente</v>
      </c>
    </row>
    <row r="4756">
      <c r="A4756" s="3">
        <v>166.0</v>
      </c>
      <c r="B4756" s="3" t="s">
        <v>8148</v>
      </c>
      <c r="C4756" s="3" t="s">
        <v>8149</v>
      </c>
      <c r="D4756" s="3" t="s">
        <v>8674</v>
      </c>
      <c r="E4756" s="3" t="s">
        <v>8675</v>
      </c>
      <c r="F4756" s="3" t="s">
        <v>8676</v>
      </c>
      <c r="G4756" s="3" t="str">
        <f>IFERROR(__xludf.DUMMYFUNCTION("GOOGLETRANSLATE(D4756,""ja"",""es"")"),"Puerro")</f>
        <v>Puerro</v>
      </c>
    </row>
    <row r="4757">
      <c r="A4757" s="3">
        <v>167.0</v>
      </c>
      <c r="B4757" s="3" t="s">
        <v>8148</v>
      </c>
      <c r="C4757" s="3" t="s">
        <v>8149</v>
      </c>
      <c r="D4757" s="3" t="s">
        <v>8677</v>
      </c>
      <c r="E4757" s="3" t="s">
        <v>8678</v>
      </c>
      <c r="F4757" s="3" t="s">
        <v>8679</v>
      </c>
      <c r="G4757" s="3" t="str">
        <f>IFERROR(__xludf.DUMMYFUNCTION("GOOGLETRANSLATE(D4757,""ja"",""es"")"),"Reporte")</f>
        <v>Reporte</v>
      </c>
    </row>
    <row r="4758">
      <c r="A4758" s="3">
        <v>168.0</v>
      </c>
      <c r="B4758" s="3" t="s">
        <v>8148</v>
      </c>
      <c r="C4758" s="3" t="s">
        <v>8149</v>
      </c>
      <c r="D4758" s="3" t="s">
        <v>8680</v>
      </c>
      <c r="E4758" s="3" t="s">
        <v>8349</v>
      </c>
      <c r="F4758" s="3" t="s">
        <v>93</v>
      </c>
      <c r="G4758" s="3" t="str">
        <f>IFERROR(__xludf.DUMMYFUNCTION("GOOGLETRANSLATE(D4758,""ja"",""es"")"),"C")</f>
        <v>C</v>
      </c>
    </row>
    <row r="4759">
      <c r="A4759" s="3">
        <v>169.0</v>
      </c>
      <c r="B4759" s="3" t="s">
        <v>8148</v>
      </c>
      <c r="C4759" s="3" t="s">
        <v>8149</v>
      </c>
      <c r="D4759" s="3" t="s">
        <v>8681</v>
      </c>
      <c r="E4759" s="3" t="s">
        <v>8682</v>
      </c>
      <c r="F4759" s="3" t="s">
        <v>8683</v>
      </c>
      <c r="G4759" s="3" t="str">
        <f>IFERROR(__xludf.DUMMYFUNCTION("GOOGLETRANSLATE(D4759,""ja"",""es"")"),"Tijeras")</f>
        <v>Tijeras</v>
      </c>
    </row>
    <row r="4760">
      <c r="A4760" s="3">
        <v>170.0</v>
      </c>
      <c r="B4760" s="3" t="s">
        <v>8148</v>
      </c>
      <c r="C4760" s="3" t="s">
        <v>8149</v>
      </c>
      <c r="D4760" s="3" t="s">
        <v>8684</v>
      </c>
      <c r="E4760" s="3" t="s">
        <v>8359</v>
      </c>
      <c r="F4760" s="3" t="s">
        <v>8360</v>
      </c>
      <c r="G4760" s="3" t="str">
        <f>IFERROR(__xludf.DUMMYFUNCTION("GOOGLETRANSLATE(D4760,""ja"",""es"")"),"Hatahata")</f>
        <v>Hatahata</v>
      </c>
    </row>
    <row r="4761">
      <c r="A4761" s="3">
        <v>171.0</v>
      </c>
      <c r="B4761" s="3" t="s">
        <v>8148</v>
      </c>
      <c r="C4761" s="3" t="s">
        <v>8149</v>
      </c>
      <c r="D4761" s="3" t="s">
        <v>8685</v>
      </c>
      <c r="E4761" s="3" t="s">
        <v>8370</v>
      </c>
      <c r="F4761" s="3" t="s">
        <v>8371</v>
      </c>
      <c r="G4761" s="3" t="str">
        <f>IFERROR(__xludf.DUMMYFUNCTION("GOOGLETRANSLATE(D4761,""ja"",""es"")"),"jajaja")</f>
        <v>jajaja</v>
      </c>
    </row>
    <row r="4762">
      <c r="A4762" s="3">
        <v>172.0</v>
      </c>
      <c r="B4762" s="3" t="s">
        <v>8148</v>
      </c>
      <c r="C4762" s="3" t="s">
        <v>8149</v>
      </c>
      <c r="D4762" s="3" t="s">
        <v>8686</v>
      </c>
      <c r="E4762" s="3" t="s">
        <v>8687</v>
      </c>
      <c r="F4762" s="3" t="s">
        <v>8688</v>
      </c>
      <c r="G4762" s="3" t="str">
        <f>IFERROR(__xludf.DUMMYFUNCTION("GOOGLETRANSLATE(D4762,""ja"",""es"")"),"Gancho")</f>
        <v>Gancho</v>
      </c>
    </row>
    <row r="4763">
      <c r="A4763" s="3">
        <v>173.0</v>
      </c>
      <c r="B4763" s="3" t="s">
        <v>8148</v>
      </c>
      <c r="C4763" s="3" t="s">
        <v>8149</v>
      </c>
      <c r="D4763" s="3" t="s">
        <v>8689</v>
      </c>
      <c r="E4763" s="3" t="s">
        <v>8690</v>
      </c>
      <c r="F4763" s="3" t="s">
        <v>8691</v>
      </c>
      <c r="G4763" s="3" t="str">
        <f>IFERROR(__xludf.DUMMYFUNCTION("GOOGLETRANSLATE(D4763,""ja"",""es"")"),"Hamana")</f>
        <v>Hamana</v>
      </c>
    </row>
    <row r="4764">
      <c r="A4764" s="3">
        <v>174.0</v>
      </c>
      <c r="B4764" s="3" t="s">
        <v>8148</v>
      </c>
      <c r="C4764" s="3" t="s">
        <v>8149</v>
      </c>
      <c r="D4764" s="3" t="s">
        <v>8692</v>
      </c>
      <c r="E4764" s="3" t="s">
        <v>8693</v>
      </c>
      <c r="F4764" s="3" t="s">
        <v>8694</v>
      </c>
      <c r="G4764" s="3" t="str">
        <f>IFERROR(__xludf.DUMMYFUNCTION("GOOGLETRANSLATE(D4764,""ja"",""es"")"),"Martillo")</f>
        <v>Martillo</v>
      </c>
    </row>
    <row r="4765">
      <c r="A4765" s="3">
        <v>175.0</v>
      </c>
      <c r="B4765" s="3" t="s">
        <v>8148</v>
      </c>
      <c r="C4765" s="3" t="s">
        <v>8149</v>
      </c>
      <c r="D4765" s="3" t="s">
        <v>8695</v>
      </c>
      <c r="E4765" s="3" t="s">
        <v>8696</v>
      </c>
      <c r="F4765" s="3" t="s">
        <v>8697</v>
      </c>
      <c r="G4765" s="3" t="str">
        <f>IFERROR(__xludf.DUMMYFUNCTION("GOOGLETRANSLATE(D4765,""ja"",""es"")"),"Haraka")</f>
        <v>Haraka</v>
      </c>
    </row>
    <row r="4766">
      <c r="A4766" s="3">
        <v>176.0</v>
      </c>
      <c r="B4766" s="3" t="s">
        <v>8148</v>
      </c>
      <c r="C4766" s="3" t="s">
        <v>8149</v>
      </c>
      <c r="D4766" s="3" t="s">
        <v>8698</v>
      </c>
      <c r="E4766" s="3" t="s">
        <v>8373</v>
      </c>
      <c r="F4766" s="3" t="s">
        <v>8374</v>
      </c>
      <c r="G4766" s="3" t="str">
        <f>IFERROR(__xludf.DUMMYFUNCTION("GOOGLETRANSLATE(D4766,""ja"",""es"")"),"emocionante")</f>
        <v>emocionante</v>
      </c>
    </row>
    <row r="4767">
      <c r="A4767" s="3">
        <v>177.0</v>
      </c>
      <c r="B4767" s="3" t="s">
        <v>8148</v>
      </c>
      <c r="C4767" s="3" t="s">
        <v>8149</v>
      </c>
      <c r="D4767" s="3" t="s">
        <v>8699</v>
      </c>
      <c r="E4767" s="3" t="s">
        <v>8700</v>
      </c>
      <c r="F4767" s="3" t="s">
        <v>8701</v>
      </c>
      <c r="G4767" s="3" t="str">
        <f>IFERROR(__xludf.DUMMYFUNCTION("GOOGLETRANSLATE(D4767,""ja"",""es"")"),"Harami")</f>
        <v>Harami</v>
      </c>
    </row>
    <row r="4768">
      <c r="A4768" s="3">
        <v>178.0</v>
      </c>
      <c r="B4768" s="3" t="s">
        <v>8148</v>
      </c>
      <c r="C4768" s="3" t="s">
        <v>8149</v>
      </c>
      <c r="D4768" s="3" t="s">
        <v>8702</v>
      </c>
      <c r="E4768" s="3" t="s">
        <v>8382</v>
      </c>
      <c r="F4768" s="3" t="s">
        <v>8383</v>
      </c>
      <c r="G4768" s="3" t="str">
        <f>IFERROR(__xludf.DUMMYFUNCTION("GOOGLETRANSLATE(D4768,""ja"",""es"")"),"Crujiente")</f>
        <v>Crujiente</v>
      </c>
    </row>
    <row r="4769">
      <c r="A4769" s="3">
        <v>179.0</v>
      </c>
      <c r="B4769" s="3" t="s">
        <v>8148</v>
      </c>
      <c r="C4769" s="3" t="s">
        <v>8149</v>
      </c>
      <c r="D4769" s="3" t="s">
        <v>8703</v>
      </c>
      <c r="E4769" s="3" t="s">
        <v>8704</v>
      </c>
      <c r="F4769" s="3" t="s">
        <v>8705</v>
      </c>
      <c r="G4769" s="3" t="str">
        <f>IFERROR(__xludf.DUMMYFUNCTION("GOOGLETRANSLATE(D4769,""ja"",""es"")"),"Harifa")</f>
        <v>Harifa</v>
      </c>
    </row>
    <row r="4770">
      <c r="A4770" s="3">
        <v>180.0</v>
      </c>
      <c r="B4770" s="3" t="s">
        <v>8148</v>
      </c>
      <c r="C4770" s="3" t="s">
        <v>8149</v>
      </c>
      <c r="D4770" s="3" t="s">
        <v>8706</v>
      </c>
      <c r="E4770" s="3" t="s">
        <v>4350</v>
      </c>
      <c r="F4770" s="3" t="s">
        <v>4351</v>
      </c>
      <c r="G4770" s="3" t="str">
        <f>IFERROR(__xludf.DUMMYFUNCTION("GOOGLETRANSLATE(D4770,""ja"",""es"")"),"Arrozal")</f>
        <v>Arrozal</v>
      </c>
    </row>
    <row r="4771">
      <c r="A4771" s="3">
        <v>181.0</v>
      </c>
      <c r="B4771" s="3" t="s">
        <v>8148</v>
      </c>
      <c r="C4771" s="3" t="s">
        <v>8149</v>
      </c>
      <c r="D4771" s="3" t="s">
        <v>8707</v>
      </c>
      <c r="E4771" s="3" t="s">
        <v>4668</v>
      </c>
      <c r="F4771" s="3" t="s">
        <v>4669</v>
      </c>
      <c r="G4771" s="3" t="str">
        <f>IFERROR(__xludf.DUMMYFUNCTION("GOOGLETRANSLATE(D4771,""ja"",""es"")"),"engañar")</f>
        <v>engañar</v>
      </c>
    </row>
    <row r="4772">
      <c r="A4772" s="3">
        <v>182.0</v>
      </c>
      <c r="B4772" s="3" t="s">
        <v>8148</v>
      </c>
      <c r="C4772" s="3" t="s">
        <v>8149</v>
      </c>
      <c r="D4772" s="3" t="s">
        <v>8708</v>
      </c>
      <c r="E4772" s="3" t="s">
        <v>8386</v>
      </c>
      <c r="F4772" s="3" t="s">
        <v>8387</v>
      </c>
      <c r="G4772" s="3" t="str">
        <f>IFERROR(__xludf.DUMMYFUNCTION("GOOGLETRANSLATE(D4772,""ja"",""es"")"),"Pakapaka")</f>
        <v>Pakapaka</v>
      </c>
    </row>
    <row r="4773">
      <c r="A4773" s="3">
        <v>183.0</v>
      </c>
      <c r="B4773" s="3" t="s">
        <v>8148</v>
      </c>
      <c r="C4773" s="3" t="s">
        <v>8149</v>
      </c>
      <c r="D4773" s="3" t="s">
        <v>8709</v>
      </c>
      <c r="E4773" s="3" t="s">
        <v>8710</v>
      </c>
      <c r="F4773" s="3" t="s">
        <v>8711</v>
      </c>
      <c r="G4773" s="3" t="str">
        <f>IFERROR(__xludf.DUMMYFUNCTION("GOOGLETRANSLATE(D4773,""ja"",""es"")"),"Pasapasa")</f>
        <v>Pasapasa</v>
      </c>
    </row>
    <row r="4774">
      <c r="A4774" s="3">
        <v>184.0</v>
      </c>
      <c r="B4774" s="3" t="s">
        <v>8148</v>
      </c>
      <c r="C4774" s="3" t="s">
        <v>8149</v>
      </c>
      <c r="D4774" s="3" t="s">
        <v>8712</v>
      </c>
      <c r="E4774" s="3" t="s">
        <v>8713</v>
      </c>
      <c r="F4774" s="3" t="s">
        <v>8714</v>
      </c>
      <c r="G4774" s="3" t="str">
        <f>IFERROR(__xludf.DUMMYFUNCTION("GOOGLETRANSLATE(D4774,""ja"",""es"")"),"Panarama")</f>
        <v>Panarama</v>
      </c>
    </row>
    <row r="4775">
      <c r="A4775" s="3">
        <v>185.0</v>
      </c>
      <c r="B4775" s="3" t="s">
        <v>8148</v>
      </c>
      <c r="C4775" s="3" t="s">
        <v>8149</v>
      </c>
      <c r="D4775" s="3" t="s">
        <v>8715</v>
      </c>
      <c r="E4775" s="3" t="s">
        <v>4573</v>
      </c>
      <c r="F4775" s="3" t="s">
        <v>4572</v>
      </c>
      <c r="G4775" s="3" t="str">
        <f>IFERROR(__xludf.DUMMYFUNCTION("GOOGLETRANSLATE(D4775,""ja"",""es"")"),"Papá")</f>
        <v>Papá</v>
      </c>
      <c r="H4775" s="3" t="s">
        <v>4574</v>
      </c>
      <c r="I4775" s="3" t="s">
        <v>4575</v>
      </c>
      <c r="J4775" s="3" t="s">
        <v>4576</v>
      </c>
      <c r="K4775" s="3" t="s">
        <v>4351</v>
      </c>
      <c r="L4775" s="3" t="s">
        <v>4572</v>
      </c>
      <c r="M4775" s="3" t="s">
        <v>4577</v>
      </c>
      <c r="N4775" s="3" t="s">
        <v>4578</v>
      </c>
    </row>
    <row r="4776">
      <c r="A4776" s="3">
        <v>186.0</v>
      </c>
      <c r="B4776" s="3" t="s">
        <v>8148</v>
      </c>
      <c r="C4776" s="3" t="s">
        <v>8149</v>
      </c>
      <c r="D4776" s="3" t="s">
        <v>8716</v>
      </c>
      <c r="E4776" s="3" t="s">
        <v>8717</v>
      </c>
      <c r="F4776" s="3" t="s">
        <v>8718</v>
      </c>
      <c r="G4776" s="3" t="str">
        <f>IFERROR(__xludf.DUMMYFUNCTION("GOOGLETRANSLATE(D4776,""ja"",""es"")"),"Paraca")</f>
        <v>Paraca</v>
      </c>
      <c r="H4776" s="3" t="s">
        <v>8718</v>
      </c>
      <c r="I4776" s="3" t="s">
        <v>8719</v>
      </c>
      <c r="J4776" s="3" t="s">
        <v>8718</v>
      </c>
    </row>
    <row r="4777">
      <c r="A4777" s="3">
        <v>187.0</v>
      </c>
      <c r="B4777" s="3" t="s">
        <v>8148</v>
      </c>
      <c r="C4777" s="3" t="s">
        <v>8149</v>
      </c>
      <c r="D4777" s="3" t="s">
        <v>8720</v>
      </c>
      <c r="E4777" s="3" t="s">
        <v>8396</v>
      </c>
      <c r="F4777" s="3" t="s">
        <v>8397</v>
      </c>
      <c r="G4777" s="3" t="str">
        <f>IFERROR(__xludf.DUMMYFUNCTION("GOOGLETRANSLATE(D4777,""ja"",""es"")"),"Aplastante")</f>
        <v>Aplastante</v>
      </c>
    </row>
    <row r="4778">
      <c r="A4778" s="3">
        <v>188.0</v>
      </c>
      <c r="B4778" s="3" t="s">
        <v>8148</v>
      </c>
      <c r="C4778" s="3" t="s">
        <v>8149</v>
      </c>
      <c r="D4778" s="3" t="s">
        <v>8721</v>
      </c>
      <c r="E4778" s="3" t="s">
        <v>8403</v>
      </c>
      <c r="F4778" s="3" t="s">
        <v>8404</v>
      </c>
      <c r="G4778" s="3" t="str">
        <f>IFERROR(__xludf.DUMMYFUNCTION("GOOGLETRANSLATE(D4778,""ja"",""es"")"),"Crujiente")</f>
        <v>Crujiente</v>
      </c>
    </row>
    <row r="4779">
      <c r="A4779" s="3">
        <v>189.0</v>
      </c>
      <c r="B4779" s="3" t="s">
        <v>8148</v>
      </c>
      <c r="C4779" s="3" t="s">
        <v>8149</v>
      </c>
      <c r="D4779" s="3" t="s">
        <v>8722</v>
      </c>
      <c r="E4779" s="3" t="s">
        <v>7693</v>
      </c>
      <c r="F4779" s="3" t="s">
        <v>5138</v>
      </c>
      <c r="G4779" s="3" t="str">
        <f>IFERROR(__xludf.DUMMYFUNCTION("GOOGLETRANSLATE(D4779,""ja"",""es"")"),"Foto")</f>
        <v>Foto</v>
      </c>
      <c r="H4779" s="3" t="s">
        <v>4975</v>
      </c>
      <c r="I4779" s="3" t="s">
        <v>4976</v>
      </c>
      <c r="J4779" s="3" t="s">
        <v>8723</v>
      </c>
      <c r="K4779" s="3" t="s">
        <v>8724</v>
      </c>
      <c r="L4779" s="3" t="s">
        <v>8725</v>
      </c>
      <c r="M4779" s="3" t="s">
        <v>8726</v>
      </c>
      <c r="N4779" s="3" t="s">
        <v>8727</v>
      </c>
    </row>
    <row r="4780">
      <c r="A4780" s="3">
        <v>190.0</v>
      </c>
      <c r="B4780" s="3" t="s">
        <v>8148</v>
      </c>
      <c r="C4780" s="3" t="s">
        <v>8149</v>
      </c>
      <c r="D4780" s="3" t="s">
        <v>8728</v>
      </c>
      <c r="E4780" s="3" t="s">
        <v>8415</v>
      </c>
      <c r="F4780" s="3" t="s">
        <v>8416</v>
      </c>
      <c r="G4780" s="3" t="str">
        <f>IFERROR(__xludf.DUMMYFUNCTION("GOOGLETRANSLATE(D4780,""ja"",""es"")"),"Tímido")</f>
        <v>Tímido</v>
      </c>
    </row>
    <row r="4781">
      <c r="A4781" s="3">
        <v>191.0</v>
      </c>
      <c r="B4781" s="3" t="s">
        <v>8148</v>
      </c>
      <c r="C4781" s="3" t="s">
        <v>8149</v>
      </c>
      <c r="D4781" s="3" t="s">
        <v>8729</v>
      </c>
      <c r="E4781" s="3" t="s">
        <v>8730</v>
      </c>
      <c r="F4781" s="3" t="s">
        <v>8731</v>
      </c>
      <c r="G4781" s="3" t="str">
        <f>IFERROR(__xludf.DUMMYFUNCTION("GOOGLETRANSLATE(D4781,""ja"",""es"")"),"Pikata")</f>
        <v>Pikata</v>
      </c>
    </row>
    <row r="4782">
      <c r="A4782" s="3">
        <v>192.0</v>
      </c>
      <c r="B4782" s="3" t="s">
        <v>8148</v>
      </c>
      <c r="C4782" s="3" t="s">
        <v>8149</v>
      </c>
      <c r="D4782" s="3" t="s">
        <v>8732</v>
      </c>
      <c r="E4782" s="3" t="s">
        <v>7707</v>
      </c>
      <c r="F4782" s="3" t="s">
        <v>7706</v>
      </c>
      <c r="G4782" s="3" t="str">
        <f>IFERROR(__xludf.DUMMYFUNCTION("GOOGLETRANSLATE(D4782,""ja"",""es"")"),"Agave")</f>
        <v>Agave</v>
      </c>
      <c r="H4782" s="3" t="s">
        <v>7706</v>
      </c>
      <c r="I4782" s="3" t="s">
        <v>7708</v>
      </c>
    </row>
    <row r="4783">
      <c r="A4783" s="3">
        <v>193.0</v>
      </c>
      <c r="B4783" s="3" t="s">
        <v>8148</v>
      </c>
      <c r="C4783" s="3" t="s">
        <v>8149</v>
      </c>
      <c r="D4783" s="3" t="s">
        <v>8733</v>
      </c>
      <c r="E4783" s="3" t="s">
        <v>7681</v>
      </c>
      <c r="F4783" s="3" t="s">
        <v>5098</v>
      </c>
      <c r="G4783" s="3" t="str">
        <f>IFERROR(__xludf.DUMMYFUNCTION("GOOGLETRANSLATE(D4783,""ja"",""es"")"),"Pipa")</f>
        <v>Pipa</v>
      </c>
      <c r="H4783" s="3" t="s">
        <v>7682</v>
      </c>
      <c r="I4783" s="3" t="s">
        <v>7683</v>
      </c>
    </row>
    <row r="4784">
      <c r="A4784" s="3">
        <v>194.0</v>
      </c>
      <c r="B4784" s="3" t="s">
        <v>8148</v>
      </c>
      <c r="C4784" s="3" t="s">
        <v>8149</v>
      </c>
      <c r="D4784" s="3" t="s">
        <v>8734</v>
      </c>
      <c r="E4784" s="3" t="s">
        <v>8735</v>
      </c>
      <c r="F4784" s="3" t="s">
        <v>8736</v>
      </c>
      <c r="G4784" s="3" t="str">
        <f>IFERROR(__xludf.DUMMYFUNCTION("GOOGLETRANSLATE(D4784,""ja"",""es"")"),"Familia Pipipipa")</f>
        <v>Familia Pipipipa</v>
      </c>
      <c r="H4784" s="3" t="s">
        <v>8737</v>
      </c>
      <c r="I4784" s="3" t="s">
        <v>8738</v>
      </c>
    </row>
    <row r="4785">
      <c r="A4785" s="3">
        <v>195.0</v>
      </c>
      <c r="B4785" s="3" t="s">
        <v>8148</v>
      </c>
      <c r="C4785" s="3" t="s">
        <v>8149</v>
      </c>
      <c r="D4785" s="3" t="s">
        <v>8739</v>
      </c>
      <c r="E4785" s="3" t="s">
        <v>8426</v>
      </c>
      <c r="F4785" s="3" t="s">
        <v>8427</v>
      </c>
      <c r="G4785" s="3" t="str">
        <f>IFERROR(__xludf.DUMMYFUNCTION("GOOGLETRANSLATE(D4785,""ja"",""es"")"),"Almohada")</f>
        <v>Almohada</v>
      </c>
    </row>
    <row r="4786">
      <c r="A4786" s="3">
        <v>196.0</v>
      </c>
      <c r="B4786" s="3" t="s">
        <v>8148</v>
      </c>
      <c r="C4786" s="3" t="s">
        <v>8149</v>
      </c>
      <c r="D4786" s="3" t="s">
        <v>8740</v>
      </c>
      <c r="E4786" s="3" t="s">
        <v>8741</v>
      </c>
      <c r="F4786" s="3" t="s">
        <v>8742</v>
      </c>
      <c r="G4786" s="3" t="str">
        <f>IFERROR(__xludf.DUMMYFUNCTION("GOOGLETRANSLATE(D4786,""ja"",""es"")"),"Hormigueo")</f>
        <v>Hormigueo</v>
      </c>
    </row>
    <row r="4787">
      <c r="A4787" s="3">
        <v>197.0</v>
      </c>
      <c r="B4787" s="3" t="s">
        <v>8148</v>
      </c>
      <c r="C4787" s="3" t="s">
        <v>8149</v>
      </c>
      <c r="D4787" s="3" t="s">
        <v>8743</v>
      </c>
      <c r="E4787" s="3" t="s">
        <v>8429</v>
      </c>
      <c r="F4787" s="3" t="s">
        <v>8430</v>
      </c>
      <c r="G4787" s="3" t="str">
        <f>IFERROR(__xludf.DUMMYFUNCTION("GOOGLETRANSLATE(D4787,""ja"",""es"")"),"Hormigueo")</f>
        <v>Hormigueo</v>
      </c>
    </row>
    <row r="4788">
      <c r="A4788" s="3">
        <v>198.0</v>
      </c>
      <c r="B4788" s="3" t="s">
        <v>8148</v>
      </c>
      <c r="C4788" s="3" t="s">
        <v>8149</v>
      </c>
      <c r="D4788" s="3" t="s">
        <v>8744</v>
      </c>
      <c r="E4788" s="3" t="s">
        <v>8436</v>
      </c>
      <c r="F4788" s="3" t="s">
        <v>8437</v>
      </c>
      <c r="G4788" s="3" t="str">
        <f>IFERROR(__xludf.DUMMYFUNCTION("GOOGLETRANSLATE(D4788,""ja"",""es"")"),"Picante")</f>
        <v>Picante</v>
      </c>
    </row>
    <row r="4789">
      <c r="A4789" s="3">
        <v>199.0</v>
      </c>
      <c r="B4789" s="3" t="s">
        <v>8148</v>
      </c>
      <c r="C4789" s="3" t="s">
        <v>8149</v>
      </c>
      <c r="D4789" s="3" t="s">
        <v>8745</v>
      </c>
      <c r="E4789" s="3" t="s">
        <v>8746</v>
      </c>
      <c r="F4789" s="3" t="s">
        <v>4351</v>
      </c>
      <c r="G4789" s="3" t="str">
        <f>IFERROR(__xludf.DUMMYFUNCTION("GOOGLETRANSLATE(D4789,""ja"",""es"")"),"Fa")</f>
        <v>Fa</v>
      </c>
      <c r="H4789" s="3" t="s">
        <v>8747</v>
      </c>
    </row>
    <row r="4790">
      <c r="A4790" s="3">
        <v>200.0</v>
      </c>
      <c r="B4790" s="3" t="s">
        <v>8148</v>
      </c>
      <c r="C4790" s="3" t="s">
        <v>8149</v>
      </c>
      <c r="D4790" s="3" t="s">
        <v>8748</v>
      </c>
      <c r="E4790" s="3" t="s">
        <v>8749</v>
      </c>
      <c r="F4790" s="3" t="s">
        <v>8750</v>
      </c>
      <c r="G4790" s="3" t="str">
        <f>IFERROR(__xludf.DUMMYFUNCTION("GOOGLETRANSLATE(D4790,""ja"",""es"")"),"familia")</f>
        <v>familia</v>
      </c>
      <c r="H4790" s="3" t="s">
        <v>8751</v>
      </c>
      <c r="I4790" s="3" t="s">
        <v>8752</v>
      </c>
      <c r="J4790" s="3" t="s">
        <v>3572</v>
      </c>
      <c r="K4790" s="3" t="s">
        <v>8751</v>
      </c>
      <c r="L4790" s="3" t="s">
        <v>8753</v>
      </c>
      <c r="M4790" s="3" t="s">
        <v>5944</v>
      </c>
      <c r="N4790" s="3" t="s">
        <v>8754</v>
      </c>
      <c r="O4790" s="3" t="s">
        <v>8755</v>
      </c>
    </row>
    <row r="4791">
      <c r="A4791" s="3">
        <v>201.0</v>
      </c>
      <c r="B4791" s="3" t="s">
        <v>8148</v>
      </c>
      <c r="C4791" s="3" t="s">
        <v>8149</v>
      </c>
      <c r="D4791" s="3" t="s">
        <v>8756</v>
      </c>
      <c r="E4791" s="3" t="s">
        <v>3467</v>
      </c>
      <c r="F4791" s="3" t="s">
        <v>3468</v>
      </c>
      <c r="G4791" s="3" t="str">
        <f>IFERROR(__xludf.DUMMYFUNCTION("GOOGLETRANSLATE(D4791,""ja"",""es"")"),"Maca")</f>
        <v>Maca</v>
      </c>
    </row>
    <row r="4792">
      <c r="A4792" s="3">
        <v>202.0</v>
      </c>
      <c r="B4792" s="3" t="s">
        <v>8148</v>
      </c>
      <c r="C4792" s="3" t="s">
        <v>8149</v>
      </c>
      <c r="D4792" s="3" t="s">
        <v>8757</v>
      </c>
      <c r="E4792" s="3" t="s">
        <v>8758</v>
      </c>
      <c r="F4792" s="3" t="s">
        <v>8759</v>
      </c>
      <c r="G4792" s="3" t="str">
        <f>IFERROR(__xludf.DUMMYFUNCTION("GOOGLETRANSLATE(D4792,""ja"",""es"")"),"Makani")</f>
        <v>Makani</v>
      </c>
    </row>
    <row r="4793">
      <c r="A4793" s="3">
        <v>203.0</v>
      </c>
      <c r="B4793" s="3" t="s">
        <v>8148</v>
      </c>
      <c r="C4793" s="3" t="s">
        <v>8149</v>
      </c>
      <c r="D4793" s="3" t="s">
        <v>8760</v>
      </c>
      <c r="E4793" s="3" t="s">
        <v>3503</v>
      </c>
      <c r="F4793" s="3" t="s">
        <v>3504</v>
      </c>
      <c r="G4793" s="3" t="str">
        <f>IFERROR(__xludf.DUMMYFUNCTION("GOOGLETRANSLATE(D4793,""ja"",""es"")"),"Maki")</f>
        <v>Maki</v>
      </c>
    </row>
    <row r="4794">
      <c r="A4794" s="3">
        <v>204.0</v>
      </c>
      <c r="B4794" s="3" t="s">
        <v>8148</v>
      </c>
      <c r="C4794" s="3" t="s">
        <v>8149</v>
      </c>
      <c r="D4794" s="3" t="s">
        <v>8761</v>
      </c>
      <c r="E4794" s="3" t="s">
        <v>8762</v>
      </c>
      <c r="F4794" s="3" t="s">
        <v>8763</v>
      </c>
      <c r="G4794" s="3" t="str">
        <f>IFERROR(__xludf.DUMMYFUNCTION("GOOGLETRANSLATE(D4794,""ja"",""es"")"),"Masaki")</f>
        <v>Masaki</v>
      </c>
    </row>
    <row r="4795">
      <c r="A4795" s="3">
        <v>205.0</v>
      </c>
      <c r="B4795" s="3" t="s">
        <v>8148</v>
      </c>
      <c r="C4795" s="3" t="s">
        <v>8149</v>
      </c>
      <c r="D4795" s="3" t="s">
        <v>8764</v>
      </c>
      <c r="E4795" s="3" t="s">
        <v>8765</v>
      </c>
      <c r="F4795" s="3" t="s">
        <v>8766</v>
      </c>
      <c r="G4795" s="3" t="str">
        <f>IFERROR(__xludf.DUMMYFUNCTION("GOOGLETRANSLATE(D4795,""ja"",""es"")"),"condimento")</f>
        <v>condimento</v>
      </c>
    </row>
    <row r="4796">
      <c r="A4796" s="3">
        <v>206.0</v>
      </c>
      <c r="B4796" s="3" t="s">
        <v>8148</v>
      </c>
      <c r="C4796" s="3" t="s">
        <v>8149</v>
      </c>
      <c r="D4796" s="3" t="s">
        <v>8767</v>
      </c>
      <c r="E4796" s="3" t="s">
        <v>8768</v>
      </c>
      <c r="F4796" s="3" t="s">
        <v>8769</v>
      </c>
      <c r="G4796" s="3" t="str">
        <f>IFERROR(__xludf.DUMMYFUNCTION("GOOGLETRANSLATE(D4796,""ja"",""es"")"),"Matahara")</f>
        <v>Matahara</v>
      </c>
    </row>
    <row r="4797">
      <c r="A4797" s="3">
        <v>207.0</v>
      </c>
      <c r="B4797" s="3" t="s">
        <v>8148</v>
      </c>
      <c r="C4797" s="3" t="s">
        <v>8149</v>
      </c>
      <c r="D4797" s="3" t="s">
        <v>8770</v>
      </c>
      <c r="E4797" s="3" t="s">
        <v>8771</v>
      </c>
      <c r="F4797" s="3" t="s">
        <v>8772</v>
      </c>
      <c r="G4797" s="3" t="str">
        <f>IFERROR(__xludf.DUMMYFUNCTION("GOOGLETRANSLATE(D4797,""ja"",""es"")"),"Maná")</f>
        <v>Maná</v>
      </c>
    </row>
    <row r="4798">
      <c r="A4798" s="3">
        <v>208.0</v>
      </c>
      <c r="B4798" s="3" t="s">
        <v>8148</v>
      </c>
      <c r="C4798" s="3" t="s">
        <v>8149</v>
      </c>
      <c r="D4798" s="3" t="s">
        <v>8773</v>
      </c>
      <c r="E4798" s="3" t="s">
        <v>8774</v>
      </c>
      <c r="F4798" s="3" t="s">
        <v>8775</v>
      </c>
      <c r="G4798" s="3" t="str">
        <f>IFERROR(__xludf.DUMMYFUNCTION("GOOGLETRANSLATE(D4798,""ja"",""es"")"),"Manía")</f>
        <v>Manía</v>
      </c>
      <c r="H4798" s="3" t="s">
        <v>8776</v>
      </c>
      <c r="I4798" s="3" t="s">
        <v>8777</v>
      </c>
      <c r="J4798" s="3" t="s">
        <v>8778</v>
      </c>
      <c r="K4798" s="3" t="s">
        <v>8522</v>
      </c>
    </row>
    <row r="4799">
      <c r="A4799" s="3">
        <v>209.0</v>
      </c>
      <c r="B4799" s="3" t="s">
        <v>8148</v>
      </c>
      <c r="C4799" s="3" t="s">
        <v>8149</v>
      </c>
      <c r="D4799" s="3" t="s">
        <v>8779</v>
      </c>
      <c r="E4799" s="3" t="s">
        <v>8780</v>
      </c>
      <c r="F4799" s="3" t="s">
        <v>8781</v>
      </c>
      <c r="G4799" s="3" t="str">
        <f>IFERROR(__xludf.DUMMYFUNCTION("GOOGLETRANSLATE(D4799,""ja"",""es"")"),"Manila")</f>
        <v>Manila</v>
      </c>
      <c r="H4799" s="3" t="s">
        <v>3442</v>
      </c>
      <c r="I4799" s="3" t="s">
        <v>3443</v>
      </c>
    </row>
    <row r="4800">
      <c r="A4800" s="3">
        <v>210.0</v>
      </c>
      <c r="B4800" s="3" t="s">
        <v>8148</v>
      </c>
      <c r="C4800" s="3" t="s">
        <v>8149</v>
      </c>
      <c r="D4800" s="3" t="s">
        <v>8782</v>
      </c>
      <c r="E4800" s="3" t="s">
        <v>8783</v>
      </c>
      <c r="F4800" s="3" t="s">
        <v>8784</v>
      </c>
      <c r="G4800" s="3" t="str">
        <f>IFERROR(__xludf.DUMMYFUNCTION("GOOGLETRANSLATE(D4800,""ja"",""es"")"),"Mahata")</f>
        <v>Mahata</v>
      </c>
    </row>
    <row r="4801">
      <c r="A4801" s="3">
        <v>211.0</v>
      </c>
      <c r="B4801" s="3" t="s">
        <v>8148</v>
      </c>
      <c r="C4801" s="3" t="s">
        <v>8149</v>
      </c>
      <c r="D4801" s="3" t="s">
        <v>8785</v>
      </c>
      <c r="E4801" s="3" t="s">
        <v>8786</v>
      </c>
      <c r="F4801" s="3" t="s">
        <v>3401</v>
      </c>
      <c r="G4801" s="3" t="str">
        <f>IFERROR(__xludf.DUMMYFUNCTION("GOOGLETRANSLATE(D4801,""ja"",""es"")"),"Mamá")</f>
        <v>Mamá</v>
      </c>
      <c r="H4801" s="3" t="s">
        <v>8787</v>
      </c>
      <c r="I4801" s="3" t="s">
        <v>136</v>
      </c>
      <c r="J4801" s="3" t="s">
        <v>3401</v>
      </c>
      <c r="K4801" s="3" t="s">
        <v>3394</v>
      </c>
      <c r="L4801" s="3" t="s">
        <v>3402</v>
      </c>
      <c r="M4801" s="3" t="s">
        <v>3403</v>
      </c>
      <c r="N4801" s="3" t="s">
        <v>3404</v>
      </c>
      <c r="O4801" s="3" t="s">
        <v>3405</v>
      </c>
      <c r="P4801" s="3" t="s">
        <v>3406</v>
      </c>
      <c r="Q4801" s="3" t="s">
        <v>3407</v>
      </c>
    </row>
    <row r="4802">
      <c r="A4802" s="3">
        <v>212.0</v>
      </c>
      <c r="B4802" s="3" t="s">
        <v>8148</v>
      </c>
      <c r="C4802" s="3" t="s">
        <v>8149</v>
      </c>
      <c r="D4802" s="3" t="s">
        <v>8788</v>
      </c>
      <c r="E4802" s="3" t="s">
        <v>8789</v>
      </c>
      <c r="F4802" s="3" t="s">
        <v>8790</v>
      </c>
      <c r="G4802" s="3" t="str">
        <f>IFERROR(__xludf.DUMMYFUNCTION("GOOGLETRANSLATE(D4802,""ja"",""es"")"),"Mamakari")</f>
        <v>Mamakari</v>
      </c>
    </row>
    <row r="4803">
      <c r="A4803" s="3">
        <v>213.0</v>
      </c>
      <c r="B4803" s="3" t="s">
        <v>8148</v>
      </c>
      <c r="C4803" s="3" t="s">
        <v>8149</v>
      </c>
      <c r="D4803" s="3" t="s">
        <v>8791</v>
      </c>
      <c r="E4803" s="3" t="s">
        <v>3274</v>
      </c>
      <c r="F4803" s="3" t="s">
        <v>3275</v>
      </c>
      <c r="G4803" s="3" t="str">
        <f>IFERROR(__xludf.DUMMYFUNCTION("GOOGLETRANSLATE(D4803,""ja"",""es"")"),"maya")</f>
        <v>maya</v>
      </c>
    </row>
    <row r="4804">
      <c r="A4804" s="3">
        <v>214.0</v>
      </c>
      <c r="B4804" s="3" t="s">
        <v>8148</v>
      </c>
      <c r="C4804" s="3" t="s">
        <v>8149</v>
      </c>
      <c r="D4804" s="3" t="s">
        <v>8792</v>
      </c>
      <c r="E4804" s="3" t="s">
        <v>8793</v>
      </c>
      <c r="F4804" s="3" t="s">
        <v>8794</v>
      </c>
      <c r="G4804" s="3" t="str">
        <f>IFERROR(__xludf.DUMMYFUNCTION("GOOGLETRANSLATE(D4804,""ja"",""es"")"),"Mari")</f>
        <v>Mari</v>
      </c>
      <c r="H4804" s="3" t="s">
        <v>3370</v>
      </c>
      <c r="I4804" s="3" t="s">
        <v>3373</v>
      </c>
      <c r="J4804" s="3" t="s">
        <v>3374</v>
      </c>
    </row>
    <row r="4805">
      <c r="A4805" s="3">
        <v>215.0</v>
      </c>
      <c r="B4805" s="3" t="s">
        <v>8148</v>
      </c>
      <c r="C4805" s="3" t="s">
        <v>8149</v>
      </c>
      <c r="D4805" s="3" t="s">
        <v>8795</v>
      </c>
      <c r="E4805" s="3" t="s">
        <v>8796</v>
      </c>
      <c r="F4805" s="3" t="s">
        <v>8797</v>
      </c>
      <c r="G4805" s="3" t="str">
        <f>IFERROR(__xludf.DUMMYFUNCTION("GOOGLETRANSLATE(D4805,""ja"",""es"")"),"Marinara")</f>
        <v>Marinara</v>
      </c>
    </row>
    <row r="4806">
      <c r="A4806" s="3">
        <v>216.0</v>
      </c>
      <c r="B4806" s="3" t="s">
        <v>8148</v>
      </c>
      <c r="C4806" s="3" t="s">
        <v>8149</v>
      </c>
      <c r="D4806" s="3" t="s">
        <v>8798</v>
      </c>
      <c r="E4806" s="3" t="s">
        <v>8799</v>
      </c>
      <c r="F4806" s="3" t="s">
        <v>8800</v>
      </c>
      <c r="G4806" s="3" t="str">
        <f>IFERROR(__xludf.DUMMYFUNCTION("GOOGLETRANSLATE(D4806,""ja"",""es"")"),"Marijuana")</f>
        <v>Marijuana</v>
      </c>
    </row>
    <row r="4807">
      <c r="A4807" s="3">
        <v>217.0</v>
      </c>
      <c r="B4807" s="3" t="s">
        <v>8148</v>
      </c>
      <c r="C4807" s="3" t="s">
        <v>8149</v>
      </c>
      <c r="D4807" s="3" t="s">
        <v>8801</v>
      </c>
      <c r="E4807" s="3" t="s">
        <v>150</v>
      </c>
      <c r="F4807" s="3" t="s">
        <v>149</v>
      </c>
      <c r="G4807" s="3" t="str">
        <f>IFERROR(__xludf.DUMMYFUNCTION("GOOGLETRANSLATE(D4807,""ja"",""es"")"),"Mi")</f>
        <v>Mi</v>
      </c>
      <c r="H4807" s="3" t="s">
        <v>149</v>
      </c>
      <c r="I4807" s="3" t="s">
        <v>151</v>
      </c>
      <c r="J4807" s="3" t="s">
        <v>152</v>
      </c>
      <c r="K4807" s="3" t="s">
        <v>153</v>
      </c>
      <c r="L4807" s="3" t="s">
        <v>156</v>
      </c>
      <c r="M4807" s="3" t="s">
        <v>157</v>
      </c>
      <c r="N4807" s="3" t="s">
        <v>158</v>
      </c>
      <c r="O4807" s="3" t="s">
        <v>152</v>
      </c>
      <c r="P4807" s="3" t="s">
        <v>165</v>
      </c>
      <c r="Q4807" s="3" t="s">
        <v>166</v>
      </c>
      <c r="R4807" s="3" t="s">
        <v>160</v>
      </c>
      <c r="S4807" s="3" t="s">
        <v>149</v>
      </c>
      <c r="T4807" s="3" t="s">
        <v>3701</v>
      </c>
      <c r="U4807" s="3" t="s">
        <v>3702</v>
      </c>
    </row>
    <row r="4808">
      <c r="A4808" s="3">
        <v>218.0</v>
      </c>
      <c r="B4808" s="3" t="s">
        <v>8148</v>
      </c>
      <c r="C4808" s="3" t="s">
        <v>8149</v>
      </c>
      <c r="D4808" s="3" t="s">
        <v>8802</v>
      </c>
      <c r="E4808" s="3" t="s">
        <v>8803</v>
      </c>
      <c r="F4808" s="3" t="s">
        <v>8804</v>
      </c>
      <c r="G4808" s="3" t="str">
        <f>IFERROR(__xludf.DUMMYFUNCTION("GOOGLETRANSLATE(D4808,""ja"",""es"")"),"Mezclador")</f>
        <v>Mezclador</v>
      </c>
    </row>
    <row r="4809">
      <c r="A4809" s="3">
        <v>219.0</v>
      </c>
      <c r="B4809" s="3" t="s">
        <v>8148</v>
      </c>
      <c r="C4809" s="3" t="s">
        <v>8149</v>
      </c>
      <c r="D4809" s="3" t="s">
        <v>8805</v>
      </c>
      <c r="E4809" s="3" t="s">
        <v>8806</v>
      </c>
      <c r="F4809" s="3" t="s">
        <v>8807</v>
      </c>
      <c r="G4809" s="3" t="str">
        <f>IFERROR(__xludf.DUMMYFUNCTION("GOOGLETRANSLATE(D4809,""ja"",""es"")"),"Masa")</f>
        <v>Masa</v>
      </c>
      <c r="H4809" s="3" t="s">
        <v>3694</v>
      </c>
      <c r="I4809" s="3" t="s">
        <v>3694</v>
      </c>
      <c r="J4809" s="3" t="s">
        <v>3694</v>
      </c>
    </row>
    <row r="4810">
      <c r="A4810" s="3">
        <v>220.0</v>
      </c>
      <c r="B4810" s="3" t="s">
        <v>8148</v>
      </c>
      <c r="C4810" s="3" t="s">
        <v>8149</v>
      </c>
      <c r="D4810" s="3" t="s">
        <v>8808</v>
      </c>
      <c r="E4810" s="3" t="s">
        <v>7396</v>
      </c>
      <c r="F4810" s="3" t="s">
        <v>3827</v>
      </c>
      <c r="G4810" s="3" t="str">
        <f>IFERROR(__xludf.DUMMYFUNCTION("GOOGLETRANSLATE(D4810,""ja"",""es"")"),"mini")</f>
        <v>mini</v>
      </c>
      <c r="H4810" s="3" t="s">
        <v>8809</v>
      </c>
      <c r="I4810" s="3" t="s">
        <v>3827</v>
      </c>
    </row>
    <row r="4811">
      <c r="A4811" s="3">
        <v>221.0</v>
      </c>
      <c r="B4811" s="3" t="s">
        <v>8148</v>
      </c>
      <c r="C4811" s="3" t="s">
        <v>8149</v>
      </c>
      <c r="D4811" s="3" t="s">
        <v>8810</v>
      </c>
      <c r="E4811" s="3" t="s">
        <v>8811</v>
      </c>
      <c r="F4811" s="3" t="s">
        <v>8812</v>
      </c>
      <c r="G4811" s="3" t="str">
        <f>IFERROR(__xludf.DUMMYFUNCTION("GOOGLETRANSLATE(D4811,""ja"",""es"")"),"Milímetros")</f>
        <v>Milímetros</v>
      </c>
      <c r="H4811" s="3" t="s">
        <v>8813</v>
      </c>
      <c r="I4811" s="3" t="s">
        <v>8814</v>
      </c>
      <c r="J4811" s="3" t="s">
        <v>8815</v>
      </c>
    </row>
    <row r="4812">
      <c r="A4812" s="3">
        <v>222.0</v>
      </c>
      <c r="B4812" s="3" t="s">
        <v>8148</v>
      </c>
      <c r="C4812" s="3" t="s">
        <v>8149</v>
      </c>
      <c r="D4812" s="3" t="s">
        <v>8816</v>
      </c>
      <c r="E4812" s="3" t="s">
        <v>8817</v>
      </c>
      <c r="F4812" s="3" t="s">
        <v>8818</v>
      </c>
      <c r="G4812" s="3" t="str">
        <f>IFERROR(__xludf.DUMMYFUNCTION("GOOGLETRANSLATE(D4812,""ja"",""es"")"),"Onda milimétrica")</f>
        <v>Onda milimétrica</v>
      </c>
    </row>
    <row r="4813">
      <c r="A4813" s="3">
        <v>223.0</v>
      </c>
      <c r="B4813" s="3" t="s">
        <v>8148</v>
      </c>
      <c r="C4813" s="3" t="s">
        <v>8149</v>
      </c>
      <c r="D4813" s="3" t="s">
        <v>8819</v>
      </c>
      <c r="E4813" s="3" t="s">
        <v>8820</v>
      </c>
      <c r="F4813" s="3" t="s">
        <v>8821</v>
      </c>
      <c r="G4813" s="3" t="str">
        <f>IFERROR(__xludf.DUMMYFUNCTION("GOOGLETRANSLATE(D4813,""ja"",""es"")"),"Muñeca")</f>
        <v>Muñeca</v>
      </c>
    </row>
    <row r="4814">
      <c r="A4814" s="3">
        <v>224.0</v>
      </c>
      <c r="B4814" s="3" t="s">
        <v>8148</v>
      </c>
      <c r="C4814" s="3" t="s">
        <v>8149</v>
      </c>
      <c r="D4814" s="3" t="s">
        <v>8822</v>
      </c>
      <c r="E4814" s="3" t="s">
        <v>8463</v>
      </c>
      <c r="F4814" s="3" t="s">
        <v>8464</v>
      </c>
      <c r="G4814" s="3" t="str">
        <f>IFERROR(__xludf.DUMMYFUNCTION("GOOGLETRANSLATE(D4814,""ja"",""es"")"),"Yarahata")</f>
        <v>Yarahata</v>
      </c>
    </row>
    <row r="4815">
      <c r="A4815" s="3">
        <v>225.0</v>
      </c>
      <c r="B4815" s="3" t="s">
        <v>8148</v>
      </c>
      <c r="C4815" s="3" t="s">
        <v>8149</v>
      </c>
      <c r="D4815" s="3" t="s">
        <v>8823</v>
      </c>
      <c r="E4815" s="3" t="s">
        <v>8824</v>
      </c>
      <c r="F4815" s="3" t="s">
        <v>8825</v>
      </c>
      <c r="G4815" s="3" t="str">
        <f>IFERROR(__xludf.DUMMYFUNCTION("GOOGLETRANSLATE(D4815,""ja"",""es"")"),"A")</f>
        <v>A</v>
      </c>
      <c r="H4815" s="3" t="s">
        <v>2540</v>
      </c>
      <c r="I4815" s="3" t="s">
        <v>2544</v>
      </c>
    </row>
    <row r="4816">
      <c r="A4816" s="3">
        <v>226.0</v>
      </c>
      <c r="B4816" s="3" t="s">
        <v>8148</v>
      </c>
      <c r="C4816" s="3" t="s">
        <v>8149</v>
      </c>
      <c r="D4816" s="3" t="s">
        <v>8826</v>
      </c>
      <c r="E4816" s="3" t="s">
        <v>8827</v>
      </c>
      <c r="F4816" s="3" t="s">
        <v>8828</v>
      </c>
      <c r="G4816" s="3" t="str">
        <f>IFERROR(__xludf.DUMMYFUNCTION("GOOGLETRANSLATE(D4816,""ja"",""es"")"),"Láser")</f>
        <v>Láser</v>
      </c>
      <c r="H4816" s="3" t="s">
        <v>8829</v>
      </c>
      <c r="I4816" s="3" t="s">
        <v>8830</v>
      </c>
      <c r="J4816" s="3" t="s">
        <v>8829</v>
      </c>
      <c r="K4816" s="3" t="s">
        <v>7189</v>
      </c>
      <c r="L4816" s="3" t="s">
        <v>8831</v>
      </c>
      <c r="M4816" s="3" t="s">
        <v>8832</v>
      </c>
    </row>
    <row r="4817">
      <c r="A4817" s="3">
        <v>227.0</v>
      </c>
      <c r="B4817" s="3" t="s">
        <v>8148</v>
      </c>
      <c r="C4817" s="3" t="s">
        <v>8149</v>
      </c>
      <c r="D4817" s="3" t="s">
        <v>8833</v>
      </c>
      <c r="E4817" s="3" t="s">
        <v>8834</v>
      </c>
      <c r="F4817" s="3" t="s">
        <v>8835</v>
      </c>
      <c r="G4817" s="3" t="str">
        <f>IFERROR(__xludf.DUMMYFUNCTION("GOOGLETRANSLATE(D4817,""ja"",""es"")"),"Rasaniya")</f>
        <v>Rasaniya</v>
      </c>
    </row>
    <row r="4818">
      <c r="A4818" s="3">
        <v>228.0</v>
      </c>
      <c r="B4818" s="3" t="s">
        <v>8148</v>
      </c>
      <c r="C4818" s="3" t="s">
        <v>8149</v>
      </c>
      <c r="D4818" s="3" t="s">
        <v>8836</v>
      </c>
      <c r="E4818" s="3" t="s">
        <v>8837</v>
      </c>
      <c r="F4818" s="3" t="s">
        <v>8838</v>
      </c>
      <c r="G4818" s="3" t="str">
        <f>IFERROR(__xludf.DUMMYFUNCTION("GOOGLETRANSLATE(D4818,""ja"",""es"")"),"Lama")</f>
        <v>Lama</v>
      </c>
      <c r="H4818" s="3" t="s">
        <v>7169</v>
      </c>
    </row>
    <row r="4819">
      <c r="A4819" s="3">
        <v>229.0</v>
      </c>
      <c r="B4819" s="3" t="s">
        <v>8148</v>
      </c>
      <c r="C4819" s="3" t="s">
        <v>8149</v>
      </c>
      <c r="D4819" s="3" t="s">
        <v>8839</v>
      </c>
      <c r="E4819" s="3" t="s">
        <v>8840</v>
      </c>
      <c r="F4819" s="3" t="s">
        <v>8841</v>
      </c>
      <c r="G4819" s="3" t="str">
        <f>IFERROR(__xludf.DUMMYFUNCTION("GOOGLETRANSLATE(D4819,""ja"",""es"")"),"Rehabilitación")</f>
        <v>Rehabilitación</v>
      </c>
      <c r="H4819" s="3" t="s">
        <v>8842</v>
      </c>
      <c r="I4819" s="3" t="s">
        <v>8843</v>
      </c>
    </row>
    <row r="4820">
      <c r="A4820" s="3">
        <v>230.0</v>
      </c>
      <c r="B4820" s="3" t="s">
        <v>8148</v>
      </c>
      <c r="C4820" s="3" t="s">
        <v>8149</v>
      </c>
      <c r="D4820" s="3" t="s">
        <v>8844</v>
      </c>
      <c r="E4820" s="3" t="s">
        <v>8845</v>
      </c>
      <c r="F4820" s="3" t="s">
        <v>8846</v>
      </c>
      <c r="G4820" s="3" t="str">
        <f>IFERROR(__xludf.DUMMYFUNCTION("GOOGLETRANSLATE(D4820,""ja"",""es"")"),"Lima")</f>
        <v>Lima</v>
      </c>
    </row>
    <row r="4821">
      <c r="A4821" s="3">
        <v>231.0</v>
      </c>
      <c r="B4821" s="3" t="s">
        <v>8148</v>
      </c>
      <c r="C4821" s="3" t="s">
        <v>8149</v>
      </c>
      <c r="D4821" s="3" t="s">
        <v>8847</v>
      </c>
      <c r="E4821" s="3" t="s">
        <v>8848</v>
      </c>
      <c r="F4821" s="3" t="s">
        <v>8849</v>
      </c>
      <c r="G4821" s="3" t="str">
        <f>IFERROR(__xludf.DUMMYFUNCTION("GOOGLETRANSLATE(D4821,""ja"",""es"")"),"Limón")</f>
        <v>Limón</v>
      </c>
    </row>
    <row r="4822">
      <c r="A4822" s="3">
        <v>232.0</v>
      </c>
      <c r="B4822" s="3" t="s">
        <v>8148</v>
      </c>
      <c r="C4822" s="3" t="s">
        <v>8149</v>
      </c>
      <c r="D4822" s="3" t="s">
        <v>8850</v>
      </c>
      <c r="E4822" s="3" t="s">
        <v>8851</v>
      </c>
      <c r="F4822" s="3" t="s">
        <v>8852</v>
      </c>
      <c r="G4822" s="3" t="str">
        <f>IFERROR(__xludf.DUMMYFUNCTION("GOOGLETRANSLATE(D4822,""ja"",""es"")"),"Trasero")</f>
        <v>Trasero</v>
      </c>
    </row>
    <row r="4823">
      <c r="A4823" s="3">
        <v>233.0</v>
      </c>
      <c r="B4823" s="3" t="s">
        <v>8148</v>
      </c>
      <c r="C4823" s="3" t="s">
        <v>8149</v>
      </c>
      <c r="D4823" s="3" t="s">
        <v>8853</v>
      </c>
      <c r="E4823" s="3" t="s">
        <v>8854</v>
      </c>
      <c r="F4823" s="3" t="s">
        <v>8855</v>
      </c>
      <c r="G4823" s="3" t="str">
        <f>IFERROR(__xludf.DUMMYFUNCTION("GOOGLETRANSLATE(D4823,""ja"",""es"")"),"Lira")</f>
        <v>Lira</v>
      </c>
      <c r="H4823" s="3" t="s">
        <v>8856</v>
      </c>
      <c r="I4823" s="3" t="s">
        <v>7217</v>
      </c>
      <c r="J4823" s="3" t="s">
        <v>8857</v>
      </c>
      <c r="K4823" s="3" t="s">
        <v>8858</v>
      </c>
      <c r="L4823" s="3" t="s">
        <v>8857</v>
      </c>
      <c r="M4823" s="3" t="s">
        <v>8859</v>
      </c>
      <c r="N4823" s="3" t="s">
        <v>8857</v>
      </c>
      <c r="O4823" s="3" t="s">
        <v>8860</v>
      </c>
    </row>
    <row r="4824">
      <c r="A4824" s="3">
        <v>234.0</v>
      </c>
      <c r="B4824" s="3" t="s">
        <v>8148</v>
      </c>
      <c r="C4824" s="3" t="s">
        <v>8149</v>
      </c>
      <c r="D4824" s="3" t="s">
        <v>8861</v>
      </c>
      <c r="E4824" s="3" t="s">
        <v>192</v>
      </c>
      <c r="F4824" s="3" t="s">
        <v>191</v>
      </c>
      <c r="G4824" s="3" t="str">
        <f>IFERROR(__xludf.DUMMYFUNCTION("GOOGLETRANSLATE(D4824,""ja"",""es"")"),"sub")</f>
        <v>sub</v>
      </c>
    </row>
    <row r="4825">
      <c r="A4825" s="3">
        <v>235.0</v>
      </c>
      <c r="B4825" s="3" t="s">
        <v>8148</v>
      </c>
      <c r="C4825" s="3" t="s">
        <v>8149</v>
      </c>
      <c r="D4825" s="3" t="s">
        <v>8862</v>
      </c>
      <c r="E4825" s="3" t="s">
        <v>268</v>
      </c>
      <c r="F4825" s="3" t="s">
        <v>269</v>
      </c>
      <c r="G4825" s="3" t="str">
        <f>IFERROR(__xludf.DUMMYFUNCTION("GOOGLETRANSLATE(D4825,""ja"",""es"")"),"Subfamilia")</f>
        <v>Subfamilia</v>
      </c>
      <c r="H4825" s="3" t="s">
        <v>8863</v>
      </c>
    </row>
    <row r="4826">
      <c r="A4826" s="3">
        <v>236.0</v>
      </c>
      <c r="B4826" s="3" t="s">
        <v>8148</v>
      </c>
      <c r="C4826" s="3" t="s">
        <v>8149</v>
      </c>
      <c r="D4826" s="3" t="s">
        <v>8864</v>
      </c>
      <c r="E4826" s="3" t="s">
        <v>394</v>
      </c>
      <c r="F4826" s="3" t="s">
        <v>395</v>
      </c>
      <c r="G4826" s="3" t="str">
        <f>IFERROR(__xludf.DUMMYFUNCTION("GOOGLETRANSLATE(D4826,""ja"",""es"")"),"linaza")</f>
        <v>linaza</v>
      </c>
      <c r="H4826" s="3" t="s">
        <v>8865</v>
      </c>
    </row>
    <row r="4827">
      <c r="A4827" s="3">
        <v>237.0</v>
      </c>
      <c r="B4827" s="3" t="s">
        <v>8148</v>
      </c>
      <c r="C4827" s="3" t="s">
        <v>8149</v>
      </c>
      <c r="D4827" s="3" t="s">
        <v>8866</v>
      </c>
      <c r="E4827" s="3" t="s">
        <v>8867</v>
      </c>
      <c r="F4827" s="3" t="s">
        <v>8868</v>
      </c>
      <c r="G4827" s="3" t="str">
        <f>IFERROR(__xludf.DUMMYFUNCTION("GOOGLETRANSLATE(D4827,""ja"",""es"")"),"linaza")</f>
        <v>linaza</v>
      </c>
      <c r="H4827" s="3" t="s">
        <v>8869</v>
      </c>
      <c r="I4827" s="3" t="s">
        <v>8870</v>
      </c>
    </row>
    <row r="4828">
      <c r="A4828" s="3">
        <v>238.0</v>
      </c>
      <c r="B4828" s="3" t="s">
        <v>8148</v>
      </c>
      <c r="C4828" s="3" t="s">
        <v>8149</v>
      </c>
      <c r="D4828" s="3" t="s">
        <v>8871</v>
      </c>
      <c r="E4828" s="3" t="s">
        <v>394</v>
      </c>
      <c r="F4828" s="3" t="s">
        <v>395</v>
      </c>
      <c r="G4828" s="3" t="str">
        <f>IFERROR(__xludf.DUMMYFUNCTION("GOOGLETRANSLATE(D4828,""ja"",""es"")"),"Awadaka")</f>
        <v>Awadaka</v>
      </c>
    </row>
    <row r="4829">
      <c r="A4829" s="3">
        <v>239.0</v>
      </c>
      <c r="B4829" s="3" t="s">
        <v>8148</v>
      </c>
      <c r="C4829" s="3" t="s">
        <v>8149</v>
      </c>
      <c r="D4829" s="3" t="s">
        <v>8872</v>
      </c>
      <c r="E4829" s="3" t="s">
        <v>394</v>
      </c>
      <c r="F4829" s="3" t="s">
        <v>395</v>
      </c>
      <c r="G4829" s="3" t="str">
        <f>IFERROR(__xludf.DUMMYFUNCTION("GOOGLETRANSLATE(D4829,""ja"",""es"")"),"AMA")</f>
        <v>AMA</v>
      </c>
    </row>
    <row r="4830">
      <c r="A4830" s="3">
        <v>240.0</v>
      </c>
      <c r="B4830" s="3" t="s">
        <v>8148</v>
      </c>
      <c r="C4830" s="3" t="s">
        <v>8149</v>
      </c>
      <c r="D4830" s="3" t="s">
        <v>8873</v>
      </c>
      <c r="E4830" s="3" t="s">
        <v>8874</v>
      </c>
      <c r="F4830" s="3" t="s">
        <v>8875</v>
      </c>
      <c r="G4830" s="3" t="str">
        <f>IFERROR(__xludf.DUMMYFUNCTION("GOOGLETRANSLATE(D4830,""ja"",""es"")"),"Falla")</f>
        <v>Falla</v>
      </c>
    </row>
    <row r="4831">
      <c r="A4831" s="3">
        <v>241.0</v>
      </c>
      <c r="B4831" s="3" t="s">
        <v>8148</v>
      </c>
      <c r="C4831" s="3" t="s">
        <v>8149</v>
      </c>
      <c r="D4831" s="3" t="s">
        <v>8876</v>
      </c>
      <c r="E4831" s="3" t="s">
        <v>376</v>
      </c>
      <c r="F4831" s="3" t="s">
        <v>377</v>
      </c>
      <c r="G4831" s="3" t="str">
        <f>IFERROR(__xludf.DUMMYFUNCTION("GOOGLETRANSLATE(D4831,""ja"",""es"")"),"Nic")</f>
        <v>Nic</v>
      </c>
    </row>
    <row r="4832">
      <c r="A4832" s="3">
        <v>242.0</v>
      </c>
      <c r="B4832" s="3" t="s">
        <v>8148</v>
      </c>
      <c r="C4832" s="3" t="s">
        <v>8149</v>
      </c>
      <c r="D4832" s="3" t="s">
        <v>8877</v>
      </c>
      <c r="E4832" s="3" t="s">
        <v>272</v>
      </c>
      <c r="F4832" s="3" t="s">
        <v>273</v>
      </c>
      <c r="G4832" s="3" t="str">
        <f>IFERROR(__xludf.DUMMYFUNCTION("GOOGLETRANSLATE(D4832,""ja"",""es"")"),"Promedio")</f>
        <v>Promedio</v>
      </c>
    </row>
    <row r="4833">
      <c r="A4833" s="3">
        <v>243.0</v>
      </c>
      <c r="B4833" s="3" t="s">
        <v>8148</v>
      </c>
      <c r="C4833" s="3" t="s">
        <v>8149</v>
      </c>
      <c r="D4833" s="3" t="s">
        <v>8878</v>
      </c>
      <c r="E4833" s="3" t="s">
        <v>8879</v>
      </c>
      <c r="F4833" s="3" t="s">
        <v>8880</v>
      </c>
      <c r="G4833" s="3" t="str">
        <f>IFERROR(__xludf.DUMMYFUNCTION("GOOGLETRANSLATE(D4833,""ja"",""es"")"),"oscuridad")</f>
        <v>oscuridad</v>
      </c>
      <c r="H4833" s="3" t="s">
        <v>8881</v>
      </c>
      <c r="I4833" s="3" t="s">
        <v>8882</v>
      </c>
      <c r="J4833" s="3" t="s">
        <v>8883</v>
      </c>
      <c r="K4833" s="3" t="s">
        <v>8882</v>
      </c>
      <c r="L4833" s="3" t="s">
        <v>8881</v>
      </c>
      <c r="M4833" s="3" t="s">
        <v>8884</v>
      </c>
      <c r="N4833" s="3" t="s">
        <v>8885</v>
      </c>
      <c r="O4833" s="3" t="s">
        <v>8886</v>
      </c>
      <c r="P4833" s="3" t="s">
        <v>8887</v>
      </c>
      <c r="Q4833" s="3" t="s">
        <v>8888</v>
      </c>
      <c r="R4833" s="3" t="s">
        <v>3320</v>
      </c>
      <c r="S4833" s="3" t="s">
        <v>3319</v>
      </c>
      <c r="T4833" s="3" t="s">
        <v>8881</v>
      </c>
      <c r="U4833" s="3" t="s">
        <v>8882</v>
      </c>
    </row>
    <row r="4834">
      <c r="A4834" s="3">
        <v>244.0</v>
      </c>
      <c r="B4834" s="3" t="s">
        <v>8148</v>
      </c>
      <c r="C4834" s="3" t="s">
        <v>8149</v>
      </c>
      <c r="D4834" s="3" t="s">
        <v>8889</v>
      </c>
      <c r="E4834" s="3" t="s">
        <v>8890</v>
      </c>
      <c r="F4834" s="3" t="s">
        <v>8891</v>
      </c>
      <c r="G4834" s="3" t="str">
        <f>IFERROR(__xludf.DUMMYFUNCTION("GOOGLETRANSLATE(D4834,""ja"",""es"")"),"Profundamente")</f>
        <v>Profundamente</v>
      </c>
    </row>
    <row r="4835">
      <c r="A4835" s="3">
        <v>245.0</v>
      </c>
      <c r="B4835" s="3" t="s">
        <v>8148</v>
      </c>
      <c r="C4835" s="3" t="s">
        <v>8149</v>
      </c>
      <c r="D4835" s="3" t="s">
        <v>8892</v>
      </c>
      <c r="E4835" s="3" t="s">
        <v>8890</v>
      </c>
      <c r="F4835" s="3" t="s">
        <v>8891</v>
      </c>
      <c r="G4835" s="3" t="str">
        <f>IFERROR(__xludf.DUMMYFUNCTION("GOOGLETRANSLATE(D4835,""ja"",""es"")"),"Oscuridad")</f>
        <v>Oscuridad</v>
      </c>
    </row>
    <row r="4836">
      <c r="A4836" s="3">
        <v>246.0</v>
      </c>
      <c r="B4836" s="3" t="s">
        <v>8148</v>
      </c>
      <c r="C4836" s="3" t="s">
        <v>8149</v>
      </c>
      <c r="D4836" s="3" t="s">
        <v>8893</v>
      </c>
      <c r="E4836" s="3" t="s">
        <v>8448</v>
      </c>
      <c r="F4836" s="3" t="s">
        <v>8449</v>
      </c>
      <c r="G4836" s="3" t="str">
        <f>IFERROR(__xludf.DUMMYFUNCTION("GOOGLETRANSLATE(D4836,""ja"",""es"")"),"Oscuridad")</f>
        <v>Oscuridad</v>
      </c>
    </row>
    <row r="4837">
      <c r="A4837" s="3">
        <v>247.0</v>
      </c>
      <c r="B4837" s="3" t="s">
        <v>8148</v>
      </c>
      <c r="C4837" s="3" t="s">
        <v>8149</v>
      </c>
      <c r="D4837" s="3" t="s">
        <v>8894</v>
      </c>
      <c r="E4837" s="3" t="s">
        <v>2267</v>
      </c>
      <c r="F4837" s="3" t="s">
        <v>2268</v>
      </c>
      <c r="G4837" s="3" t="str">
        <f>IFERROR(__xludf.DUMMYFUNCTION("GOOGLETRANSLATE(D4837,""ja"",""es"")"),"Inactivo")</f>
        <v>Inactivo</v>
      </c>
    </row>
    <row r="4838">
      <c r="A4838" s="3">
        <v>248.0</v>
      </c>
      <c r="B4838" s="3" t="s">
        <v>8148</v>
      </c>
      <c r="C4838" s="3" t="s">
        <v>8149</v>
      </c>
      <c r="D4838" s="3" t="s">
        <v>8895</v>
      </c>
      <c r="E4838" s="3" t="s">
        <v>8896</v>
      </c>
      <c r="F4838" s="3" t="s">
        <v>8897</v>
      </c>
      <c r="G4838" s="3" t="str">
        <f>IFERROR(__xludf.DUMMYFUNCTION("GOOGLETRANSLATE(D4838,""ja"",""es"")"),"Ware IMari")</f>
        <v>Ware IMari</v>
      </c>
    </row>
    <row r="4839">
      <c r="A4839" s="3">
        <v>249.0</v>
      </c>
      <c r="B4839" s="3" t="s">
        <v>8148</v>
      </c>
      <c r="C4839" s="3" t="s">
        <v>8149</v>
      </c>
      <c r="D4839" s="3" t="s">
        <v>8898</v>
      </c>
      <c r="E4839" s="3" t="s">
        <v>8899</v>
      </c>
      <c r="F4839" s="3" t="s">
        <v>8900</v>
      </c>
      <c r="G4839" s="3" t="str">
        <f>IFERROR(__xludf.DUMMYFUNCTION("GOOGLETRANSLATE(D4839,""ja"",""es"")"),"Ikai")</f>
        <v>Ikai</v>
      </c>
    </row>
    <row r="4840">
      <c r="A4840" s="3">
        <v>250.0</v>
      </c>
      <c r="B4840" s="3" t="s">
        <v>8148</v>
      </c>
      <c r="C4840" s="3" t="s">
        <v>8149</v>
      </c>
      <c r="D4840" s="3" t="s">
        <v>8901</v>
      </c>
      <c r="E4840" s="3" t="s">
        <v>8550</v>
      </c>
      <c r="F4840" s="3" t="s">
        <v>8551</v>
      </c>
      <c r="G4840" s="3" t="str">
        <f>IFERROR(__xludf.DUMMYFUNCTION("GOOGLETRANSLATE(D4840,""ja"",""es"")"),"Posición")</f>
        <v>Posición</v>
      </c>
    </row>
    <row r="4841">
      <c r="A4841" s="3">
        <v>251.0</v>
      </c>
      <c r="B4841" s="3" t="s">
        <v>8148</v>
      </c>
      <c r="C4841" s="3" t="s">
        <v>8149</v>
      </c>
      <c r="D4841" s="3" t="s">
        <v>8902</v>
      </c>
      <c r="E4841" s="3" t="s">
        <v>8550</v>
      </c>
      <c r="F4841" s="3" t="s">
        <v>8551</v>
      </c>
      <c r="G4841" s="3" t="str">
        <f>IFERROR(__xludf.DUMMYFUNCTION("GOOGLETRANSLATE(D4841,""ja"",""es"")"),"abandono")</f>
        <v>abandono</v>
      </c>
      <c r="H4841" s="3" t="s">
        <v>8903</v>
      </c>
      <c r="I4841" s="3" t="s">
        <v>8904</v>
      </c>
      <c r="J4841" s="3" t="s">
        <v>8905</v>
      </c>
      <c r="K4841" s="3" t="s">
        <v>8906</v>
      </c>
      <c r="L4841" s="3" t="s">
        <v>8907</v>
      </c>
      <c r="M4841" s="3" t="s">
        <v>8906</v>
      </c>
      <c r="N4841" s="3" t="s">
        <v>8907</v>
      </c>
    </row>
    <row r="4842">
      <c r="A4842" s="3">
        <v>252.0</v>
      </c>
      <c r="B4842" s="3" t="s">
        <v>8148</v>
      </c>
      <c r="C4842" s="3" t="s">
        <v>8149</v>
      </c>
      <c r="D4842" s="3" t="s">
        <v>8908</v>
      </c>
      <c r="E4842" s="3" t="s">
        <v>8909</v>
      </c>
      <c r="F4842" s="3" t="s">
        <v>8910</v>
      </c>
      <c r="G4842" s="3" t="str">
        <f>IFERROR(__xludf.DUMMYFUNCTION("GOOGLETRANSLATE(D4842,""ja"",""es"")"),"Excepcional")</f>
        <v>Excepcional</v>
      </c>
    </row>
    <row r="4843">
      <c r="A4843" s="3">
        <v>253.0</v>
      </c>
      <c r="B4843" s="3" t="s">
        <v>8148</v>
      </c>
      <c r="C4843" s="3" t="s">
        <v>8149</v>
      </c>
      <c r="D4843" s="3" t="s">
        <v>8911</v>
      </c>
      <c r="E4843" s="3" t="s">
        <v>2267</v>
      </c>
      <c r="F4843" s="3" t="s">
        <v>2268</v>
      </c>
      <c r="G4843" s="3" t="str">
        <f>IFERROR(__xludf.DUMMYFUNCTION("GOOGLETRANSLATE(D4843,""ja"",""es"")"),"Intención")</f>
        <v>Intención</v>
      </c>
      <c r="H4843" s="3" t="s">
        <v>8912</v>
      </c>
      <c r="I4843" s="3" t="s">
        <v>8913</v>
      </c>
      <c r="J4843" s="3" t="s">
        <v>8914</v>
      </c>
      <c r="K4843" s="3" t="s">
        <v>8915</v>
      </c>
      <c r="L4843" s="3" t="s">
        <v>8914</v>
      </c>
      <c r="M4843" s="3" t="s">
        <v>8916</v>
      </c>
      <c r="N4843" s="3" t="s">
        <v>8917</v>
      </c>
      <c r="O4843" s="3" t="s">
        <v>8918</v>
      </c>
      <c r="P4843" s="3" t="s">
        <v>8919</v>
      </c>
      <c r="Q4843" s="3" t="s">
        <v>8920</v>
      </c>
      <c r="R4843" s="3" t="s">
        <v>8921</v>
      </c>
      <c r="S4843" s="3" t="s">
        <v>8922</v>
      </c>
      <c r="T4843" s="3" t="s">
        <v>8913</v>
      </c>
    </row>
    <row r="4844">
      <c r="A4844" s="3">
        <v>254.0</v>
      </c>
      <c r="B4844" s="3" t="s">
        <v>8148</v>
      </c>
      <c r="C4844" s="3" t="s">
        <v>8149</v>
      </c>
      <c r="D4844" s="3" t="s">
        <v>8923</v>
      </c>
      <c r="E4844" s="3" t="s">
        <v>8550</v>
      </c>
      <c r="F4844" s="3" t="s">
        <v>8551</v>
      </c>
      <c r="G4844" s="3" t="str">
        <f>IFERROR(__xludf.DUMMYFUNCTION("GOOGLETRANSLATE(D4844,""ja"",""es"")"),"Intención")</f>
        <v>Intención</v>
      </c>
      <c r="H4844" s="3" t="s">
        <v>8912</v>
      </c>
      <c r="I4844" s="3" t="s">
        <v>8913</v>
      </c>
      <c r="J4844" s="3" t="s">
        <v>8924</v>
      </c>
      <c r="K4844" s="3" t="s">
        <v>8925</v>
      </c>
      <c r="L4844" s="3" t="s">
        <v>8926</v>
      </c>
      <c r="M4844" s="3" t="s">
        <v>8912</v>
      </c>
      <c r="N4844" s="3" t="s">
        <v>8927</v>
      </c>
      <c r="O4844" s="3" t="s">
        <v>6660</v>
      </c>
      <c r="P4844" s="3" t="s">
        <v>8928</v>
      </c>
      <c r="Q4844" s="3" t="s">
        <v>8929</v>
      </c>
      <c r="R4844" s="3" t="s">
        <v>8930</v>
      </c>
      <c r="S4844" s="3" t="s">
        <v>8931</v>
      </c>
      <c r="T4844" s="3" t="s">
        <v>8932</v>
      </c>
      <c r="U4844" s="3" t="s">
        <v>8933</v>
      </c>
      <c r="V4844" s="3" t="s">
        <v>8934</v>
      </c>
      <c r="W4844" s="3" t="s">
        <v>8924</v>
      </c>
      <c r="X4844" s="3" t="s">
        <v>8935</v>
      </c>
      <c r="Y4844" s="3" t="s">
        <v>8936</v>
      </c>
      <c r="Z4844" s="3" t="s">
        <v>8937</v>
      </c>
    </row>
    <row r="4845">
      <c r="A4845" s="3">
        <v>255.0</v>
      </c>
      <c r="B4845" s="3" t="s">
        <v>8148</v>
      </c>
      <c r="C4845" s="3" t="s">
        <v>8149</v>
      </c>
      <c r="D4845" s="3" t="s">
        <v>8938</v>
      </c>
      <c r="E4845" s="3" t="s">
        <v>8939</v>
      </c>
      <c r="F4845" s="3" t="s">
        <v>8940</v>
      </c>
      <c r="G4845" s="3" t="str">
        <f>IFERROR(__xludf.DUMMYFUNCTION("GOOGLETRANSLATE(D4845,""ja"",""es"")"),"sentido")</f>
        <v>sentido</v>
      </c>
      <c r="H4845" s="3" t="s">
        <v>8916</v>
      </c>
      <c r="I4845" s="3" t="s">
        <v>8919</v>
      </c>
      <c r="J4845" s="3" t="s">
        <v>8914</v>
      </c>
      <c r="K4845" s="3" t="s">
        <v>8915</v>
      </c>
      <c r="L4845" s="3" t="s">
        <v>8941</v>
      </c>
      <c r="M4845" s="3" t="s">
        <v>8922</v>
      </c>
      <c r="N4845" s="3" t="s">
        <v>8914</v>
      </c>
      <c r="O4845" s="3" t="s">
        <v>8916</v>
      </c>
      <c r="P4845" s="3" t="s">
        <v>8917</v>
      </c>
      <c r="Q4845" s="3" t="s">
        <v>8918</v>
      </c>
      <c r="R4845" s="3" t="s">
        <v>8919</v>
      </c>
      <c r="S4845" s="3" t="s">
        <v>8920</v>
      </c>
      <c r="T4845" s="3" t="s">
        <v>8921</v>
      </c>
      <c r="U4845" s="3" t="s">
        <v>8922</v>
      </c>
      <c r="V4845" s="3" t="s">
        <v>8913</v>
      </c>
    </row>
    <row r="4846">
      <c r="A4846" s="3">
        <v>256.0</v>
      </c>
      <c r="B4846" s="3" t="s">
        <v>8148</v>
      </c>
      <c r="C4846" s="3" t="s">
        <v>8149</v>
      </c>
      <c r="D4846" s="3" t="s">
        <v>8942</v>
      </c>
      <c r="E4846" s="3" t="s">
        <v>8550</v>
      </c>
      <c r="F4846" s="3" t="s">
        <v>8551</v>
      </c>
      <c r="G4846" s="3" t="str">
        <f>IFERROR(__xludf.DUMMYFUNCTION("GOOGLETRANSLATE(D4846,""ja"",""es"")"),"Espíritu")</f>
        <v>Espíritu</v>
      </c>
    </row>
    <row r="4847">
      <c r="A4847" s="3">
        <v>257.0</v>
      </c>
      <c r="B4847" s="3" t="s">
        <v>8148</v>
      </c>
      <c r="C4847" s="3" t="s">
        <v>8149</v>
      </c>
      <c r="D4847" s="3" t="s">
        <v>8943</v>
      </c>
      <c r="E4847" s="3" t="s">
        <v>8322</v>
      </c>
      <c r="F4847" s="3" t="s">
        <v>8323</v>
      </c>
      <c r="G4847" s="3" t="str">
        <f>IFERROR(__xludf.DUMMYFUNCTION("GOOGLETRANSLATE(D4847,""ja"",""es"")"),"Consecuencia")</f>
        <v>Consecuencia</v>
      </c>
    </row>
    <row r="4848">
      <c r="A4848" s="3">
        <v>258.0</v>
      </c>
      <c r="B4848" s="3" t="s">
        <v>8148</v>
      </c>
      <c r="C4848" s="3" t="s">
        <v>8149</v>
      </c>
      <c r="D4848" s="3" t="s">
        <v>8944</v>
      </c>
      <c r="E4848" s="3" t="s">
        <v>8545</v>
      </c>
      <c r="F4848" s="3" t="s">
        <v>8546</v>
      </c>
      <c r="G4848" s="3" t="str">
        <f>IFERROR(__xludf.DUMMYFUNCTION("GOOGLETRANSLATE(D4848,""ja"",""es"")"),"catabolismo")</f>
        <v>catabolismo</v>
      </c>
    </row>
    <row r="4849">
      <c r="A4849" s="3">
        <v>259.0</v>
      </c>
      <c r="B4849" s="3" t="s">
        <v>8148</v>
      </c>
      <c r="C4849" s="3" t="s">
        <v>8149</v>
      </c>
      <c r="D4849" s="3" t="s">
        <v>8945</v>
      </c>
      <c r="E4849" s="3" t="s">
        <v>8946</v>
      </c>
      <c r="F4849" s="3" t="s">
        <v>8947</v>
      </c>
      <c r="G4849" s="3" t="str">
        <f>IFERROR(__xludf.DUMMYFUNCTION("GOOGLETRANSLATE(D4849,""ja"",""es"")"),"Diferencista")</f>
        <v>Diferencista</v>
      </c>
    </row>
    <row r="4850">
      <c r="A4850" s="3">
        <v>260.0</v>
      </c>
      <c r="B4850" s="3" t="s">
        <v>8148</v>
      </c>
      <c r="C4850" s="3" t="s">
        <v>8149</v>
      </c>
      <c r="D4850" s="3" t="s">
        <v>8948</v>
      </c>
      <c r="E4850" s="3" t="s">
        <v>8550</v>
      </c>
      <c r="F4850" s="3" t="s">
        <v>8551</v>
      </c>
      <c r="G4850" s="3" t="str">
        <f>IFERROR(__xludf.DUMMYFUNCTION("GOOGLETRANSLATE(D4850,""ja"",""es"")"),"Reclutamiento")</f>
        <v>Reclutamiento</v>
      </c>
    </row>
    <row r="4851">
      <c r="A4851" s="3">
        <v>261.0</v>
      </c>
      <c r="B4851" s="3" t="s">
        <v>8148</v>
      </c>
      <c r="C4851" s="3" t="s">
        <v>8149</v>
      </c>
      <c r="D4851" s="3" t="s">
        <v>8949</v>
      </c>
      <c r="E4851" s="3" t="s">
        <v>2267</v>
      </c>
      <c r="F4851" s="3" t="s">
        <v>2268</v>
      </c>
      <c r="G4851" s="3" t="str">
        <f>IFERROR(__xludf.DUMMYFUNCTION("GOOGLETRANSLATE(D4851,""ja"",""es"")"),"estómago")</f>
        <v>estómago</v>
      </c>
      <c r="H4851" s="3" t="s">
        <v>8950</v>
      </c>
      <c r="I4851" s="3" t="s">
        <v>8951</v>
      </c>
      <c r="J4851" s="3" t="s">
        <v>8952</v>
      </c>
      <c r="K4851" s="3" t="s">
        <v>8953</v>
      </c>
    </row>
    <row r="4852">
      <c r="A4852" s="3">
        <v>262.0</v>
      </c>
      <c r="B4852" s="3" t="s">
        <v>8148</v>
      </c>
      <c r="C4852" s="3" t="s">
        <v>8149</v>
      </c>
      <c r="D4852" s="3" t="s">
        <v>8954</v>
      </c>
      <c r="E4852" s="3" t="s">
        <v>8545</v>
      </c>
      <c r="F4852" s="3" t="s">
        <v>8546</v>
      </c>
      <c r="G4852" s="3" t="str">
        <f>IFERROR(__xludf.DUMMYFUNCTION("GOOGLETRANSLATE(D4852,""ja"",""es"")"),"tendedero")</f>
        <v>tendedero</v>
      </c>
    </row>
    <row r="4853">
      <c r="A4853" s="3">
        <v>263.0</v>
      </c>
      <c r="B4853" s="3" t="s">
        <v>8148</v>
      </c>
      <c r="C4853" s="3" t="s">
        <v>8149</v>
      </c>
      <c r="D4853" s="3" t="s">
        <v>8955</v>
      </c>
      <c r="E4853" s="3" t="s">
        <v>8550</v>
      </c>
      <c r="F4853" s="3" t="s">
        <v>8551</v>
      </c>
      <c r="G4853" s="3" t="str">
        <f>IFERROR(__xludf.DUMMYFUNCTION("GOOGLETRANSLATE(D4853,""ja"",""es"")"),"abandono")</f>
        <v>abandono</v>
      </c>
      <c r="H4853" s="3" t="s">
        <v>8903</v>
      </c>
      <c r="I4853" s="3" t="s">
        <v>8904</v>
      </c>
      <c r="J4853" s="3" t="s">
        <v>8905</v>
      </c>
      <c r="K4853" s="3" t="s">
        <v>8906</v>
      </c>
      <c r="L4853" s="3" t="s">
        <v>8907</v>
      </c>
      <c r="M4853" s="3" t="s">
        <v>8906</v>
      </c>
      <c r="N4853" s="3" t="s">
        <v>8907</v>
      </c>
    </row>
    <row r="4854">
      <c r="A4854" s="3">
        <v>264.0</v>
      </c>
      <c r="B4854" s="3" t="s">
        <v>8148</v>
      </c>
      <c r="C4854" s="3" t="s">
        <v>8149</v>
      </c>
      <c r="D4854" s="3" t="s">
        <v>8956</v>
      </c>
      <c r="E4854" s="3" t="s">
        <v>8545</v>
      </c>
      <c r="F4854" s="3" t="s">
        <v>8546</v>
      </c>
      <c r="G4854" s="3" t="str">
        <f>IFERROR(__xludf.DUMMYFUNCTION("GOOGLETRANSLATE(D4854,""ja"",""es"")"),"Médico")</f>
        <v>Médico</v>
      </c>
      <c r="H4854" s="3" t="s">
        <v>8957</v>
      </c>
      <c r="I4854" s="3" t="s">
        <v>8958</v>
      </c>
      <c r="J4854" s="3" t="s">
        <v>8959</v>
      </c>
      <c r="K4854" s="3" t="s">
        <v>8960</v>
      </c>
      <c r="L4854" s="3" t="s">
        <v>8961</v>
      </c>
      <c r="M4854" s="3" t="s">
        <v>8962</v>
      </c>
    </row>
    <row r="4855">
      <c r="A4855" s="3">
        <v>265.0</v>
      </c>
      <c r="B4855" s="3" t="s">
        <v>8148</v>
      </c>
      <c r="C4855" s="3" t="s">
        <v>8149</v>
      </c>
      <c r="D4855" s="3" t="s">
        <v>8963</v>
      </c>
      <c r="E4855" s="3" t="s">
        <v>8545</v>
      </c>
      <c r="F4855" s="3" t="s">
        <v>8546</v>
      </c>
      <c r="G4855" s="3" t="str">
        <f>IFERROR(__xludf.DUMMYFUNCTION("GOOGLETRANSLATE(D4855,""ja"",""es"")"),"Medicamento")</f>
        <v>Medicamento</v>
      </c>
      <c r="H4855" s="3" t="s">
        <v>8964</v>
      </c>
    </row>
    <row r="4856">
      <c r="A4856" s="3">
        <v>266.0</v>
      </c>
      <c r="B4856" s="3" t="s">
        <v>8148</v>
      </c>
      <c r="C4856" s="3" t="s">
        <v>8149</v>
      </c>
      <c r="D4856" s="3" t="s">
        <v>8965</v>
      </c>
      <c r="E4856" s="3" t="s">
        <v>2267</v>
      </c>
      <c r="F4856" s="3" t="s">
        <v>2268</v>
      </c>
      <c r="G4856" s="3" t="str">
        <f>IFERROR(__xludf.DUMMYFUNCTION("GOOGLETRANSLATE(D4856,""ja"",""es"")"),"Sangrado")</f>
        <v>Sangrado</v>
      </c>
    </row>
    <row r="4857">
      <c r="A4857" s="3">
        <v>267.0</v>
      </c>
      <c r="B4857" s="3" t="s">
        <v>8148</v>
      </c>
      <c r="C4857" s="3" t="s">
        <v>8149</v>
      </c>
      <c r="D4857" s="3" t="s">
        <v>8966</v>
      </c>
      <c r="E4857" s="3" t="s">
        <v>8550</v>
      </c>
      <c r="F4857" s="3" t="s">
        <v>8551</v>
      </c>
      <c r="G4857" s="3" t="str">
        <f>IFERROR(__xludf.DUMMYFUNCTION("GOOGLETRANSLATE(D4857,""ja"",""es"")"),"Área")</f>
        <v>Área</v>
      </c>
      <c r="H4857" s="3" t="s">
        <v>8967</v>
      </c>
      <c r="I4857" s="3" t="s">
        <v>8968</v>
      </c>
      <c r="J4857" s="3" t="s">
        <v>2038</v>
      </c>
      <c r="K4857" s="3" t="s">
        <v>6315</v>
      </c>
      <c r="L4857" s="3" t="s">
        <v>8969</v>
      </c>
      <c r="M4857" s="3" t="s">
        <v>2038</v>
      </c>
      <c r="N4857" s="3" t="s">
        <v>2034</v>
      </c>
      <c r="O4857" s="3" t="s">
        <v>2039</v>
      </c>
    </row>
    <row r="4858">
      <c r="A4858" s="3">
        <v>268.0</v>
      </c>
      <c r="B4858" s="3" t="s">
        <v>8148</v>
      </c>
      <c r="C4858" s="3" t="s">
        <v>8149</v>
      </c>
      <c r="D4858" s="3" t="s">
        <v>8970</v>
      </c>
      <c r="E4858" s="3" t="s">
        <v>8971</v>
      </c>
      <c r="F4858" s="3" t="s">
        <v>8972</v>
      </c>
      <c r="G4858" s="3" t="str">
        <f>IFERROR(__xludf.DUMMYFUNCTION("GOOGLETRANSLATE(D4858,""ja"",""es"")"),"Arroz")</f>
        <v>Arroz</v>
      </c>
      <c r="H4858" s="3" t="s">
        <v>8973</v>
      </c>
    </row>
    <row r="4859">
      <c r="A4859" s="3">
        <v>269.0</v>
      </c>
      <c r="B4859" s="3" t="s">
        <v>8148</v>
      </c>
      <c r="C4859" s="3" t="s">
        <v>8149</v>
      </c>
      <c r="D4859" s="3" t="s">
        <v>8974</v>
      </c>
      <c r="E4859" s="3" t="s">
        <v>8545</v>
      </c>
      <c r="F4859" s="3" t="s">
        <v>8546</v>
      </c>
      <c r="G4859" s="3" t="str">
        <f>IFERROR(__xludf.DUMMYFUNCTION("GOOGLETRANSLATE(D4859,""ja"",""es"")"),"calamar")</f>
        <v>calamar</v>
      </c>
    </row>
    <row r="4860">
      <c r="A4860" s="3">
        <v>270.0</v>
      </c>
      <c r="B4860" s="3" t="s">
        <v>8148</v>
      </c>
      <c r="C4860" s="3" t="s">
        <v>8149</v>
      </c>
      <c r="D4860" s="3" t="s">
        <v>8975</v>
      </c>
      <c r="E4860" s="3" t="s">
        <v>8976</v>
      </c>
      <c r="F4860" s="3" t="s">
        <v>8977</v>
      </c>
      <c r="G4860" s="3" t="str">
        <f>IFERROR(__xludf.DUMMYFUNCTION("GOOGLETRANSLATE(D4860,""ja"",""es"")"),"Alas")</f>
        <v>Alas</v>
      </c>
    </row>
    <row r="4861">
      <c r="A4861" s="3">
        <v>271.0</v>
      </c>
      <c r="B4861" s="3" t="s">
        <v>8148</v>
      </c>
      <c r="C4861" s="3" t="s">
        <v>8149</v>
      </c>
      <c r="D4861" s="3" t="s">
        <v>8978</v>
      </c>
      <c r="E4861" s="3" t="s">
        <v>8979</v>
      </c>
      <c r="F4861" s="3" t="s">
        <v>8980</v>
      </c>
      <c r="G4861" s="3" t="str">
        <f>IFERROR(__xludf.DUMMYFUNCTION("GOOGLETRANSLATE(D4861,""ja"",""es"")"),"Parada de lluvia")</f>
        <v>Parada de lluvia</v>
      </c>
    </row>
    <row r="4862">
      <c r="A4862" s="3">
        <v>272.0</v>
      </c>
      <c r="B4862" s="3" t="s">
        <v>8148</v>
      </c>
      <c r="C4862" s="3" t="s">
        <v>8149</v>
      </c>
      <c r="D4862" s="3" t="s">
        <v>8981</v>
      </c>
      <c r="E4862" s="3" t="s">
        <v>8982</v>
      </c>
      <c r="F4862" s="3" t="s">
        <v>8983</v>
      </c>
      <c r="G4862" s="3" t="str">
        <f>IFERROR(__xludf.DUMMYFUNCTION("GOOGLETRANSLATE(D4862,""ja"",""es"")"),"De mala gana")</f>
        <v>De mala gana</v>
      </c>
    </row>
    <row r="4863">
      <c r="A4863" s="3">
        <v>273.0</v>
      </c>
      <c r="B4863" s="3" t="s">
        <v>8148</v>
      </c>
      <c r="C4863" s="3" t="s">
        <v>8149</v>
      </c>
      <c r="D4863" s="3" t="s">
        <v>8984</v>
      </c>
      <c r="E4863" s="3" t="s">
        <v>8985</v>
      </c>
      <c r="F4863" s="3" t="s">
        <v>8986</v>
      </c>
      <c r="G4863" s="3" t="str">
        <f>IFERROR(__xludf.DUMMYFUNCTION("GOOGLETRANSLATE(D4863,""ja"",""es"")"),"Desacuerdo")</f>
        <v>Desacuerdo</v>
      </c>
      <c r="H4863" s="3" t="s">
        <v>8987</v>
      </c>
      <c r="I4863" s="3" t="s">
        <v>8988</v>
      </c>
      <c r="J4863" s="3" t="s">
        <v>8989</v>
      </c>
      <c r="K4863" s="3" t="s">
        <v>8990</v>
      </c>
    </row>
    <row r="4864">
      <c r="A4864" s="3">
        <v>274.0</v>
      </c>
      <c r="B4864" s="3" t="s">
        <v>8148</v>
      </c>
      <c r="C4864" s="3" t="s">
        <v>8149</v>
      </c>
      <c r="D4864" s="3" t="s">
        <v>8991</v>
      </c>
      <c r="E4864" s="3" t="s">
        <v>8560</v>
      </c>
      <c r="F4864" s="3" t="s">
        <v>8561</v>
      </c>
      <c r="G4864" s="3" t="str">
        <f>IFERROR(__xludf.DUMMYFUNCTION("GOOGLETRANSLATE(D4864,""ja"",""es"")"),"Asco")</f>
        <v>Asco</v>
      </c>
    </row>
    <row r="4865">
      <c r="A4865" s="3">
        <v>275.0</v>
      </c>
      <c r="B4865" s="3" t="s">
        <v>8148</v>
      </c>
      <c r="C4865" s="3" t="s">
        <v>8149</v>
      </c>
      <c r="D4865" s="3" t="s">
        <v>8992</v>
      </c>
      <c r="E4865" s="3" t="s">
        <v>8985</v>
      </c>
      <c r="F4865" s="3" t="s">
        <v>8986</v>
      </c>
      <c r="G4865" s="3" t="str">
        <f>IFERROR(__xludf.DUMMYFUNCTION("GOOGLETRANSLATE(D4865,""ja"",""es"")"),"sarcasmo")</f>
        <v>sarcasmo</v>
      </c>
      <c r="H4865" s="3" t="s">
        <v>8987</v>
      </c>
      <c r="I4865" s="3" t="s">
        <v>8988</v>
      </c>
      <c r="J4865" s="3" t="s">
        <v>8989</v>
      </c>
      <c r="K4865" s="3" t="s">
        <v>8990</v>
      </c>
    </row>
    <row r="4866">
      <c r="A4866" s="3">
        <v>276.0</v>
      </c>
      <c r="B4866" s="3" t="s">
        <v>8148</v>
      </c>
      <c r="C4866" s="3" t="s">
        <v>8149</v>
      </c>
      <c r="D4866" s="3" t="s">
        <v>8993</v>
      </c>
      <c r="E4866" s="3" t="s">
        <v>8994</v>
      </c>
      <c r="F4866" s="3" t="s">
        <v>8995</v>
      </c>
      <c r="G4866" s="3" t="str">
        <f>IFERROR(__xludf.DUMMYFUNCTION("GOOGLETRANSLATE(D4866,""ja"",""es"")"),"Plomo")</f>
        <v>Plomo</v>
      </c>
      <c r="H4866" s="3" t="s">
        <v>2681</v>
      </c>
      <c r="I4866" s="3" t="s">
        <v>8996</v>
      </c>
      <c r="J4866" s="3" t="s">
        <v>8997</v>
      </c>
    </row>
    <row r="4867">
      <c r="A4867" s="3">
        <v>277.0</v>
      </c>
      <c r="B4867" s="3" t="s">
        <v>8148</v>
      </c>
      <c r="C4867" s="3" t="s">
        <v>8149</v>
      </c>
      <c r="D4867" s="3" t="s">
        <v>8998</v>
      </c>
      <c r="E4867" s="3" t="s">
        <v>5408</v>
      </c>
      <c r="F4867" s="3" t="s">
        <v>5409</v>
      </c>
      <c r="G4867" s="3" t="str">
        <f>IFERROR(__xludf.DUMMYFUNCTION("GOOGLETRANSLATE(D4867,""ja"",""es"")"),"amarillo")</f>
        <v>amarillo</v>
      </c>
      <c r="H4867" s="3" t="s">
        <v>5260</v>
      </c>
      <c r="I4867" s="3" t="s">
        <v>8999</v>
      </c>
    </row>
    <row r="4868">
      <c r="A4868" s="3">
        <v>278.0</v>
      </c>
      <c r="B4868" s="3" t="s">
        <v>8148</v>
      </c>
      <c r="C4868" s="3" t="s">
        <v>8149</v>
      </c>
      <c r="D4868" s="3" t="s">
        <v>9000</v>
      </c>
      <c r="E4868" s="3" t="s">
        <v>8615</v>
      </c>
      <c r="F4868" s="3" t="s">
        <v>8616</v>
      </c>
      <c r="G4868" s="3" t="str">
        <f>IFERROR(__xludf.DUMMYFUNCTION("GOOGLETRANSLATE(D4868,""ja"",""es"")"),"Amarillo")</f>
        <v>Amarillo</v>
      </c>
    </row>
    <row r="4869">
      <c r="A4869" s="3">
        <v>279.0</v>
      </c>
      <c r="B4869" s="3" t="s">
        <v>8148</v>
      </c>
      <c r="C4869" s="3" t="s">
        <v>8149</v>
      </c>
      <c r="D4869" s="3" t="s">
        <v>9001</v>
      </c>
      <c r="E4869" s="3" t="s">
        <v>9002</v>
      </c>
      <c r="F4869" s="3" t="s">
        <v>9003</v>
      </c>
      <c r="G4869" s="3" t="str">
        <f>IFERROR(__xludf.DUMMYFUNCTION("GOOGLETRANSLATE(D4869,""ja"",""es"")"),"Amarillento")</f>
        <v>Amarillento</v>
      </c>
      <c r="H4869" s="3" t="s">
        <v>5260</v>
      </c>
      <c r="I4869" s="3" t="s">
        <v>8999</v>
      </c>
    </row>
    <row r="4870">
      <c r="A4870" s="3">
        <v>280.0</v>
      </c>
      <c r="B4870" s="3" t="s">
        <v>8148</v>
      </c>
      <c r="C4870" s="3" t="s">
        <v>8149</v>
      </c>
      <c r="D4870" s="3" t="s">
        <v>9004</v>
      </c>
      <c r="E4870" s="3" t="s">
        <v>9002</v>
      </c>
      <c r="F4870" s="3" t="s">
        <v>9003</v>
      </c>
      <c r="G4870" s="3" t="str">
        <f>IFERROR(__xludf.DUMMYFUNCTION("GOOGLETRANSLATE(D4870,""ja"",""es"")"),"yema de huevo")</f>
        <v>yema de huevo</v>
      </c>
      <c r="H4870" s="3" t="s">
        <v>9005</v>
      </c>
      <c r="I4870" s="3" t="s">
        <v>9006</v>
      </c>
    </row>
    <row r="4871">
      <c r="A4871" s="3">
        <v>281.0</v>
      </c>
      <c r="B4871" s="3" t="s">
        <v>8148</v>
      </c>
      <c r="C4871" s="3" t="s">
        <v>8149</v>
      </c>
      <c r="D4871" s="3" t="s">
        <v>9007</v>
      </c>
      <c r="E4871" s="3" t="s">
        <v>8615</v>
      </c>
      <c r="F4871" s="3" t="s">
        <v>8616</v>
      </c>
      <c r="G4871" s="3" t="str">
        <f>IFERROR(__xludf.DUMMYFUNCTION("GOOGLETRANSLATE(D4871,""ja"",""es"")"),"Lingan amarillo")</f>
        <v>Lingan amarillo</v>
      </c>
    </row>
    <row r="4872">
      <c r="A4872" s="3">
        <v>282.0</v>
      </c>
      <c r="B4872" s="3" t="s">
        <v>8148</v>
      </c>
      <c r="C4872" s="3" t="s">
        <v>8149</v>
      </c>
      <c r="D4872" s="3" t="s">
        <v>9008</v>
      </c>
      <c r="E4872" s="3" t="s">
        <v>9002</v>
      </c>
      <c r="F4872" s="3" t="s">
        <v>9003</v>
      </c>
      <c r="G4872" s="3" t="str">
        <f>IFERROR(__xludf.DUMMYFUNCTION("GOOGLETRANSLATE(D4872,""ja"",""es"")"),"Amarillento")</f>
        <v>Amarillento</v>
      </c>
    </row>
    <row r="4873">
      <c r="A4873" s="3">
        <v>283.0</v>
      </c>
      <c r="B4873" s="3" t="s">
        <v>8148</v>
      </c>
      <c r="C4873" s="3" t="s">
        <v>8149</v>
      </c>
      <c r="D4873" s="3" t="s">
        <v>9009</v>
      </c>
      <c r="E4873" s="3" t="s">
        <v>8142</v>
      </c>
      <c r="F4873" s="3" t="s">
        <v>126</v>
      </c>
      <c r="G4873" s="3" t="str">
        <f>IFERROR(__xludf.DUMMYFUNCTION("GOOGLETRANSLATE(D4873,""ja"",""es"")"),"Comercio")</f>
        <v>Comercio</v>
      </c>
      <c r="H4873" s="3" t="s">
        <v>9010</v>
      </c>
      <c r="I4873" s="3" t="s">
        <v>8754</v>
      </c>
      <c r="J4873" s="3" t="s">
        <v>9011</v>
      </c>
      <c r="K4873" s="3" t="s">
        <v>9012</v>
      </c>
      <c r="L4873" s="3" t="s">
        <v>9013</v>
      </c>
      <c r="M4873" s="3" t="s">
        <v>9014</v>
      </c>
      <c r="N4873" s="3" t="s">
        <v>5944</v>
      </c>
    </row>
    <row r="4874">
      <c r="A4874" s="3">
        <v>284.0</v>
      </c>
      <c r="B4874" s="3" t="s">
        <v>8148</v>
      </c>
      <c r="C4874" s="3" t="s">
        <v>8149</v>
      </c>
      <c r="D4874" s="3" t="s">
        <v>9015</v>
      </c>
      <c r="E4874" s="3" t="s">
        <v>9016</v>
      </c>
      <c r="F4874" s="3" t="s">
        <v>9017</v>
      </c>
      <c r="G4874" s="3" t="str">
        <f>IFERROR(__xludf.DUMMYFUNCTION("GOOGLETRANSLATE(D4874,""ja"",""es"")"),"Hambriento")</f>
        <v>Hambriento</v>
      </c>
    </row>
    <row r="4875">
      <c r="A4875" s="3">
        <v>285.0</v>
      </c>
      <c r="B4875" s="3" t="s">
        <v>8148</v>
      </c>
      <c r="C4875" s="3" t="s">
        <v>8149</v>
      </c>
      <c r="D4875" s="3" t="s">
        <v>9018</v>
      </c>
      <c r="E4875" s="3" t="s">
        <v>9019</v>
      </c>
      <c r="F4875" s="3" t="s">
        <v>9020</v>
      </c>
      <c r="G4875" s="3" t="str">
        <f>IFERROR(__xludf.DUMMYFUNCTION("GOOGLETRANSLATE(D4875,""ja"",""es"")"),"Calor")</f>
        <v>Calor</v>
      </c>
      <c r="H4875" s="3" t="s">
        <v>9021</v>
      </c>
      <c r="I4875" s="3" t="s">
        <v>9022</v>
      </c>
      <c r="J4875" s="3" t="s">
        <v>9023</v>
      </c>
      <c r="K4875" s="3" t="s">
        <v>9024</v>
      </c>
      <c r="L4875" s="3" t="s">
        <v>9025</v>
      </c>
      <c r="M4875" s="3" t="s">
        <v>8912</v>
      </c>
      <c r="N4875" s="3" t="s">
        <v>9026</v>
      </c>
      <c r="O4875" s="3" t="s">
        <v>9027</v>
      </c>
      <c r="P4875" s="3" t="s">
        <v>9028</v>
      </c>
      <c r="Q4875" s="3" t="s">
        <v>9027</v>
      </c>
      <c r="R4875" s="3" t="s">
        <v>9029</v>
      </c>
    </row>
    <row r="4876">
      <c r="A4876" s="3">
        <v>286.0</v>
      </c>
      <c r="B4876" s="3" t="s">
        <v>8148</v>
      </c>
      <c r="C4876" s="3" t="s">
        <v>8149</v>
      </c>
      <c r="D4876" s="3" t="s">
        <v>9030</v>
      </c>
      <c r="E4876" s="3" t="s">
        <v>2514</v>
      </c>
      <c r="F4876" s="3" t="s">
        <v>2513</v>
      </c>
      <c r="G4876" s="3" t="str">
        <f>IFERROR(__xludf.DUMMYFUNCTION("GOOGLETRANSLATE(D4876,""ja"",""es"")"),"el siguiente descrito")</f>
        <v>el siguiente descrito</v>
      </c>
    </row>
    <row r="4877">
      <c r="A4877" s="3">
        <v>287.0</v>
      </c>
      <c r="B4877" s="3" t="s">
        <v>8148</v>
      </c>
      <c r="C4877" s="3" t="s">
        <v>8149</v>
      </c>
      <c r="D4877" s="3" t="s">
        <v>9031</v>
      </c>
      <c r="E4877" s="3" t="s">
        <v>8601</v>
      </c>
      <c r="F4877" s="3" t="s">
        <v>8602</v>
      </c>
      <c r="G4877" s="3" t="str">
        <f>IFERROR(__xludf.DUMMYFUNCTION("GOOGLETRANSLATE(D4877,""ja"",""es"")"),"Subordinar")</f>
        <v>Subordinar</v>
      </c>
    </row>
    <row r="4878">
      <c r="A4878" s="3">
        <v>288.0</v>
      </c>
      <c r="B4878" s="3" t="s">
        <v>8148</v>
      </c>
      <c r="C4878" s="3" t="s">
        <v>8149</v>
      </c>
      <c r="D4878" s="3" t="s">
        <v>9032</v>
      </c>
      <c r="E4878" s="3" t="s">
        <v>5376</v>
      </c>
      <c r="F4878" s="3" t="s">
        <v>5377</v>
      </c>
      <c r="G4878" s="3" t="str">
        <f>IFERROR(__xludf.DUMMYFUNCTION("GOOGLETRANSLATE(D4878,""ja"",""es"")"),"Conversión")</f>
        <v>Conversión</v>
      </c>
    </row>
    <row r="4879">
      <c r="A4879" s="3">
        <v>289.0</v>
      </c>
      <c r="B4879" s="3" t="s">
        <v>8148</v>
      </c>
      <c r="C4879" s="3" t="s">
        <v>8149</v>
      </c>
      <c r="D4879" s="3" t="s">
        <v>9033</v>
      </c>
      <c r="E4879" s="3" t="s">
        <v>9034</v>
      </c>
      <c r="F4879" s="3" t="s">
        <v>9035</v>
      </c>
      <c r="G4879" s="3" t="str">
        <f>IFERROR(__xludf.DUMMYFUNCTION("GOOGLETRANSLATE(D4879,""ja"",""es"")"),"Y si")</f>
        <v>Y si</v>
      </c>
      <c r="H4879" s="3" t="s">
        <v>9036</v>
      </c>
      <c r="I4879" s="3" t="s">
        <v>9037</v>
      </c>
      <c r="J4879" s="3" t="s">
        <v>9038</v>
      </c>
      <c r="K4879" s="3" t="s">
        <v>9039</v>
      </c>
    </row>
    <row r="4880">
      <c r="A4880" s="3">
        <v>290.0</v>
      </c>
      <c r="B4880" s="3" t="s">
        <v>8148</v>
      </c>
      <c r="C4880" s="3" t="s">
        <v>8149</v>
      </c>
      <c r="D4880" s="3" t="s">
        <v>9040</v>
      </c>
      <c r="E4880" s="3" t="s">
        <v>8601</v>
      </c>
      <c r="F4880" s="3" t="s">
        <v>8602</v>
      </c>
      <c r="G4880" s="3" t="str">
        <f>IFERROR(__xludf.DUMMYFUNCTION("GOOGLETRANSLATE(D4880,""ja"",""es"")"),"Temporario")</f>
        <v>Temporario</v>
      </c>
    </row>
    <row r="4881">
      <c r="A4881" s="3">
        <v>291.0</v>
      </c>
      <c r="B4881" s="3" t="s">
        <v>8148</v>
      </c>
      <c r="C4881" s="3" t="s">
        <v>8149</v>
      </c>
      <c r="D4881" s="3" t="s">
        <v>9041</v>
      </c>
      <c r="E4881" s="3" t="s">
        <v>9042</v>
      </c>
      <c r="F4881" s="3" t="s">
        <v>9043</v>
      </c>
      <c r="G4881" s="3" t="str">
        <f>IFERROR(__xludf.DUMMYFUNCTION("GOOGLETRANSLATE(D4881,""ja"",""es"")"),"Casa temporal")</f>
        <v>Casa temporal</v>
      </c>
    </row>
    <row r="4882">
      <c r="A4882" s="3">
        <v>292.0</v>
      </c>
      <c r="B4882" s="3" t="s">
        <v>8148</v>
      </c>
      <c r="C4882" s="3" t="s">
        <v>8149</v>
      </c>
      <c r="D4882" s="3" t="s">
        <v>9044</v>
      </c>
      <c r="E4882" s="3" t="s">
        <v>9045</v>
      </c>
      <c r="F4882" s="3" t="s">
        <v>9046</v>
      </c>
      <c r="G4882" s="3" t="str">
        <f>IFERROR(__xludf.DUMMYFUNCTION("GOOGLETRANSLATE(D4882,""ja"",""es"")"),"santuario temporal")</f>
        <v>santuario temporal</v>
      </c>
    </row>
    <row r="4883">
      <c r="A4883" s="3">
        <v>293.0</v>
      </c>
      <c r="B4883" s="3" t="s">
        <v>8148</v>
      </c>
      <c r="C4883" s="3" t="s">
        <v>8149</v>
      </c>
      <c r="D4883" s="3" t="s">
        <v>9047</v>
      </c>
      <c r="E4883" s="3" t="s">
        <v>1162</v>
      </c>
      <c r="F4883" s="3" t="s">
        <v>1163</v>
      </c>
      <c r="G4883" s="3" t="str">
        <f>IFERROR(__xludf.DUMMYFUNCTION("GOOGLETRANSLATE(D4883,""ja"",""es"")"),"Carácter temporal")</f>
        <v>Carácter temporal</v>
      </c>
    </row>
    <row r="4884">
      <c r="A4884" s="3">
        <v>294.0</v>
      </c>
      <c r="B4884" s="3" t="s">
        <v>8148</v>
      </c>
      <c r="C4884" s="3" t="s">
        <v>8149</v>
      </c>
      <c r="D4884" s="3" t="s">
        <v>9048</v>
      </c>
      <c r="E4884" s="3" t="s">
        <v>9049</v>
      </c>
      <c r="F4884" s="3" t="s">
        <v>9050</v>
      </c>
      <c r="G4884" s="3" t="str">
        <f>IFERROR(__xludf.DUMMYFUNCTION("GOOGLETRANSLATE(D4884,""ja"",""es"")"),"qué")</f>
        <v>qué</v>
      </c>
    </row>
    <row r="4885">
      <c r="A4885" s="3">
        <v>295.0</v>
      </c>
      <c r="B4885" s="3" t="s">
        <v>8148</v>
      </c>
      <c r="C4885" s="3" t="s">
        <v>8149</v>
      </c>
      <c r="D4885" s="3" t="s">
        <v>9051</v>
      </c>
      <c r="E4885" s="3" t="s">
        <v>9052</v>
      </c>
      <c r="F4885" s="3" t="s">
        <v>9053</v>
      </c>
      <c r="G4885" s="3" t="str">
        <f>IFERROR(__xludf.DUMMYFUNCTION("GOOGLETRANSLATE(D4885,""ja"",""es"")"),"Algo para él")</f>
        <v>Algo para él</v>
      </c>
    </row>
    <row r="4886">
      <c r="A4886" s="3">
        <v>296.0</v>
      </c>
      <c r="B4886" s="3" t="s">
        <v>8148</v>
      </c>
      <c r="C4886" s="3" t="s">
        <v>8149</v>
      </c>
      <c r="D4886" s="3" t="s">
        <v>9054</v>
      </c>
      <c r="E4886" s="3" t="s">
        <v>9055</v>
      </c>
      <c r="F4886" s="3" t="s">
        <v>9056</v>
      </c>
      <c r="G4886" s="3" t="str">
        <f>IFERROR(__xludf.DUMMYFUNCTION("GOOGLETRANSLATE(D4886,""ja"",""es"")"),"Qué")</f>
        <v>Qué</v>
      </c>
    </row>
    <row r="4887">
      <c r="A4887" s="3">
        <v>297.0</v>
      </c>
      <c r="B4887" s="3" t="s">
        <v>8148</v>
      </c>
      <c r="C4887" s="3" t="s">
        <v>8149</v>
      </c>
      <c r="D4887" s="3" t="s">
        <v>9057</v>
      </c>
      <c r="E4887" s="3" t="s">
        <v>9058</v>
      </c>
      <c r="F4887" s="3" t="s">
        <v>9059</v>
      </c>
      <c r="G4887" s="3" t="str">
        <f>IFERROR(__xludf.DUMMYFUNCTION("GOOGLETRANSLATE(D4887,""ja"",""es"")"),"alguna cosa")</f>
        <v>alguna cosa</v>
      </c>
    </row>
    <row r="4888">
      <c r="A4888" s="3">
        <v>298.0</v>
      </c>
      <c r="B4888" s="3" t="s">
        <v>8148</v>
      </c>
      <c r="C4888" s="3" t="s">
        <v>8149</v>
      </c>
      <c r="D4888" s="3" t="s">
        <v>9060</v>
      </c>
      <c r="E4888" s="3" t="s">
        <v>9061</v>
      </c>
      <c r="F4888" s="3" t="s">
        <v>9062</v>
      </c>
      <c r="G4888" s="3" t="str">
        <f>IFERROR(__xludf.DUMMYFUNCTION("GOOGLETRANSLATE(D4888,""ja"",""es"")"),"Alguna cosa")</f>
        <v>Alguna cosa</v>
      </c>
    </row>
    <row r="4889">
      <c r="A4889" s="3">
        <v>299.0</v>
      </c>
      <c r="B4889" s="3" t="s">
        <v>8148</v>
      </c>
      <c r="C4889" s="3" t="s">
        <v>8149</v>
      </c>
      <c r="D4889" s="3" t="s">
        <v>9063</v>
      </c>
      <c r="E4889" s="3" t="s">
        <v>9061</v>
      </c>
      <c r="F4889" s="3" t="s">
        <v>9062</v>
      </c>
      <c r="G4889" s="3" t="str">
        <f>IFERROR(__xludf.DUMMYFUNCTION("GOOGLETRANSLATE(D4889,""ja"",""es"")"),"De alguna manera para él")</f>
        <v>De alguna manera para él</v>
      </c>
    </row>
    <row r="4890">
      <c r="A4890" s="3">
        <v>300.0</v>
      </c>
      <c r="B4890" s="3" t="s">
        <v>8148</v>
      </c>
      <c r="C4890" s="3" t="s">
        <v>8149</v>
      </c>
      <c r="D4890" s="3" t="s">
        <v>9064</v>
      </c>
      <c r="E4890" s="3" t="s">
        <v>9065</v>
      </c>
      <c r="F4890" s="3" t="s">
        <v>9066</v>
      </c>
      <c r="G4890" s="3" t="str">
        <f>IFERROR(__xludf.DUMMYFUNCTION("GOOGLETRANSLATE(D4890,""ja"",""es"")"),"De alguna manera él y él")</f>
        <v>De alguna manera él y él</v>
      </c>
    </row>
    <row r="4891">
      <c r="A4891" s="3">
        <v>301.0</v>
      </c>
      <c r="B4891" s="3" t="s">
        <v>8148</v>
      </c>
      <c r="C4891" s="3" t="s">
        <v>8149</v>
      </c>
      <c r="D4891" s="3" t="s">
        <v>9067</v>
      </c>
      <c r="E4891" s="3" t="s">
        <v>9068</v>
      </c>
      <c r="F4891" s="3" t="s">
        <v>9069</v>
      </c>
      <c r="G4891" s="3" t="str">
        <f>IFERROR(__xludf.DUMMYFUNCTION("GOOGLETRANSLATE(D4891,""ja"",""es"")"),"Oye y")</f>
        <v>Oye y</v>
      </c>
    </row>
    <row r="4892">
      <c r="A4892" s="3">
        <v>302.0</v>
      </c>
      <c r="B4892" s="3" t="s">
        <v>8148</v>
      </c>
      <c r="C4892" s="3" t="s">
        <v>8149</v>
      </c>
      <c r="D4892" s="3" t="s">
        <v>9070</v>
      </c>
      <c r="E4892" s="3" t="s">
        <v>9049</v>
      </c>
      <c r="F4892" s="3" t="s">
        <v>9050</v>
      </c>
      <c r="G4892" s="3" t="str">
        <f>IFERROR(__xludf.DUMMYFUNCTION("GOOGLETRANSLATE(D4892,""ja"",""es"")"),"Qué")</f>
        <v>Qué</v>
      </c>
    </row>
    <row r="4893">
      <c r="A4893" s="3">
        <v>303.0</v>
      </c>
      <c r="B4893" s="3" t="s">
        <v>8148</v>
      </c>
      <c r="C4893" s="3" t="s">
        <v>8149</v>
      </c>
      <c r="D4893" s="3" t="s">
        <v>9071</v>
      </c>
      <c r="E4893" s="3" t="s">
        <v>9055</v>
      </c>
      <c r="F4893" s="3" t="s">
        <v>9056</v>
      </c>
      <c r="G4893" s="3" t="str">
        <f>IFERROR(__xludf.DUMMYFUNCTION("GOOGLETRANSLATE(D4893,""ja"",""es"")"),"Que tipo de")</f>
        <v>Que tipo de</v>
      </c>
    </row>
    <row r="4894">
      <c r="A4894" s="3">
        <v>304.0</v>
      </c>
      <c r="B4894" s="3" t="s">
        <v>8148</v>
      </c>
      <c r="C4894" s="3" t="s">
        <v>8149</v>
      </c>
      <c r="D4894" s="3" t="s">
        <v>9072</v>
      </c>
      <c r="E4894" s="3" t="s">
        <v>5376</v>
      </c>
      <c r="F4894" s="3" t="s">
        <v>5377</v>
      </c>
      <c r="G4894" s="3" t="str">
        <f>IFERROR(__xludf.DUMMYFUNCTION("GOOGLETRANSLATE(D4894,""ja"",""es"")"),"Hermoso")</f>
        <v>Hermoso</v>
      </c>
      <c r="H4894" s="3" t="s">
        <v>9073</v>
      </c>
      <c r="I4894" s="3" t="s">
        <v>9074</v>
      </c>
    </row>
    <row r="4895">
      <c r="A4895" s="3">
        <v>305.0</v>
      </c>
      <c r="B4895" s="3" t="s">
        <v>8148</v>
      </c>
      <c r="C4895" s="3" t="s">
        <v>8149</v>
      </c>
      <c r="D4895" s="3" t="s">
        <v>9075</v>
      </c>
      <c r="E4895" s="3" t="s">
        <v>8678</v>
      </c>
      <c r="F4895" s="3" t="s">
        <v>8679</v>
      </c>
      <c r="G4895" s="3" t="str">
        <f>IFERROR(__xludf.DUMMYFUNCTION("GOOGLETRANSLATE(D4895,""ja"",""es"")"),"sabor delicioso")</f>
        <v>sabor delicioso</v>
      </c>
    </row>
    <row r="4896">
      <c r="A4896" s="3">
        <v>306.0</v>
      </c>
      <c r="B4896" s="3" t="s">
        <v>8148</v>
      </c>
      <c r="C4896" s="3" t="s">
        <v>8149</v>
      </c>
      <c r="D4896" s="3" t="s">
        <v>9076</v>
      </c>
      <c r="E4896" s="3" t="s">
        <v>5376</v>
      </c>
      <c r="F4896" s="3" t="s">
        <v>5377</v>
      </c>
      <c r="G4896" s="3" t="str">
        <f>IFERROR(__xludf.DUMMYFUNCTION("GOOGLETRANSLATE(D4896,""ja"",""es"")"),"Suma")</f>
        <v>Suma</v>
      </c>
      <c r="H4896" s="3" t="s">
        <v>9077</v>
      </c>
      <c r="I4896" s="3" t="s">
        <v>9078</v>
      </c>
    </row>
    <row r="4897">
      <c r="A4897" s="3">
        <v>307.0</v>
      </c>
      <c r="B4897" s="3" t="s">
        <v>8148</v>
      </c>
      <c r="C4897" s="3" t="s">
        <v>8149</v>
      </c>
      <c r="D4897" s="3" t="s">
        <v>9079</v>
      </c>
      <c r="E4897" s="3" t="s">
        <v>8678</v>
      </c>
      <c r="F4897" s="3" t="s">
        <v>8679</v>
      </c>
      <c r="G4897" s="3" t="str">
        <f>IFERROR(__xludf.DUMMYFUNCTION("GOOGLETRANSLATE(D4897,""ja"",""es"")"),"Suplente")</f>
        <v>Suplente</v>
      </c>
      <c r="H4897" s="3" t="s">
        <v>9080</v>
      </c>
      <c r="I4897" s="3" t="s">
        <v>9081</v>
      </c>
      <c r="J4897" s="3" t="s">
        <v>9082</v>
      </c>
      <c r="K4897" s="3" t="s">
        <v>9083</v>
      </c>
      <c r="L4897" s="3" t="s">
        <v>9084</v>
      </c>
      <c r="M4897" s="3" t="s">
        <v>9085</v>
      </c>
    </row>
    <row r="4898">
      <c r="A4898" s="3">
        <v>308.0</v>
      </c>
      <c r="B4898" s="3" t="s">
        <v>8148</v>
      </c>
      <c r="C4898" s="3" t="s">
        <v>8149</v>
      </c>
      <c r="D4898" s="3" t="s">
        <v>9086</v>
      </c>
      <c r="E4898" s="3" t="s">
        <v>8601</v>
      </c>
      <c r="F4898" s="3" t="s">
        <v>8602</v>
      </c>
      <c r="G4898" s="3" t="str">
        <f>IFERROR(__xludf.DUMMYFUNCTION("GOOGLETRANSLATE(D4898,""ja"",""es"")"),"potasio")</f>
        <v>potasio</v>
      </c>
      <c r="H4898" s="3" t="s">
        <v>7140</v>
      </c>
      <c r="I4898" s="3" t="s">
        <v>3750</v>
      </c>
      <c r="J4898" s="3" t="s">
        <v>7141</v>
      </c>
    </row>
    <row r="4899">
      <c r="A4899" s="3">
        <v>309.0</v>
      </c>
      <c r="B4899" s="3" t="s">
        <v>8148</v>
      </c>
      <c r="C4899" s="3" t="s">
        <v>8149</v>
      </c>
      <c r="D4899" s="3" t="s">
        <v>9087</v>
      </c>
      <c r="E4899" s="3" t="s">
        <v>5376</v>
      </c>
      <c r="F4899" s="3" t="s">
        <v>5377</v>
      </c>
      <c r="G4899" s="3" t="str">
        <f>IFERROR(__xludf.DUMMYFUNCTION("GOOGLETRANSLATE(D4899,""ja"",""es"")"),"Posible")</f>
        <v>Posible</v>
      </c>
    </row>
    <row r="4900">
      <c r="A4900" s="3">
        <v>310.0</v>
      </c>
      <c r="B4900" s="3" t="s">
        <v>8148</v>
      </c>
      <c r="C4900" s="3" t="s">
        <v>8149</v>
      </c>
      <c r="D4900" s="3" t="s">
        <v>9088</v>
      </c>
      <c r="E4900" s="3" t="s">
        <v>9089</v>
      </c>
      <c r="F4900" s="3" t="s">
        <v>9090</v>
      </c>
      <c r="G4900" s="3" t="str">
        <f>IFERROR(__xludf.DUMMYFUNCTION("GOOGLETRANSLATE(D4900,""ja"",""es"")"),"Posible")</f>
        <v>Posible</v>
      </c>
      <c r="H4900" s="3" t="s">
        <v>9091</v>
      </c>
      <c r="I4900" s="3" t="s">
        <v>9092</v>
      </c>
      <c r="J4900" s="3" t="s">
        <v>9093</v>
      </c>
      <c r="K4900" s="3" t="s">
        <v>9094</v>
      </c>
      <c r="L4900" s="3" t="s">
        <v>9095</v>
      </c>
      <c r="M4900" s="3" t="s">
        <v>9096</v>
      </c>
      <c r="N4900" s="3" t="s">
        <v>9097</v>
      </c>
      <c r="O4900" s="3" t="s">
        <v>9098</v>
      </c>
      <c r="P4900" s="3" t="s">
        <v>9094</v>
      </c>
      <c r="Q4900" s="3" t="s">
        <v>9098</v>
      </c>
      <c r="R4900" s="3" t="s">
        <v>9099</v>
      </c>
      <c r="S4900" s="3" t="s">
        <v>9100</v>
      </c>
      <c r="T4900" s="3" t="s">
        <v>9101</v>
      </c>
      <c r="U4900" s="3" t="s">
        <v>9102</v>
      </c>
      <c r="V4900" s="3" t="s">
        <v>9103</v>
      </c>
      <c r="W4900" s="3" t="s">
        <v>9104</v>
      </c>
      <c r="X4900" s="3" t="s">
        <v>9105</v>
      </c>
      <c r="Y4900" s="3" t="s">
        <v>9106</v>
      </c>
      <c r="Z4900" s="3" t="s">
        <v>9107</v>
      </c>
      <c r="AA4900" s="3" t="s">
        <v>9108</v>
      </c>
      <c r="AB4900" s="3" t="s">
        <v>9109</v>
      </c>
      <c r="AC4900" s="3" t="s">
        <v>9110</v>
      </c>
      <c r="AD4900" s="3" t="s">
        <v>9111</v>
      </c>
      <c r="AE4900" s="3" t="s">
        <v>9112</v>
      </c>
      <c r="AF4900" s="3" t="s">
        <v>9113</v>
      </c>
      <c r="AG4900" s="3" t="s">
        <v>9114</v>
      </c>
      <c r="AH4900" s="3" t="s">
        <v>9115</v>
      </c>
      <c r="AI4900" s="3" t="s">
        <v>9116</v>
      </c>
      <c r="AJ4900" s="3" t="s">
        <v>9117</v>
      </c>
      <c r="AK4900" s="3" t="s">
        <v>9118</v>
      </c>
      <c r="AL4900" s="3" t="s">
        <v>9115</v>
      </c>
      <c r="AM4900" s="3" t="s">
        <v>9116</v>
      </c>
    </row>
    <row r="4901">
      <c r="A4901" s="3">
        <v>311.0</v>
      </c>
      <c r="B4901" s="3" t="s">
        <v>8148</v>
      </c>
      <c r="C4901" s="3" t="s">
        <v>8149</v>
      </c>
      <c r="D4901" s="3" t="s">
        <v>9119</v>
      </c>
      <c r="E4901" s="3" t="s">
        <v>9089</v>
      </c>
      <c r="F4901" s="3" t="s">
        <v>9090</v>
      </c>
      <c r="G4901" s="3" t="str">
        <f>IFERROR(__xludf.DUMMYFUNCTION("GOOGLETRANSLATE(D4901,""ja"",""es"")"),"Aya")</f>
        <v>Aya</v>
      </c>
      <c r="H4901" s="3" t="s">
        <v>9091</v>
      </c>
      <c r="I4901" s="3" t="s">
        <v>9092</v>
      </c>
      <c r="J4901" s="3" t="s">
        <v>9093</v>
      </c>
      <c r="K4901" s="3" t="s">
        <v>9094</v>
      </c>
      <c r="L4901" s="3" t="s">
        <v>9095</v>
      </c>
      <c r="M4901" s="3" t="s">
        <v>9096</v>
      </c>
      <c r="N4901" s="3" t="s">
        <v>9097</v>
      </c>
      <c r="O4901" s="3" t="s">
        <v>9098</v>
      </c>
      <c r="P4901" s="3" t="s">
        <v>9094</v>
      </c>
      <c r="Q4901" s="3" t="s">
        <v>9098</v>
      </c>
      <c r="R4901" s="3" t="s">
        <v>9099</v>
      </c>
      <c r="S4901" s="3" t="s">
        <v>9100</v>
      </c>
      <c r="T4901" s="3" t="s">
        <v>9101</v>
      </c>
      <c r="U4901" s="3" t="s">
        <v>9102</v>
      </c>
      <c r="V4901" s="3" t="s">
        <v>9103</v>
      </c>
      <c r="W4901" s="3" t="s">
        <v>9104</v>
      </c>
      <c r="X4901" s="3" t="s">
        <v>9105</v>
      </c>
      <c r="Y4901" s="3" t="s">
        <v>9106</v>
      </c>
      <c r="Z4901" s="3" t="s">
        <v>9107</v>
      </c>
      <c r="AA4901" s="3" t="s">
        <v>9108</v>
      </c>
      <c r="AB4901" s="3" t="s">
        <v>9109</v>
      </c>
      <c r="AC4901" s="3" t="s">
        <v>9110</v>
      </c>
      <c r="AD4901" s="3" t="s">
        <v>9111</v>
      </c>
      <c r="AE4901" s="3" t="s">
        <v>9112</v>
      </c>
      <c r="AF4901" s="3" t="s">
        <v>9113</v>
      </c>
      <c r="AG4901" s="3" t="s">
        <v>9114</v>
      </c>
      <c r="AH4901" s="3" t="s">
        <v>9115</v>
      </c>
      <c r="AI4901" s="3" t="s">
        <v>9116</v>
      </c>
      <c r="AJ4901" s="3" t="s">
        <v>9117</v>
      </c>
      <c r="AK4901" s="3" t="s">
        <v>9118</v>
      </c>
      <c r="AL4901" s="3" t="s">
        <v>9115</v>
      </c>
      <c r="AM4901" s="3" t="s">
        <v>9116</v>
      </c>
    </row>
    <row r="4902">
      <c r="A4902" s="3">
        <v>312.0</v>
      </c>
      <c r="B4902" s="3" t="s">
        <v>8148</v>
      </c>
      <c r="C4902" s="3" t="s">
        <v>8149</v>
      </c>
      <c r="D4902" s="3" t="s">
        <v>9120</v>
      </c>
      <c r="E4902" s="3" t="s">
        <v>2514</v>
      </c>
      <c r="F4902" s="3" t="s">
        <v>2513</v>
      </c>
      <c r="G4902" s="3" t="str">
        <f>IFERROR(__xludf.DUMMYFUNCTION("GOOGLETRANSLATE(D4902,""ja"",""es"")"),"el verano")</f>
        <v>el verano</v>
      </c>
      <c r="H4902" s="3" t="s">
        <v>9121</v>
      </c>
      <c r="I4902" s="3" t="s">
        <v>9122</v>
      </c>
    </row>
    <row r="4903">
      <c r="A4903" s="3">
        <v>313.0</v>
      </c>
      <c r="B4903" s="3" t="s">
        <v>8148</v>
      </c>
      <c r="C4903" s="3" t="s">
        <v>8149</v>
      </c>
      <c r="D4903" s="3" t="s">
        <v>9123</v>
      </c>
      <c r="E4903" s="3" t="s">
        <v>9124</v>
      </c>
      <c r="F4903" s="3" t="s">
        <v>9125</v>
      </c>
      <c r="G4903" s="3" t="str">
        <f>IFERROR(__xludf.DUMMYFUNCTION("GOOGLETRANSLATE(D4903,""ja"",""es"")"),"Rathing de una casa")</f>
        <v>Rathing de una casa</v>
      </c>
    </row>
    <row r="4904">
      <c r="A4904" s="3">
        <v>314.0</v>
      </c>
      <c r="B4904" s="3" t="s">
        <v>8148</v>
      </c>
      <c r="C4904" s="3" t="s">
        <v>8149</v>
      </c>
      <c r="D4904" s="3" t="s">
        <v>9126</v>
      </c>
      <c r="E4904" s="3" t="s">
        <v>2514</v>
      </c>
      <c r="F4904" s="3" t="s">
        <v>2513</v>
      </c>
      <c r="G4904" s="3" t="str">
        <f>IFERROR(__xludf.DUMMYFUNCTION("GOOGLETRANSLATE(D4904,""ja"",""es"")"),"Arma de fuego")</f>
        <v>Arma de fuego</v>
      </c>
      <c r="H4904" s="3" t="s">
        <v>9127</v>
      </c>
    </row>
    <row r="4905">
      <c r="A4905" s="3">
        <v>315.0</v>
      </c>
      <c r="B4905" s="3" t="s">
        <v>8148</v>
      </c>
      <c r="C4905" s="3" t="s">
        <v>8149</v>
      </c>
      <c r="D4905" s="3" t="s">
        <v>9128</v>
      </c>
      <c r="E4905" s="3" t="s">
        <v>9129</v>
      </c>
      <c r="F4905" s="3" t="s">
        <v>9130</v>
      </c>
      <c r="G4905" s="3" t="str">
        <f>IFERROR(__xludf.DUMMYFUNCTION("GOOGLETRANSLATE(D4905,""ja"",""es"")"),"flor")</f>
        <v>flor</v>
      </c>
      <c r="H4905" s="3" t="s">
        <v>4942</v>
      </c>
      <c r="I4905" s="3" t="s">
        <v>4945</v>
      </c>
      <c r="J4905" s="3" t="s">
        <v>4946</v>
      </c>
      <c r="K4905" s="3" t="s">
        <v>4942</v>
      </c>
      <c r="L4905" s="3" t="s">
        <v>4943</v>
      </c>
      <c r="M4905" s="3" t="s">
        <v>1954</v>
      </c>
      <c r="N4905" s="3" t="s">
        <v>4944</v>
      </c>
      <c r="O4905" s="3" t="s">
        <v>4945</v>
      </c>
      <c r="P4905" s="3" t="s">
        <v>4946</v>
      </c>
      <c r="Q4905" s="3" t="s">
        <v>4947</v>
      </c>
      <c r="R4905" s="3" t="s">
        <v>4948</v>
      </c>
    </row>
    <row r="4906">
      <c r="A4906" s="3">
        <v>316.0</v>
      </c>
      <c r="B4906" s="3" t="s">
        <v>8148</v>
      </c>
      <c r="C4906" s="3" t="s">
        <v>8149</v>
      </c>
      <c r="D4906" s="3" t="s">
        <v>9131</v>
      </c>
      <c r="E4906" s="3" t="s">
        <v>9132</v>
      </c>
      <c r="F4906" s="3" t="s">
        <v>9133</v>
      </c>
      <c r="G4906" s="3" t="str">
        <f>IFERROR(__xludf.DUMMYFUNCTION("GOOGLETRANSLATE(D4906,""ja"",""es"")"),"precioso")</f>
        <v>precioso</v>
      </c>
      <c r="H4906" s="3" t="s">
        <v>9134</v>
      </c>
    </row>
    <row r="4907">
      <c r="A4907" s="3">
        <v>317.0</v>
      </c>
      <c r="B4907" s="3" t="s">
        <v>8148</v>
      </c>
      <c r="C4907" s="3" t="s">
        <v>8149</v>
      </c>
      <c r="D4907" s="3" t="s">
        <v>9135</v>
      </c>
      <c r="E4907" s="3" t="s">
        <v>9136</v>
      </c>
      <c r="F4907" s="3" t="s">
        <v>9137</v>
      </c>
      <c r="G4907" s="3" t="str">
        <f>IFERROR(__xludf.DUMMYFUNCTION("GOOGLETRANSLATE(D4907,""ja"",""es"")"),"Florista")</f>
        <v>Florista</v>
      </c>
      <c r="H4907" s="3" t="s">
        <v>9138</v>
      </c>
      <c r="I4907" s="3" t="s">
        <v>9139</v>
      </c>
      <c r="J4907" s="3" t="s">
        <v>9140</v>
      </c>
      <c r="K4907" s="3" t="s">
        <v>9138</v>
      </c>
    </row>
    <row r="4908">
      <c r="A4908" s="3">
        <v>318.0</v>
      </c>
      <c r="B4908" s="3" t="s">
        <v>8148</v>
      </c>
      <c r="C4908" s="3" t="s">
        <v>8149</v>
      </c>
      <c r="D4908" s="3" t="s">
        <v>9141</v>
      </c>
      <c r="E4908" s="3" t="s">
        <v>2514</v>
      </c>
      <c r="F4908" s="3" t="s">
        <v>2513</v>
      </c>
      <c r="G4908" s="3" t="str">
        <f>IFERROR(__xludf.DUMMYFUNCTION("GOOGLETRANSLATE(D4908,""ja"",""es"")"),"Equipo de flores")</f>
        <v>Equipo de flores</v>
      </c>
    </row>
    <row r="4909">
      <c r="A4909" s="3">
        <v>319.0</v>
      </c>
      <c r="B4909" s="3" t="s">
        <v>8148</v>
      </c>
      <c r="C4909" s="3" t="s">
        <v>8149</v>
      </c>
      <c r="D4909" s="3" t="s">
        <v>9142</v>
      </c>
      <c r="E4909" s="3" t="s">
        <v>2514</v>
      </c>
      <c r="F4909" s="3" t="s">
        <v>2513</v>
      </c>
      <c r="G4909" s="3" t="str">
        <f>IFERROR(__xludf.DUMMYFUNCTION("GOOGLETRANSLATE(D4909,""ja"",""es"")"),"Temporada de floración")</f>
        <v>Temporada de floración</v>
      </c>
    </row>
    <row r="4910">
      <c r="A4910" s="3">
        <v>320.0</v>
      </c>
      <c r="B4910" s="3" t="s">
        <v>8148</v>
      </c>
      <c r="C4910" s="3" t="s">
        <v>8149</v>
      </c>
      <c r="D4910" s="3" t="s">
        <v>9143</v>
      </c>
      <c r="E4910" s="3" t="s">
        <v>2514</v>
      </c>
      <c r="F4910" s="3" t="s">
        <v>2513</v>
      </c>
      <c r="G4910" s="3" t="str">
        <f>IFERROR(__xludf.DUMMYFUNCTION("GOOGLETRANSLATE(D4910,""ja"",""es"")"),"temporada de floración")</f>
        <v>temporada de floración</v>
      </c>
    </row>
    <row r="4911">
      <c r="A4911" s="3">
        <v>321.0</v>
      </c>
      <c r="B4911" s="3" t="s">
        <v>8148</v>
      </c>
      <c r="C4911" s="3" t="s">
        <v>8149</v>
      </c>
      <c r="D4911" s="3" t="s">
        <v>9144</v>
      </c>
      <c r="E4911" s="3" t="s">
        <v>9145</v>
      </c>
      <c r="F4911" s="3" t="s">
        <v>9146</v>
      </c>
      <c r="G4911" s="3" t="str">
        <f>IFERROR(__xludf.DUMMYFUNCTION("GOOGLETRANSLATE(D4911,""ja"",""es"")"),"Visualización de Cherry Blossom")</f>
        <v>Visualización de Cherry Blossom</v>
      </c>
    </row>
    <row r="4912">
      <c r="A4912" s="3">
        <v>322.0</v>
      </c>
      <c r="B4912" s="3" t="s">
        <v>8148</v>
      </c>
      <c r="C4912" s="3" t="s">
        <v>8149</v>
      </c>
      <c r="D4912" s="3" t="s">
        <v>9147</v>
      </c>
      <c r="E4912" s="3" t="s">
        <v>2514</v>
      </c>
      <c r="F4912" s="3" t="s">
        <v>2513</v>
      </c>
      <c r="G4912" s="3" t="str">
        <f>IFERROR(__xludf.DUMMYFUNCTION("GOOGLETRANSLATE(D4912,""ja"",""es"")"),"Flor")</f>
        <v>Flor</v>
      </c>
    </row>
    <row r="4913">
      <c r="A4913" s="3">
        <v>323.0</v>
      </c>
      <c r="B4913" s="3" t="s">
        <v>8148</v>
      </c>
      <c r="C4913" s="3" t="s">
        <v>8149</v>
      </c>
      <c r="D4913" s="3" t="s">
        <v>9148</v>
      </c>
      <c r="E4913" s="3" t="s">
        <v>8333</v>
      </c>
      <c r="F4913" s="3" t="s">
        <v>8334</v>
      </c>
      <c r="G4913" s="3" t="str">
        <f>IFERROR(__xludf.DUMMYFUNCTION("GOOGLETRANSLATE(D4913,""ja"",""es"")"),"Sufrimiento")</f>
        <v>Sufrimiento</v>
      </c>
    </row>
    <row r="4914">
      <c r="A4914" s="3">
        <v>324.0</v>
      </c>
      <c r="B4914" s="3" t="s">
        <v>8148</v>
      </c>
      <c r="C4914" s="3" t="s">
        <v>8149</v>
      </c>
      <c r="D4914" s="3" t="s">
        <v>9149</v>
      </c>
      <c r="E4914" s="3" t="s">
        <v>9129</v>
      </c>
      <c r="F4914" s="3" t="s">
        <v>9130</v>
      </c>
      <c r="G4914" s="3" t="str">
        <f>IFERROR(__xludf.DUMMYFUNCTION("GOOGLETRANSLATE(D4914,""ja"",""es"")"),"flor")</f>
        <v>flor</v>
      </c>
      <c r="H4914" s="3" t="s">
        <v>9150</v>
      </c>
      <c r="I4914" s="3" t="s">
        <v>9151</v>
      </c>
      <c r="J4914" s="3" t="s">
        <v>9152</v>
      </c>
      <c r="K4914" s="3" t="s">
        <v>9153</v>
      </c>
      <c r="L4914" s="3" t="s">
        <v>4942</v>
      </c>
      <c r="M4914" s="3" t="s">
        <v>4945</v>
      </c>
      <c r="N4914" s="3" t="s">
        <v>4946</v>
      </c>
      <c r="O4914" s="3" t="s">
        <v>9154</v>
      </c>
      <c r="P4914" s="3" t="s">
        <v>4945</v>
      </c>
    </row>
    <row r="4915">
      <c r="A4915" s="3">
        <v>325.0</v>
      </c>
      <c r="B4915" s="3" t="s">
        <v>8148</v>
      </c>
      <c r="C4915" s="3" t="s">
        <v>8149</v>
      </c>
      <c r="D4915" s="3" t="s">
        <v>9155</v>
      </c>
      <c r="E4915" s="3" t="s">
        <v>9132</v>
      </c>
      <c r="F4915" s="3" t="s">
        <v>9133</v>
      </c>
      <c r="G4915" s="3" t="str">
        <f>IFERROR(__xludf.DUMMYFUNCTION("GOOGLETRANSLATE(D4915,""ja"",""es"")"),"Precioso")</f>
        <v>Precioso</v>
      </c>
      <c r="H4915" s="3" t="s">
        <v>9156</v>
      </c>
      <c r="I4915" s="3" t="s">
        <v>9157</v>
      </c>
      <c r="J4915" s="3" t="s">
        <v>9158</v>
      </c>
      <c r="K4915" s="3" t="s">
        <v>9159</v>
      </c>
      <c r="L4915" s="3" t="s">
        <v>9134</v>
      </c>
      <c r="M4915" s="3" t="s">
        <v>9156</v>
      </c>
    </row>
    <row r="4916">
      <c r="A4916" s="3">
        <v>326.0</v>
      </c>
      <c r="B4916" s="3" t="s">
        <v>8148</v>
      </c>
      <c r="C4916" s="3" t="s">
        <v>8149</v>
      </c>
      <c r="D4916" s="3" t="s">
        <v>9160</v>
      </c>
      <c r="E4916" s="3" t="s">
        <v>5376</v>
      </c>
      <c r="F4916" s="3" t="s">
        <v>5377</v>
      </c>
      <c r="G4916" s="3" t="str">
        <f>IFERROR(__xludf.DUMMYFUNCTION("GOOGLETRANSLATE(D4916,""ja"",""es"")"),"Confitería")</f>
        <v>Confitería</v>
      </c>
    </row>
    <row r="4917">
      <c r="A4917" s="3">
        <v>327.0</v>
      </c>
      <c r="B4917" s="3" t="s">
        <v>8148</v>
      </c>
      <c r="C4917" s="3" t="s">
        <v>8149</v>
      </c>
      <c r="D4917" s="3" t="s">
        <v>9161</v>
      </c>
      <c r="E4917" s="3" t="s">
        <v>5376</v>
      </c>
      <c r="F4917" s="3" t="s">
        <v>5377</v>
      </c>
      <c r="G4917" s="3" t="str">
        <f>IFERROR(__xludf.DUMMYFUNCTION("GOOGLETRANSLATE(D4917,""ja"",""es"")"),"Sección")</f>
        <v>Sección</v>
      </c>
      <c r="H4917" s="3" t="s">
        <v>9162</v>
      </c>
      <c r="I4917" s="3" t="s">
        <v>9163</v>
      </c>
      <c r="J4917" s="3" t="s">
        <v>2040</v>
      </c>
      <c r="K4917" s="3" t="s">
        <v>2040</v>
      </c>
      <c r="L4917" s="3" t="s">
        <v>9164</v>
      </c>
    </row>
    <row r="4918">
      <c r="A4918" s="3">
        <v>328.0</v>
      </c>
      <c r="B4918" s="3" t="s">
        <v>8148</v>
      </c>
      <c r="C4918" s="3" t="s">
        <v>8149</v>
      </c>
      <c r="D4918" s="3" t="s">
        <v>9165</v>
      </c>
      <c r="E4918" s="3" t="s">
        <v>9166</v>
      </c>
      <c r="F4918" s="3" t="s">
        <v>9167</v>
      </c>
      <c r="G4918" s="3" t="str">
        <f>IFERROR(__xludf.DUMMYFUNCTION("GOOGLETRANSLATE(D4918,""ja"",""es"")"),"Moneda")</f>
        <v>Moneda</v>
      </c>
    </row>
    <row r="4919">
      <c r="A4919" s="3">
        <v>329.0</v>
      </c>
      <c r="B4919" s="3" t="s">
        <v>8148</v>
      </c>
      <c r="C4919" s="3" t="s">
        <v>8149</v>
      </c>
      <c r="D4919" s="3" t="s">
        <v>9168</v>
      </c>
      <c r="E4919" s="3" t="s">
        <v>5376</v>
      </c>
      <c r="F4919" s="3" t="s">
        <v>5377</v>
      </c>
      <c r="G4919" s="3" t="str">
        <f>IFERROR(__xludf.DUMMYFUNCTION("GOOGLETRANSLATE(D4919,""ja"",""es"")"),"Exceso")</f>
        <v>Exceso</v>
      </c>
      <c r="H4919" s="3" t="s">
        <v>9169</v>
      </c>
      <c r="I4919" s="3" t="s">
        <v>9170</v>
      </c>
      <c r="J4919" s="3" t="s">
        <v>9171</v>
      </c>
      <c r="K4919" s="3" t="s">
        <v>9171</v>
      </c>
      <c r="L4919" s="3" t="s">
        <v>9172</v>
      </c>
    </row>
    <row r="4920">
      <c r="A4920" s="3">
        <v>330.0</v>
      </c>
      <c r="B4920" s="3" t="s">
        <v>8148</v>
      </c>
      <c r="C4920" s="3" t="s">
        <v>8149</v>
      </c>
      <c r="D4920" s="3" t="s">
        <v>9173</v>
      </c>
      <c r="E4920" s="3" t="s">
        <v>5394</v>
      </c>
      <c r="F4920" s="3" t="s">
        <v>5395</v>
      </c>
      <c r="G4920" s="3" t="str">
        <f>IFERROR(__xludf.DUMMYFUNCTION("GOOGLETRANSLATE(D4920,""ja"",""es"")"),"Exceso")</f>
        <v>Exceso</v>
      </c>
      <c r="H4920" s="3" t="s">
        <v>9174</v>
      </c>
      <c r="I4920" s="3" t="s">
        <v>9175</v>
      </c>
      <c r="J4920" s="3" t="s">
        <v>9176</v>
      </c>
      <c r="K4920" s="3" t="s">
        <v>9177</v>
      </c>
      <c r="L4920" s="3" t="s">
        <v>9178</v>
      </c>
      <c r="M4920" s="3" t="s">
        <v>9179</v>
      </c>
      <c r="N4920" s="3" t="s">
        <v>9180</v>
      </c>
      <c r="O4920" s="3" t="s">
        <v>9181</v>
      </c>
      <c r="P4920" s="3" t="s">
        <v>9182</v>
      </c>
      <c r="Q4920" s="3" t="s">
        <v>9183</v>
      </c>
      <c r="R4920" s="3" t="s">
        <v>9184</v>
      </c>
      <c r="S4920" s="3" t="s">
        <v>9185</v>
      </c>
    </row>
    <row r="4921">
      <c r="A4921" s="3">
        <v>331.0</v>
      </c>
      <c r="B4921" s="3" t="s">
        <v>8148</v>
      </c>
      <c r="C4921" s="3" t="s">
        <v>8149</v>
      </c>
      <c r="D4921" s="3" t="s">
        <v>9186</v>
      </c>
      <c r="E4921" s="3" t="s">
        <v>5376</v>
      </c>
      <c r="F4921" s="3" t="s">
        <v>5377</v>
      </c>
      <c r="G4921" s="3" t="str">
        <f>IFERROR(__xludf.DUMMYFUNCTION("GOOGLETRANSLATE(D4921,""ja"",""es"")"),"mosquito")</f>
        <v>mosquito</v>
      </c>
      <c r="H4921" s="3" t="s">
        <v>9187</v>
      </c>
    </row>
    <row r="4922">
      <c r="A4922" s="3">
        <v>332.0</v>
      </c>
      <c r="B4922" s="3" t="s">
        <v>8148</v>
      </c>
      <c r="C4922" s="3" t="s">
        <v>8149</v>
      </c>
      <c r="D4922" s="3" t="s">
        <v>9188</v>
      </c>
      <c r="E4922" s="3" t="s">
        <v>1022</v>
      </c>
      <c r="F4922" s="3" t="s">
        <v>1023</v>
      </c>
      <c r="G4922" s="3" t="str">
        <f>IFERROR(__xludf.DUMMYFUNCTION("GOOGLETRANSLATE(D4922,""ja"",""es"")"),"mosquitero")</f>
        <v>mosquitero</v>
      </c>
      <c r="H4922" s="3" t="s">
        <v>9189</v>
      </c>
    </row>
    <row r="4923">
      <c r="A4923" s="3">
        <v>333.0</v>
      </c>
      <c r="B4923" s="3" t="s">
        <v>8148</v>
      </c>
      <c r="C4923" s="3" t="s">
        <v>8149</v>
      </c>
      <c r="D4923" s="3" t="s">
        <v>9190</v>
      </c>
      <c r="E4923" s="3" t="s">
        <v>9191</v>
      </c>
      <c r="F4923" s="3" t="s">
        <v>9192</v>
      </c>
      <c r="G4923" s="3" t="str">
        <f>IFERROR(__xludf.DUMMYFUNCTION("GOOGLETRANSLATE(D4923,""ja"",""es"")"),"Mosquito")</f>
        <v>Mosquito</v>
      </c>
    </row>
    <row r="4924">
      <c r="A4924" s="3">
        <v>334.0</v>
      </c>
      <c r="B4924" s="3" t="s">
        <v>8148</v>
      </c>
      <c r="C4924" s="3" t="s">
        <v>8149</v>
      </c>
      <c r="D4924" s="3" t="s">
        <v>9193</v>
      </c>
      <c r="E4924" s="3" t="s">
        <v>9191</v>
      </c>
      <c r="F4924" s="3" t="s">
        <v>9192</v>
      </c>
      <c r="G4924" s="3" t="str">
        <f>IFERROR(__xludf.DUMMYFUNCTION("GOOGLETRANSLATE(D4924,""ja"",""es"")"),"Mosquito")</f>
        <v>Mosquito</v>
      </c>
    </row>
    <row r="4925">
      <c r="A4925" s="3">
        <v>335.0</v>
      </c>
      <c r="B4925" s="3" t="s">
        <v>8148</v>
      </c>
      <c r="C4925" s="3" t="s">
        <v>8149</v>
      </c>
      <c r="D4925" s="3" t="s">
        <v>9194</v>
      </c>
      <c r="E4925" s="3" t="s">
        <v>9195</v>
      </c>
      <c r="F4925" s="3" t="s">
        <v>9196</v>
      </c>
      <c r="G4925" s="3" t="str">
        <f>IFERROR(__xludf.DUMMYFUNCTION("GOOGLETRANSLATE(D4925,""ja"",""es"")"),"Mosquito")</f>
        <v>Mosquito</v>
      </c>
    </row>
    <row r="4926">
      <c r="A4926" s="3">
        <v>336.0</v>
      </c>
      <c r="B4926" s="3" t="s">
        <v>8148</v>
      </c>
      <c r="C4926" s="3" t="s">
        <v>8149</v>
      </c>
      <c r="D4926" s="3" t="s">
        <v>9197</v>
      </c>
      <c r="E4926" s="3" t="s">
        <v>9198</v>
      </c>
      <c r="F4926" s="3" t="s">
        <v>9199</v>
      </c>
      <c r="G4926" s="3" t="str">
        <f>IFERROR(__xludf.DUMMYFUNCTION("GOOGLETRANSLATE(D4926,""ja"",""es"")"),"masa")</f>
        <v>masa</v>
      </c>
      <c r="H4926" s="3" t="s">
        <v>5285</v>
      </c>
      <c r="I4926" s="3" t="s">
        <v>9200</v>
      </c>
      <c r="J4926" s="3" t="s">
        <v>9201</v>
      </c>
      <c r="K4926" s="3" t="s">
        <v>9202</v>
      </c>
      <c r="L4926" s="3" t="s">
        <v>9203</v>
      </c>
      <c r="M4926" s="3" t="s">
        <v>2064</v>
      </c>
      <c r="N4926" s="3" t="s">
        <v>9204</v>
      </c>
      <c r="O4926" s="3" t="s">
        <v>9205</v>
      </c>
      <c r="P4926" s="3" t="s">
        <v>5481</v>
      </c>
      <c r="Q4926" s="3" t="s">
        <v>9201</v>
      </c>
      <c r="R4926" s="3" t="s">
        <v>9206</v>
      </c>
      <c r="S4926" s="3" t="s">
        <v>3557</v>
      </c>
      <c r="T4926" s="3" t="s">
        <v>9207</v>
      </c>
      <c r="U4926" s="3" t="s">
        <v>9208</v>
      </c>
      <c r="V4926" s="3" t="s">
        <v>5481</v>
      </c>
      <c r="W4926" s="3" t="s">
        <v>3557</v>
      </c>
      <c r="X4926" s="3" t="s">
        <v>9208</v>
      </c>
    </row>
    <row r="4927">
      <c r="A4927" s="3">
        <v>337.0</v>
      </c>
      <c r="B4927" s="3" t="s">
        <v>8148</v>
      </c>
      <c r="C4927" s="3" t="s">
        <v>8149</v>
      </c>
      <c r="D4927" s="3" t="s">
        <v>9209</v>
      </c>
      <c r="E4927" s="3" t="s">
        <v>9198</v>
      </c>
      <c r="F4927" s="3" t="s">
        <v>9199</v>
      </c>
      <c r="G4927" s="3" t="str">
        <f>IFERROR(__xludf.DUMMYFUNCTION("GOOGLETRANSLATE(D4927,""ja"",""es"")"),"Bulto")</f>
        <v>Bulto</v>
      </c>
      <c r="H4927" s="3" t="s">
        <v>9200</v>
      </c>
      <c r="I4927" s="3" t="s">
        <v>9201</v>
      </c>
      <c r="J4927" s="3" t="s">
        <v>9202</v>
      </c>
      <c r="K4927" s="3" t="s">
        <v>9203</v>
      </c>
      <c r="L4927" s="3" t="s">
        <v>2064</v>
      </c>
      <c r="M4927" s="3" t="s">
        <v>9204</v>
      </c>
      <c r="N4927" s="3" t="s">
        <v>9205</v>
      </c>
      <c r="O4927" s="3" t="s">
        <v>5481</v>
      </c>
      <c r="P4927" s="3" t="s">
        <v>9201</v>
      </c>
      <c r="Q4927" s="3" t="s">
        <v>9206</v>
      </c>
      <c r="R4927" s="3" t="s">
        <v>3557</v>
      </c>
      <c r="S4927" s="3" t="s">
        <v>9208</v>
      </c>
      <c r="T4927" s="3" t="s">
        <v>5481</v>
      </c>
      <c r="U4927" s="3" t="s">
        <v>3557</v>
      </c>
    </row>
    <row r="4928">
      <c r="A4928" s="3">
        <v>338.0</v>
      </c>
      <c r="B4928" s="3" t="s">
        <v>8148</v>
      </c>
      <c r="C4928" s="3" t="s">
        <v>8149</v>
      </c>
      <c r="D4928" s="3" t="s">
        <v>9210</v>
      </c>
      <c r="E4928" s="3" t="s">
        <v>394</v>
      </c>
      <c r="F4928" s="3" t="s">
        <v>395</v>
      </c>
      <c r="G4928" s="3" t="str">
        <f>IFERROR(__xludf.DUMMYFUNCTION("GOOGLETRANSLATE(D4928,""ja"",""es"")"),"Marítimo")</f>
        <v>Marítimo</v>
      </c>
      <c r="H4928" s="3" t="s">
        <v>9211</v>
      </c>
      <c r="I4928" s="3" t="s">
        <v>9212</v>
      </c>
    </row>
    <row r="4929">
      <c r="A4929" s="3">
        <v>339.0</v>
      </c>
      <c r="B4929" s="3" t="s">
        <v>8148</v>
      </c>
      <c r="C4929" s="3" t="s">
        <v>8149</v>
      </c>
      <c r="D4929" s="3" t="s">
        <v>9213</v>
      </c>
      <c r="E4929" s="3" t="s">
        <v>9214</v>
      </c>
      <c r="F4929" s="3" t="s">
        <v>9215</v>
      </c>
      <c r="G4929" s="3" t="str">
        <f>IFERROR(__xludf.DUMMYFUNCTION("GOOGLETRANSLATE(D4929,""ja"",""es"")"),"Todo el mundo")</f>
        <v>Todo el mundo</v>
      </c>
    </row>
    <row r="4930">
      <c r="A4930" s="3">
        <v>340.0</v>
      </c>
      <c r="B4930" s="3" t="s">
        <v>8148</v>
      </c>
      <c r="C4930" s="3" t="s">
        <v>8149</v>
      </c>
      <c r="D4930" s="3" t="s">
        <v>9216</v>
      </c>
      <c r="E4930" s="3" t="s">
        <v>9217</v>
      </c>
      <c r="F4930" s="3" t="s">
        <v>9218</v>
      </c>
      <c r="G4930" s="3" t="str">
        <f>IFERROR(__xludf.DUMMYFUNCTION("GOOGLETRANSLATE(D4930,""ja"",""es"")"),"Todo el mundo")</f>
        <v>Todo el mundo</v>
      </c>
    </row>
    <row r="4931">
      <c r="A4931" s="3">
        <v>341.0</v>
      </c>
      <c r="B4931" s="3" t="s">
        <v>8148</v>
      </c>
      <c r="C4931" s="3" t="s">
        <v>8149</v>
      </c>
      <c r="D4931" s="3" t="s">
        <v>9219</v>
      </c>
      <c r="E4931" s="3" t="s">
        <v>8441</v>
      </c>
      <c r="F4931" s="3" t="s">
        <v>8442</v>
      </c>
      <c r="G4931" s="3" t="str">
        <f>IFERROR(__xludf.DUMMYFUNCTION("GOOGLETRANSLATE(D4931,""ja"",""es"")"),"Todo el mundo")</f>
        <v>Todo el mundo</v>
      </c>
    </row>
    <row r="4932">
      <c r="A4932" s="3">
        <v>342.0</v>
      </c>
      <c r="B4932" s="3" t="s">
        <v>8148</v>
      </c>
      <c r="C4932" s="3" t="s">
        <v>8149</v>
      </c>
      <c r="D4932" s="3" t="s">
        <v>9220</v>
      </c>
      <c r="E4932" s="3" t="s">
        <v>9214</v>
      </c>
      <c r="F4932" s="3" t="s">
        <v>9215</v>
      </c>
      <c r="G4932" s="3" t="str">
        <f>IFERROR(__xludf.DUMMYFUNCTION("GOOGLETRANSLATE(D4932,""ja"",""es"")"),"Todos")</f>
        <v>Todos</v>
      </c>
    </row>
    <row r="4933">
      <c r="A4933" s="3">
        <v>343.0</v>
      </c>
      <c r="B4933" s="3" t="s">
        <v>8148</v>
      </c>
      <c r="C4933" s="3" t="s">
        <v>8149</v>
      </c>
      <c r="D4933" s="3" t="s">
        <v>9221</v>
      </c>
      <c r="E4933" s="3" t="s">
        <v>9217</v>
      </c>
      <c r="F4933" s="3" t="s">
        <v>9218</v>
      </c>
      <c r="G4933" s="3" t="str">
        <f>IFERROR(__xludf.DUMMYFUNCTION("GOOGLETRANSLATE(D4933,""ja"",""es"")"),"Todo el mundo")</f>
        <v>Todo el mundo</v>
      </c>
    </row>
    <row r="4934">
      <c r="A4934" s="3">
        <v>344.0</v>
      </c>
      <c r="B4934" s="3" t="s">
        <v>8148</v>
      </c>
      <c r="C4934" s="3" t="s">
        <v>8149</v>
      </c>
      <c r="D4934" s="3" t="s">
        <v>9222</v>
      </c>
      <c r="E4934" s="3" t="s">
        <v>8441</v>
      </c>
      <c r="F4934" s="3" t="s">
        <v>8442</v>
      </c>
      <c r="G4934" s="3" t="str">
        <f>IFERROR(__xludf.DUMMYFUNCTION("GOOGLETRANSLATE(D4934,""ja"",""es"")"),"damas y caballeros")</f>
        <v>damas y caballeros</v>
      </c>
    </row>
    <row r="4935">
      <c r="A4935" s="3">
        <v>345.0</v>
      </c>
      <c r="B4935" s="3" t="s">
        <v>8148</v>
      </c>
      <c r="C4935" s="3" t="s">
        <v>8149</v>
      </c>
      <c r="D4935" s="3" t="s">
        <v>9223</v>
      </c>
      <c r="E4935" s="3" t="s">
        <v>8585</v>
      </c>
      <c r="F4935" s="3" t="s">
        <v>8586</v>
      </c>
      <c r="G4935" s="3" t="str">
        <f>IFERROR(__xludf.DUMMYFUNCTION("GOOGLETRANSLATE(D4935,""ja"",""es"")"),"cangrejo")</f>
        <v>cangrejo</v>
      </c>
      <c r="H4935" s="3" t="s">
        <v>8587</v>
      </c>
      <c r="I4935" s="3" t="s">
        <v>8587</v>
      </c>
      <c r="J4935" s="3" t="s">
        <v>8587</v>
      </c>
      <c r="K4935" s="3" t="s">
        <v>8588</v>
      </c>
    </row>
    <row r="4936">
      <c r="A4936" s="3">
        <v>346.0</v>
      </c>
      <c r="B4936" s="3" t="s">
        <v>8148</v>
      </c>
      <c r="C4936" s="3" t="s">
        <v>8149</v>
      </c>
      <c r="D4936" s="3" t="s">
        <v>9224</v>
      </c>
      <c r="E4936" s="3" t="s">
        <v>8590</v>
      </c>
      <c r="F4936" s="3" t="s">
        <v>8591</v>
      </c>
      <c r="G4936" s="3" t="str">
        <f>IFERROR(__xludf.DUMMYFUNCTION("GOOGLETRANSLATE(D4936,""ja"",""es"")"),"Gam de cangrejo")</f>
        <v>Gam de cangrejo</v>
      </c>
    </row>
    <row r="4937">
      <c r="A4937" s="3">
        <v>347.0</v>
      </c>
      <c r="B4937" s="3" t="s">
        <v>8148</v>
      </c>
      <c r="C4937" s="3" t="s">
        <v>8149</v>
      </c>
      <c r="D4937" s="3" t="s">
        <v>9225</v>
      </c>
      <c r="E4937" s="3" t="s">
        <v>8212</v>
      </c>
      <c r="F4937" s="3" t="s">
        <v>8213</v>
      </c>
      <c r="G4937" s="3" t="str">
        <f>IFERROR(__xludf.DUMMYFUNCTION("GOOGLETRANSLATE(D4937,""ja"",""es"")"),"Bola de cangrejo")</f>
        <v>Bola de cangrejo</v>
      </c>
    </row>
    <row r="4938">
      <c r="A4938" s="3">
        <v>348.0</v>
      </c>
      <c r="B4938" s="3" t="s">
        <v>8148</v>
      </c>
      <c r="C4938" s="3" t="s">
        <v>8149</v>
      </c>
      <c r="D4938" s="3" t="s">
        <v>9226</v>
      </c>
      <c r="E4938" s="3" t="s">
        <v>2514</v>
      </c>
      <c r="F4938" s="3" t="s">
        <v>2513</v>
      </c>
      <c r="G4938" s="3" t="str">
        <f>IFERROR(__xludf.DUMMYFUNCTION("GOOGLETRANSLATE(D4938,""ja"",""es"")"),"Valla")</f>
        <v>Valla</v>
      </c>
      <c r="H4938" s="3" t="s">
        <v>9227</v>
      </c>
      <c r="I4938" s="3" t="s">
        <v>9228</v>
      </c>
      <c r="J4938" s="3" t="s">
        <v>2277</v>
      </c>
      <c r="K4938" s="3" t="s">
        <v>2278</v>
      </c>
      <c r="L4938" s="3" t="s">
        <v>9229</v>
      </c>
    </row>
    <row r="4939">
      <c r="A4939" s="3">
        <v>349.0</v>
      </c>
      <c r="B4939" s="3" t="s">
        <v>8148</v>
      </c>
      <c r="C4939" s="3" t="s">
        <v>8149</v>
      </c>
      <c r="D4939" s="3" t="s">
        <v>9230</v>
      </c>
      <c r="E4939" s="3" t="s">
        <v>9231</v>
      </c>
      <c r="F4939" s="3" t="s">
        <v>9232</v>
      </c>
      <c r="G4939" s="3" t="str">
        <f>IFERROR(__xludf.DUMMYFUNCTION("GOOGLETRANSLATE(D4939,""ja"",""es"")"),"Enfoque")</f>
        <v>Enfoque</v>
      </c>
    </row>
    <row r="4940">
      <c r="A4940" s="3">
        <v>350.0</v>
      </c>
      <c r="B4940" s="3" t="s">
        <v>8148</v>
      </c>
      <c r="C4940" s="3" t="s">
        <v>8149</v>
      </c>
      <c r="D4940" s="3" t="s">
        <v>9233</v>
      </c>
      <c r="E4940" s="3" t="s">
        <v>9231</v>
      </c>
      <c r="F4940" s="3" t="s">
        <v>9232</v>
      </c>
      <c r="G4940" s="3" t="str">
        <f>IFERROR(__xludf.DUMMYFUNCTION("GOOGLETRANSLATE(D4940,""ja"",""es"")"),"Separar")</f>
        <v>Separar</v>
      </c>
    </row>
    <row r="4941">
      <c r="A4941" s="3">
        <v>351.0</v>
      </c>
      <c r="B4941" s="3" t="s">
        <v>8148</v>
      </c>
      <c r="C4941" s="3" t="s">
        <v>8149</v>
      </c>
      <c r="D4941" s="3" t="s">
        <v>9234</v>
      </c>
      <c r="E4941" s="3" t="s">
        <v>9231</v>
      </c>
      <c r="F4941" s="3" t="s">
        <v>9232</v>
      </c>
      <c r="G4941" s="3" t="str">
        <f>IFERROR(__xludf.DUMMYFUNCTION("GOOGLETRANSLATE(D4941,""ja"",""es"")"),"Separar")</f>
        <v>Separar</v>
      </c>
    </row>
    <row r="4942">
      <c r="A4942" s="3">
        <v>352.0</v>
      </c>
      <c r="B4942" s="3" t="s">
        <v>8148</v>
      </c>
      <c r="C4942" s="3" t="s">
        <v>8149</v>
      </c>
      <c r="D4942" s="3" t="s">
        <v>9235</v>
      </c>
      <c r="E4942" s="3" t="s">
        <v>8222</v>
      </c>
      <c r="F4942" s="3" t="s">
        <v>8223</v>
      </c>
      <c r="G4942" s="3" t="str">
        <f>IFERROR(__xludf.DUMMYFUNCTION("GOOGLETRANSLATE(D4942,""ja"",""es"")"),"Kakeura")</f>
        <v>Kakeura</v>
      </c>
    </row>
    <row r="4943">
      <c r="A4943" s="3">
        <v>353.0</v>
      </c>
      <c r="B4943" s="3" t="s">
        <v>8148</v>
      </c>
      <c r="C4943" s="3" t="s">
        <v>8149</v>
      </c>
      <c r="D4943" s="3" t="s">
        <v>9236</v>
      </c>
      <c r="E4943" s="3" t="s">
        <v>8222</v>
      </c>
      <c r="F4943" s="3" t="s">
        <v>8223</v>
      </c>
      <c r="G4943" s="3" t="str">
        <f>IFERROR(__xludf.DUMMYFUNCTION("GOOGLETRANSLATE(D4943,""ja"",""es"")"),"Enredo")</f>
        <v>Enredo</v>
      </c>
    </row>
    <row r="4944">
      <c r="A4944" s="3">
        <v>354.0</v>
      </c>
      <c r="B4944" s="3" t="s">
        <v>8148</v>
      </c>
      <c r="C4944" s="3" t="s">
        <v>8149</v>
      </c>
      <c r="D4944" s="3" t="s">
        <v>9237</v>
      </c>
      <c r="E4944" s="3" t="s">
        <v>8222</v>
      </c>
      <c r="F4944" s="3" t="s">
        <v>8223</v>
      </c>
      <c r="G4944" s="3" t="str">
        <f>IFERROR(__xludf.DUMMYFUNCTION("GOOGLETRANSLATE(D4944,""ja"",""es"")"),"Renunciando")</f>
        <v>Renunciando</v>
      </c>
    </row>
    <row r="4945">
      <c r="A4945" s="3">
        <v>355.0</v>
      </c>
      <c r="B4945" s="3" t="s">
        <v>8148</v>
      </c>
      <c r="C4945" s="3" t="s">
        <v>8149</v>
      </c>
      <c r="D4945" s="3" t="s">
        <v>9238</v>
      </c>
      <c r="E4945" s="3" t="s">
        <v>1345</v>
      </c>
      <c r="F4945" s="3" t="s">
        <v>1346</v>
      </c>
      <c r="G4945" s="3" t="str">
        <f>IFERROR(__xludf.DUMMYFUNCTION("GOOGLETRANSLATE(D4945,""ja"",""es"")"),"Hipótesis")</f>
        <v>Hipótesis</v>
      </c>
      <c r="H4945" s="3" t="s">
        <v>9239</v>
      </c>
      <c r="I4945" s="3" t="s">
        <v>9240</v>
      </c>
      <c r="J4945" s="3" t="s">
        <v>9241</v>
      </c>
      <c r="K4945" s="3" t="s">
        <v>9242</v>
      </c>
      <c r="L4945" s="3" t="s">
        <v>9243</v>
      </c>
      <c r="M4945" s="3" t="s">
        <v>1266</v>
      </c>
      <c r="N4945" s="3" t="s">
        <v>9244</v>
      </c>
    </row>
    <row r="4946">
      <c r="A4946" s="3">
        <v>356.0</v>
      </c>
      <c r="B4946" s="3" t="s">
        <v>8148</v>
      </c>
      <c r="C4946" s="3" t="s">
        <v>8149</v>
      </c>
      <c r="D4946" s="3" t="s">
        <v>9245</v>
      </c>
      <c r="E4946" s="3" t="s">
        <v>5394</v>
      </c>
      <c r="F4946" s="3" t="s">
        <v>5395</v>
      </c>
      <c r="G4946" s="3" t="str">
        <f>IFERROR(__xludf.DUMMYFUNCTION("GOOGLETRANSLATE(D4946,""ja"",""es"")"),"laguna")</f>
        <v>laguna</v>
      </c>
      <c r="H4946" s="3" t="s">
        <v>9246</v>
      </c>
      <c r="I4946" s="3" t="s">
        <v>9247</v>
      </c>
      <c r="J4946" s="3" t="s">
        <v>9248</v>
      </c>
      <c r="K4946" s="3" t="s">
        <v>4212</v>
      </c>
      <c r="L4946" s="3" t="s">
        <v>9249</v>
      </c>
      <c r="M4946" s="3" t="s">
        <v>9250</v>
      </c>
      <c r="N4946" s="3" t="s">
        <v>9251</v>
      </c>
    </row>
    <row r="4947">
      <c r="A4947" s="3">
        <v>357.0</v>
      </c>
      <c r="B4947" s="3" t="s">
        <v>8148</v>
      </c>
      <c r="C4947" s="3" t="s">
        <v>8149</v>
      </c>
      <c r="D4947" s="3" t="s">
        <v>9252</v>
      </c>
      <c r="E4947" s="3" t="s">
        <v>8550</v>
      </c>
      <c r="F4947" s="3" t="s">
        <v>8551</v>
      </c>
      <c r="G4947" s="3" t="str">
        <f>IFERROR(__xludf.DUMMYFUNCTION("GOOGLETRANSLATE(D4947,""ja"",""es"")"),"Dinámico")</f>
        <v>Dinámico</v>
      </c>
    </row>
    <row r="4948">
      <c r="A4948" s="3">
        <v>358.0</v>
      </c>
      <c r="B4948" s="3" t="s">
        <v>8148</v>
      </c>
      <c r="C4948" s="3" t="s">
        <v>8149</v>
      </c>
      <c r="D4948" s="3" t="s">
        <v>9253</v>
      </c>
      <c r="E4948" s="3" t="s">
        <v>1139</v>
      </c>
      <c r="F4948" s="3" t="s">
        <v>1140</v>
      </c>
      <c r="G4948" s="3" t="str">
        <f>IFERROR(__xludf.DUMMYFUNCTION("GOOGLETRANSLATE(D4948,""ja"",""es"")"),"Tetera")</f>
        <v>Tetera</v>
      </c>
      <c r="H4948" s="3" t="s">
        <v>9254</v>
      </c>
      <c r="I4948" s="3" t="s">
        <v>9255</v>
      </c>
    </row>
    <row r="4949">
      <c r="A4949" s="3">
        <v>359.0</v>
      </c>
      <c r="B4949" s="3" t="s">
        <v>8148</v>
      </c>
      <c r="C4949" s="3" t="s">
        <v>8149</v>
      </c>
      <c r="D4949" s="3" t="s">
        <v>9256</v>
      </c>
      <c r="E4949" s="3" t="s">
        <v>1139</v>
      </c>
      <c r="F4949" s="3" t="s">
        <v>1140</v>
      </c>
      <c r="G4949" s="3" t="str">
        <f>IFERROR(__xludf.DUMMYFUNCTION("GOOGLETRANSLATE(D4949,""ja"",""es"")"),"Aqueal")</f>
        <v>Aqueal</v>
      </c>
      <c r="H4949" s="3" t="s">
        <v>1859</v>
      </c>
      <c r="I4949" s="3" t="s">
        <v>9257</v>
      </c>
      <c r="J4949" s="3" t="s">
        <v>9258</v>
      </c>
      <c r="K4949" s="3" t="s">
        <v>9259</v>
      </c>
    </row>
    <row r="4950">
      <c r="A4950" s="3">
        <v>360.0</v>
      </c>
      <c r="B4950" s="3" t="s">
        <v>8148</v>
      </c>
      <c r="C4950" s="3" t="s">
        <v>8149</v>
      </c>
      <c r="D4950" s="3" t="s">
        <v>9260</v>
      </c>
      <c r="E4950" s="3" t="s">
        <v>8595</v>
      </c>
      <c r="F4950" s="3" t="s">
        <v>8596</v>
      </c>
      <c r="G4950" s="3" t="str">
        <f>IFERROR(__xludf.DUMMYFUNCTION("GOOGLETRANSLATE(D4950,""ja"",""es"")"),"Guadaña")</f>
        <v>Guadaña</v>
      </c>
    </row>
    <row r="4951">
      <c r="A4951" s="3">
        <v>361.0</v>
      </c>
      <c r="B4951" s="3" t="s">
        <v>8148</v>
      </c>
      <c r="C4951" s="3" t="s">
        <v>8149</v>
      </c>
      <c r="D4951" s="3" t="s">
        <v>9261</v>
      </c>
      <c r="E4951" s="3" t="s">
        <v>9262</v>
      </c>
      <c r="F4951" s="3" t="s">
        <v>9263</v>
      </c>
      <c r="G4951" s="3" t="str">
        <f>IFERROR(__xludf.DUMMYFUNCTION("GOOGLETRANSLATE(D4951,""ja"",""es"")"),"Lanza escita")</f>
        <v>Lanza escita</v>
      </c>
    </row>
    <row r="4952">
      <c r="A4952" s="3">
        <v>362.0</v>
      </c>
      <c r="B4952" s="3" t="s">
        <v>8148</v>
      </c>
      <c r="C4952" s="3" t="s">
        <v>8149</v>
      </c>
      <c r="D4952" s="3" t="s">
        <v>9264</v>
      </c>
      <c r="E4952" s="3" t="s">
        <v>1022</v>
      </c>
      <c r="F4952" s="3" t="s">
        <v>1023</v>
      </c>
      <c r="G4952" s="3" t="str">
        <f>IFERROR(__xludf.DUMMYFUNCTION("GOOGLETRANSLATE(D4952,""ja"",""es"")"),"Kaya")</f>
        <v>Kaya</v>
      </c>
    </row>
    <row r="4953">
      <c r="A4953" s="3">
        <v>363.0</v>
      </c>
      <c r="B4953" s="3" t="s">
        <v>8148</v>
      </c>
      <c r="C4953" s="3" t="s">
        <v>8149</v>
      </c>
      <c r="D4953" s="3" t="s">
        <v>9265</v>
      </c>
      <c r="E4953" s="3" t="s">
        <v>8601</v>
      </c>
      <c r="F4953" s="3" t="s">
        <v>8602</v>
      </c>
      <c r="G4953" s="3" t="str">
        <f>IFERROR(__xludf.DUMMYFUNCTION("GOOGLETRANSLATE(D4953,""ja"",""es"")"),"Corte")</f>
        <v>Corte</v>
      </c>
    </row>
    <row r="4954">
      <c r="A4954" s="3">
        <v>364.0</v>
      </c>
      <c r="B4954" s="3" t="s">
        <v>8148</v>
      </c>
      <c r="C4954" s="3" t="s">
        <v>8149</v>
      </c>
      <c r="D4954" s="3" t="s">
        <v>9266</v>
      </c>
      <c r="E4954" s="3" t="s">
        <v>9267</v>
      </c>
      <c r="F4954" s="3" t="s">
        <v>9268</v>
      </c>
      <c r="G4954" s="3" t="str">
        <f>IFERROR(__xludf.DUMMYFUNCTION("GOOGLETRANSLATE(D4954,""ja"",""es"")"),"Campo de arroz")</f>
        <v>Campo de arroz</v>
      </c>
    </row>
    <row r="4955">
      <c r="A4955" s="3">
        <v>365.0</v>
      </c>
      <c r="B4955" s="3" t="s">
        <v>8148</v>
      </c>
      <c r="C4955" s="3" t="s">
        <v>8149</v>
      </c>
      <c r="D4955" s="3" t="s">
        <v>9269</v>
      </c>
      <c r="E4955" s="3" t="s">
        <v>9267</v>
      </c>
      <c r="F4955" s="3" t="s">
        <v>9268</v>
      </c>
      <c r="G4955" s="3" t="str">
        <f>IFERROR(__xludf.DUMMYFUNCTION("GOOGLETRANSLATE(D4955,""ja"",""es"")"),"Karita")</f>
        <v>Karita</v>
      </c>
    </row>
    <row r="4956">
      <c r="A4956" s="3">
        <v>366.0</v>
      </c>
      <c r="B4956" s="3" t="s">
        <v>8148</v>
      </c>
      <c r="C4956" s="3" t="s">
        <v>8149</v>
      </c>
      <c r="D4956" s="3" t="s">
        <v>9270</v>
      </c>
      <c r="E4956" s="3" t="s">
        <v>3503</v>
      </c>
      <c r="F4956" s="3" t="s">
        <v>3504</v>
      </c>
      <c r="G4956" s="3" t="str">
        <f>IFERROR(__xludf.DUMMYFUNCTION("GOOGLETRANSLATE(D4956,""ja"",""es"")"),"Devanado")</f>
        <v>Devanado</v>
      </c>
      <c r="H4956" s="3" t="s">
        <v>9271</v>
      </c>
      <c r="I4956" s="3" t="s">
        <v>9272</v>
      </c>
      <c r="J4956" s="3" t="s">
        <v>9273</v>
      </c>
      <c r="K4956" s="3" t="s">
        <v>9274</v>
      </c>
      <c r="L4956" s="3" t="s">
        <v>9275</v>
      </c>
      <c r="M4956" s="3" t="s">
        <v>3010</v>
      </c>
      <c r="N4956" s="3" t="s">
        <v>9276</v>
      </c>
      <c r="O4956" s="3" t="s">
        <v>9277</v>
      </c>
      <c r="P4956" s="3" t="s">
        <v>3010</v>
      </c>
      <c r="Q4956" s="3" t="s">
        <v>3562</v>
      </c>
      <c r="R4956" s="3" t="s">
        <v>9278</v>
      </c>
      <c r="S4956" s="3" t="s">
        <v>3010</v>
      </c>
      <c r="T4956" s="3" t="s">
        <v>9279</v>
      </c>
    </row>
    <row r="4957">
      <c r="A4957" s="3">
        <v>367.0</v>
      </c>
      <c r="B4957" s="3" t="s">
        <v>8148</v>
      </c>
      <c r="C4957" s="3" t="s">
        <v>8149</v>
      </c>
      <c r="D4957" s="3" t="s">
        <v>9280</v>
      </c>
      <c r="E4957" s="3" t="s">
        <v>9281</v>
      </c>
      <c r="F4957" s="3" t="s">
        <v>9282</v>
      </c>
      <c r="G4957" s="3" t="str">
        <f>IFERROR(__xludf.DUMMYFUNCTION("GOOGLETRANSLATE(D4957,""ja"",""es"")"),"Peregrinaje")</f>
        <v>Peregrinaje</v>
      </c>
    </row>
    <row r="4958">
      <c r="A4958" s="3">
        <v>368.0</v>
      </c>
      <c r="B4958" s="3" t="s">
        <v>8148</v>
      </c>
      <c r="C4958" s="3" t="s">
        <v>8149</v>
      </c>
      <c r="D4958" s="3" t="s">
        <v>9283</v>
      </c>
      <c r="E4958" s="3" t="s">
        <v>9284</v>
      </c>
      <c r="F4958" s="3" t="s">
        <v>9285</v>
      </c>
      <c r="G4958" s="3" t="str">
        <f>IFERROR(__xludf.DUMMYFUNCTION("GOOGLETRANSLATE(D4958,""ja"",""es"")"),"Dulce y picante")</f>
        <v>Dulce y picante</v>
      </c>
    </row>
    <row r="4959">
      <c r="A4959" s="3">
        <v>369.0</v>
      </c>
      <c r="B4959" s="3" t="s">
        <v>8148</v>
      </c>
      <c r="C4959" s="3" t="s">
        <v>8149</v>
      </c>
      <c r="D4959" s="3" t="s">
        <v>9286</v>
      </c>
      <c r="E4959" s="3" t="s">
        <v>8786</v>
      </c>
      <c r="F4959" s="3" t="s">
        <v>3401</v>
      </c>
      <c r="G4959" s="3" t="str">
        <f>IFERROR(__xludf.DUMMYFUNCTION("GOOGLETRANSLATE(D4959,""ja"",""es"")"),"Al final")</f>
        <v>Al final</v>
      </c>
      <c r="H4959" s="3" t="s">
        <v>9287</v>
      </c>
      <c r="I4959" s="3" t="s">
        <v>9288</v>
      </c>
      <c r="J4959" s="3" t="s">
        <v>9289</v>
      </c>
      <c r="K4959" s="3" t="s">
        <v>9290</v>
      </c>
      <c r="L4959" s="3" t="s">
        <v>9291</v>
      </c>
      <c r="M4959" s="3" t="s">
        <v>9292</v>
      </c>
      <c r="N4959" s="3" t="s">
        <v>9293</v>
      </c>
      <c r="O4959" s="3" t="s">
        <v>9294</v>
      </c>
      <c r="P4959" s="3" t="s">
        <v>9295</v>
      </c>
      <c r="Q4959" s="3" t="s">
        <v>9296</v>
      </c>
      <c r="R4959" s="3" t="s">
        <v>9297</v>
      </c>
      <c r="S4959" s="3" t="s">
        <v>9298</v>
      </c>
      <c r="T4959" s="3" t="s">
        <v>9299</v>
      </c>
      <c r="U4959" s="3" t="s">
        <v>9300</v>
      </c>
      <c r="V4959" s="3" t="s">
        <v>9301</v>
      </c>
      <c r="W4959" s="3" t="s">
        <v>9296</v>
      </c>
    </row>
    <row r="4960">
      <c r="A4960" s="3">
        <v>370.0</v>
      </c>
      <c r="B4960" s="3" t="s">
        <v>8148</v>
      </c>
      <c r="C4960" s="3" t="s">
        <v>8149</v>
      </c>
      <c r="D4960" s="3" t="s">
        <v>9302</v>
      </c>
      <c r="E4960" s="3" t="s">
        <v>8786</v>
      </c>
      <c r="F4960" s="3" t="s">
        <v>3401</v>
      </c>
      <c r="G4960" s="3" t="str">
        <f>IFERROR(__xludf.DUMMYFUNCTION("GOOGLETRANSLATE(D4960,""ja"",""es"")"),"Brecha")</f>
        <v>Brecha</v>
      </c>
      <c r="H4960" s="3" t="s">
        <v>9287</v>
      </c>
      <c r="I4960" s="3" t="s">
        <v>9288</v>
      </c>
      <c r="J4960" s="3" t="s">
        <v>9289</v>
      </c>
      <c r="K4960" s="3" t="s">
        <v>9290</v>
      </c>
      <c r="L4960" s="3" t="s">
        <v>9291</v>
      </c>
      <c r="M4960" s="3" t="s">
        <v>9292</v>
      </c>
      <c r="N4960" s="3" t="s">
        <v>9293</v>
      </c>
      <c r="O4960" s="3" t="s">
        <v>9294</v>
      </c>
      <c r="P4960" s="3" t="s">
        <v>9295</v>
      </c>
      <c r="Q4960" s="3" t="s">
        <v>9296</v>
      </c>
      <c r="R4960" s="3" t="s">
        <v>9297</v>
      </c>
      <c r="S4960" s="3" t="s">
        <v>9298</v>
      </c>
      <c r="T4960" s="3" t="s">
        <v>9299</v>
      </c>
      <c r="U4960" s="3" t="s">
        <v>9300</v>
      </c>
      <c r="V4960" s="3" t="s">
        <v>9301</v>
      </c>
      <c r="W4960" s="3" t="s">
        <v>9296</v>
      </c>
    </row>
    <row r="4961">
      <c r="A4961" s="3">
        <v>371.0</v>
      </c>
      <c r="B4961" s="3" t="s">
        <v>8148</v>
      </c>
      <c r="C4961" s="3" t="s">
        <v>8149</v>
      </c>
      <c r="D4961" s="3" t="s">
        <v>9303</v>
      </c>
      <c r="E4961" s="3" t="s">
        <v>8222</v>
      </c>
      <c r="F4961" s="3" t="s">
        <v>8223</v>
      </c>
      <c r="G4961" s="3" t="str">
        <f>IFERROR(__xludf.DUMMYFUNCTION("GOOGLETRANSLATE(D4961,""ja"",""es"")"),"Corea")</f>
        <v>Corea</v>
      </c>
      <c r="H4961" s="3" t="s">
        <v>9304</v>
      </c>
      <c r="I4961" s="3" t="s">
        <v>9305</v>
      </c>
    </row>
    <row r="4962">
      <c r="A4962" s="3">
        <v>372.0</v>
      </c>
      <c r="B4962" s="3" t="s">
        <v>8148</v>
      </c>
      <c r="C4962" s="3" t="s">
        <v>8149</v>
      </c>
      <c r="D4962" s="3" t="s">
        <v>9306</v>
      </c>
      <c r="E4962" s="3" t="s">
        <v>8367</v>
      </c>
      <c r="F4962" s="3" t="s">
        <v>8368</v>
      </c>
      <c r="G4962" s="3" t="str">
        <f>IFERROR(__xludf.DUMMYFUNCTION("GOOGLETRANSLATE(D4962,""ja"",""es"")"),"Tienda de intersección")</f>
        <v>Tienda de intersección</v>
      </c>
    </row>
    <row r="4963">
      <c r="A4963" s="3">
        <v>373.0</v>
      </c>
      <c r="B4963" s="3" t="s">
        <v>8148</v>
      </c>
      <c r="C4963" s="3" t="s">
        <v>8149</v>
      </c>
      <c r="D4963" s="3" t="s">
        <v>9307</v>
      </c>
      <c r="E4963" s="3" t="s">
        <v>5408</v>
      </c>
      <c r="F4963" s="3" t="s">
        <v>5409</v>
      </c>
      <c r="G4963" s="3" t="str">
        <f>IFERROR(__xludf.DUMMYFUNCTION("GOOGLETRANSLATE(D4963,""ja"",""es"")"),"Peligro")</f>
        <v>Peligro</v>
      </c>
      <c r="H4963" s="3" t="s">
        <v>9308</v>
      </c>
    </row>
    <row r="4964">
      <c r="A4964" s="3">
        <v>374.0</v>
      </c>
      <c r="B4964" s="3" t="s">
        <v>8148</v>
      </c>
      <c r="C4964" s="3" t="s">
        <v>8149</v>
      </c>
      <c r="D4964" s="3" t="s">
        <v>9309</v>
      </c>
      <c r="E4964" s="3" t="s">
        <v>7142</v>
      </c>
      <c r="F4964" s="3" t="s">
        <v>2525</v>
      </c>
      <c r="G4964" s="3" t="str">
        <f>IFERROR(__xludf.DUMMYFUNCTION("GOOGLETRANSLATE(D4964,""ja"",""es"")"),"crisis")</f>
        <v>crisis</v>
      </c>
      <c r="H4964" s="3" t="s">
        <v>9310</v>
      </c>
      <c r="I4964" s="3" t="s">
        <v>9311</v>
      </c>
      <c r="J4964" s="3" t="s">
        <v>9308</v>
      </c>
      <c r="K4964" s="3" t="s">
        <v>9312</v>
      </c>
      <c r="L4964" s="3" t="s">
        <v>9313</v>
      </c>
      <c r="M4964" s="3" t="s">
        <v>1855</v>
      </c>
      <c r="N4964" s="3" t="s">
        <v>9314</v>
      </c>
      <c r="O4964" s="3" t="s">
        <v>9314</v>
      </c>
      <c r="P4964" s="3" t="s">
        <v>9308</v>
      </c>
      <c r="Q4964" s="3" t="s">
        <v>9315</v>
      </c>
      <c r="R4964" s="3" t="s">
        <v>9316</v>
      </c>
      <c r="S4964" s="3" t="s">
        <v>9311</v>
      </c>
      <c r="T4964" s="3" t="s">
        <v>9310</v>
      </c>
      <c r="U4964" s="3" t="s">
        <v>9317</v>
      </c>
    </row>
    <row r="4965">
      <c r="A4965" s="3">
        <v>375.0</v>
      </c>
      <c r="B4965" s="3" t="s">
        <v>8148</v>
      </c>
      <c r="C4965" s="3" t="s">
        <v>8149</v>
      </c>
      <c r="D4965" s="3" t="s">
        <v>9318</v>
      </c>
      <c r="E4965" s="3" t="s">
        <v>7142</v>
      </c>
      <c r="F4965" s="3" t="s">
        <v>2525</v>
      </c>
      <c r="G4965" s="3" t="str">
        <f>IFERROR(__xludf.DUMMYFUNCTION("GOOGLETRANSLATE(D4965,""ja"",""es"")"),"Alegría")</f>
        <v>Alegría</v>
      </c>
    </row>
    <row r="4966">
      <c r="A4966" s="3">
        <v>376.0</v>
      </c>
      <c r="B4966" s="3" t="s">
        <v>8148</v>
      </c>
      <c r="C4966" s="3" t="s">
        <v>8149</v>
      </c>
      <c r="D4966" s="3" t="s">
        <v>9319</v>
      </c>
      <c r="E4966" s="3" t="s">
        <v>7142</v>
      </c>
      <c r="F4966" s="3" t="s">
        <v>2525</v>
      </c>
      <c r="G4966" s="3" t="str">
        <f>IFERROR(__xludf.DUMMYFUNCTION("GOOGLETRANSLATE(D4966,""ja"",""es"")"),"Alegría")</f>
        <v>Alegría</v>
      </c>
    </row>
    <row r="4967">
      <c r="A4967" s="3">
        <v>377.0</v>
      </c>
      <c r="B4967" s="3" t="s">
        <v>8148</v>
      </c>
      <c r="C4967" s="3" t="s">
        <v>8149</v>
      </c>
      <c r="D4967" s="3" t="s">
        <v>9320</v>
      </c>
      <c r="E4967" s="3" t="s">
        <v>7142</v>
      </c>
      <c r="F4967" s="3" t="s">
        <v>2525</v>
      </c>
      <c r="G4967" s="3" t="str">
        <f>IFERROR(__xludf.DUMMYFUNCTION("GOOGLETRANSLATE(D4967,""ja"",""es"")"),"Dispositivo")</f>
        <v>Dispositivo</v>
      </c>
      <c r="H4967" s="3" t="s">
        <v>9321</v>
      </c>
    </row>
    <row r="4968">
      <c r="A4968" s="3">
        <v>378.0</v>
      </c>
      <c r="B4968" s="3" t="s">
        <v>8148</v>
      </c>
      <c r="C4968" s="3" t="s">
        <v>8149</v>
      </c>
      <c r="D4968" s="3" t="s">
        <v>9322</v>
      </c>
      <c r="E4968" s="3" t="s">
        <v>5408</v>
      </c>
      <c r="F4968" s="3" t="s">
        <v>5409</v>
      </c>
      <c r="G4968" s="3" t="str">
        <f>IFERROR(__xludf.DUMMYFUNCTION("GOOGLETRANSLATE(D4968,""ja"",""es"")"),"Extraño")</f>
        <v>Extraño</v>
      </c>
      <c r="H4968" s="3" t="s">
        <v>9323</v>
      </c>
      <c r="I4968" s="3" t="s">
        <v>9324</v>
      </c>
      <c r="J4968" s="3" t="s">
        <v>9325</v>
      </c>
      <c r="K4968" s="3" t="s">
        <v>6940</v>
      </c>
      <c r="L4968" s="3" t="s">
        <v>9326</v>
      </c>
      <c r="M4968" s="3" t="s">
        <v>9327</v>
      </c>
      <c r="N4968" s="3" t="s">
        <v>9328</v>
      </c>
      <c r="O4968" s="3" t="s">
        <v>9329</v>
      </c>
      <c r="P4968" s="3" t="s">
        <v>9330</v>
      </c>
      <c r="Q4968" s="3" t="s">
        <v>9331</v>
      </c>
      <c r="R4968" s="3" t="s">
        <v>9332</v>
      </c>
      <c r="S4968" s="3" t="s">
        <v>9333</v>
      </c>
      <c r="T4968" s="3" t="s">
        <v>9324</v>
      </c>
      <c r="U4968" s="3" t="s">
        <v>9334</v>
      </c>
      <c r="V4968" s="3" t="s">
        <v>9335</v>
      </c>
      <c r="W4968" s="3" t="s">
        <v>9323</v>
      </c>
    </row>
    <row r="4969">
      <c r="A4969" s="3">
        <v>379.0</v>
      </c>
      <c r="B4969" s="3" t="s">
        <v>8148</v>
      </c>
      <c r="C4969" s="3" t="s">
        <v>8149</v>
      </c>
      <c r="D4969" s="3" t="s">
        <v>9336</v>
      </c>
      <c r="E4969" s="3" t="s">
        <v>8874</v>
      </c>
      <c r="F4969" s="3" t="s">
        <v>8875</v>
      </c>
      <c r="G4969" s="3" t="str">
        <f>IFERROR(__xludf.DUMMYFUNCTION("GOOGLETRANSLATE(D4969,""ja"",""es"")"),"Moneda extraña")</f>
        <v>Moneda extraña</v>
      </c>
    </row>
    <row r="4970">
      <c r="A4970" s="3">
        <v>380.0</v>
      </c>
      <c r="B4970" s="3" t="s">
        <v>8148</v>
      </c>
      <c r="C4970" s="3" t="s">
        <v>8149</v>
      </c>
      <c r="D4970" s="3" t="s">
        <v>9337</v>
      </c>
      <c r="E4970" s="3" t="s">
        <v>8619</v>
      </c>
      <c r="F4970" s="3" t="s">
        <v>8620</v>
      </c>
      <c r="G4970" s="3" t="str">
        <f>IFERROR(__xludf.DUMMYFUNCTION("GOOGLETRANSLATE(D4970,""ja"",""es"")"),"Inusual")</f>
        <v>Inusual</v>
      </c>
      <c r="H4970" s="3" t="s">
        <v>9338</v>
      </c>
      <c r="I4970" s="3" t="s">
        <v>9339</v>
      </c>
      <c r="J4970" s="3" t="s">
        <v>9340</v>
      </c>
      <c r="K4970" s="3" t="s">
        <v>9341</v>
      </c>
      <c r="L4970" s="3" t="s">
        <v>9342</v>
      </c>
      <c r="M4970" s="3" t="s">
        <v>3460</v>
      </c>
      <c r="N4970" s="3" t="s">
        <v>9343</v>
      </c>
      <c r="O4970" s="3" t="s">
        <v>9344</v>
      </c>
    </row>
    <row r="4971">
      <c r="A4971" s="3">
        <v>381.0</v>
      </c>
      <c r="B4971" s="3" t="s">
        <v>8148</v>
      </c>
      <c r="C4971" s="3" t="s">
        <v>8149</v>
      </c>
      <c r="D4971" s="3" t="s">
        <v>9345</v>
      </c>
      <c r="E4971" s="3" t="s">
        <v>7142</v>
      </c>
      <c r="F4971" s="3" t="s">
        <v>2525</v>
      </c>
      <c r="G4971" s="3" t="str">
        <f>IFERROR(__xludf.DUMMYFUNCTION("GOOGLETRANSLATE(D4971,""ja"",""es"")"),"Alegre")</f>
        <v>Alegre</v>
      </c>
    </row>
    <row r="4972">
      <c r="A4972" s="3">
        <v>382.0</v>
      </c>
      <c r="B4972" s="3" t="s">
        <v>8148</v>
      </c>
      <c r="C4972" s="3" t="s">
        <v>8149</v>
      </c>
      <c r="D4972" s="3" t="s">
        <v>9346</v>
      </c>
      <c r="E4972" s="3" t="s">
        <v>7142</v>
      </c>
      <c r="F4972" s="3" t="s">
        <v>2525</v>
      </c>
      <c r="G4972" s="3" t="str">
        <f>IFERROR(__xludf.DUMMYFUNCTION("GOOGLETRANSLATE(D4972,""ja"",""es"")"),"Contento")</f>
        <v>Contento</v>
      </c>
    </row>
    <row r="4973">
      <c r="A4973" s="3">
        <v>383.0</v>
      </c>
      <c r="B4973" s="3" t="s">
        <v>8148</v>
      </c>
      <c r="C4973" s="3" t="s">
        <v>8149</v>
      </c>
      <c r="D4973" s="3" t="s">
        <v>9347</v>
      </c>
      <c r="E4973" s="3" t="s">
        <v>8939</v>
      </c>
      <c r="F4973" s="3" t="s">
        <v>8940</v>
      </c>
      <c r="G4973" s="3" t="str">
        <f>IFERROR(__xludf.DUMMYFUNCTION("GOOGLETRANSLATE(D4973,""ja"",""es"")"),"Abominabilidad")</f>
        <v>Abominabilidad</v>
      </c>
      <c r="H4973" s="3" t="s">
        <v>9348</v>
      </c>
      <c r="I4973" s="3" t="s">
        <v>9349</v>
      </c>
      <c r="J4973" s="3" t="s">
        <v>9350</v>
      </c>
      <c r="K4973" s="3" t="s">
        <v>9349</v>
      </c>
      <c r="L4973" s="3" t="s">
        <v>9350</v>
      </c>
    </row>
    <row r="4974">
      <c r="A4974" s="3">
        <v>384.0</v>
      </c>
      <c r="B4974" s="3" t="s">
        <v>8148</v>
      </c>
      <c r="C4974" s="3" t="s">
        <v>8149</v>
      </c>
      <c r="D4974" s="3" t="s">
        <v>9351</v>
      </c>
      <c r="E4974" s="3" t="s">
        <v>9352</v>
      </c>
      <c r="F4974" s="3" t="s">
        <v>9353</v>
      </c>
      <c r="G4974" s="3" t="str">
        <f>IFERROR(__xludf.DUMMYFUNCTION("GOOGLETRANSLATE(D4974,""ja"",""es"")"),"Aniversario")</f>
        <v>Aniversario</v>
      </c>
    </row>
    <row r="4975">
      <c r="A4975" s="3">
        <v>385.0</v>
      </c>
      <c r="B4975" s="3" t="s">
        <v>8148</v>
      </c>
      <c r="C4975" s="3" t="s">
        <v>8149</v>
      </c>
      <c r="D4975" s="3" t="s">
        <v>9354</v>
      </c>
      <c r="E4975" s="3" t="s">
        <v>8874</v>
      </c>
      <c r="F4975" s="3" t="s">
        <v>8875</v>
      </c>
      <c r="G4975" s="3" t="str">
        <f>IFERROR(__xludf.DUMMYFUNCTION("GOOGLETRANSLATE(D4975,""ja"",""es"")"),"Escritorio")</f>
        <v>Escritorio</v>
      </c>
    </row>
    <row r="4976">
      <c r="A4976" s="3">
        <v>386.0</v>
      </c>
      <c r="B4976" s="3" t="s">
        <v>8148</v>
      </c>
      <c r="C4976" s="3" t="s">
        <v>8149</v>
      </c>
      <c r="D4976" s="3" t="s">
        <v>9355</v>
      </c>
      <c r="E4976" s="3" t="s">
        <v>8976</v>
      </c>
      <c r="F4976" s="3" t="s">
        <v>8977</v>
      </c>
      <c r="G4976" s="3" t="str">
        <f>IFERROR(__xludf.DUMMYFUNCTION("GOOGLETRANSLATE(D4976,""ja"",""es"")"),"bandera")</f>
        <v>bandera</v>
      </c>
      <c r="H4976" s="3" t="s">
        <v>9356</v>
      </c>
      <c r="I4976" s="3" t="s">
        <v>9357</v>
      </c>
      <c r="J4976" s="3" t="s">
        <v>1382</v>
      </c>
      <c r="K4976" s="3" t="s">
        <v>9358</v>
      </c>
      <c r="L4976" s="3" t="s">
        <v>9356</v>
      </c>
      <c r="M4976" s="3" t="s">
        <v>1382</v>
      </c>
      <c r="N4976" s="3" t="s">
        <v>9359</v>
      </c>
    </row>
    <row r="4977">
      <c r="A4977" s="3">
        <v>387.0</v>
      </c>
      <c r="B4977" s="3" t="s">
        <v>8148</v>
      </c>
      <c r="C4977" s="3" t="s">
        <v>8149</v>
      </c>
      <c r="D4977" s="3" t="s">
        <v>9360</v>
      </c>
      <c r="E4977" s="3" t="s">
        <v>8874</v>
      </c>
      <c r="F4977" s="3" t="s">
        <v>8875</v>
      </c>
      <c r="G4977" s="3" t="str">
        <f>IFERROR(__xludf.DUMMYFUNCTION("GOOGLETRANSLATE(D4977,""ja"",""es"")"),"Debajo de la bandera")</f>
        <v>Debajo de la bandera</v>
      </c>
    </row>
    <row r="4978">
      <c r="A4978" s="3">
        <v>388.0</v>
      </c>
      <c r="B4978" s="3" t="s">
        <v>8148</v>
      </c>
      <c r="C4978" s="3" t="s">
        <v>8149</v>
      </c>
      <c r="D4978" s="3" t="s">
        <v>9361</v>
      </c>
      <c r="E4978" s="3" t="s">
        <v>5408</v>
      </c>
      <c r="F4978" s="3" t="s">
        <v>5409</v>
      </c>
      <c r="G4978" s="3" t="str">
        <f>IFERROR(__xludf.DUMMYFUNCTION("GOOGLETRANSLATE(D4978,""ja"",""es"")"),"Período")</f>
        <v>Período</v>
      </c>
      <c r="H4978" s="3" t="s">
        <v>9362</v>
      </c>
      <c r="I4978" s="3" t="s">
        <v>9363</v>
      </c>
      <c r="J4978" s="3" t="s">
        <v>9364</v>
      </c>
      <c r="K4978" s="3" t="s">
        <v>4884</v>
      </c>
      <c r="L4978" s="3" t="s">
        <v>9365</v>
      </c>
    </row>
    <row r="4979">
      <c r="A4979" s="3">
        <v>389.0</v>
      </c>
      <c r="B4979" s="3" t="s">
        <v>8148</v>
      </c>
      <c r="C4979" s="3" t="s">
        <v>8149</v>
      </c>
      <c r="D4979" s="3" t="s">
        <v>9366</v>
      </c>
      <c r="E4979" s="3" t="s">
        <v>9367</v>
      </c>
      <c r="F4979" s="3" t="s">
        <v>9368</v>
      </c>
      <c r="G4979" s="3" t="str">
        <f>IFERROR(__xludf.DUMMYFUNCTION("GOOGLETRANSLATE(D4979,""ja"",""es"")"),"Tienda de máquina")</f>
        <v>Tienda de máquina</v>
      </c>
    </row>
    <row r="4980">
      <c r="A4980" s="3">
        <v>390.0</v>
      </c>
      <c r="B4980" s="3" t="s">
        <v>8148</v>
      </c>
      <c r="C4980" s="3" t="s">
        <v>8149</v>
      </c>
      <c r="D4980" s="3" t="s">
        <v>9369</v>
      </c>
      <c r="E4980" s="3" t="s">
        <v>8874</v>
      </c>
      <c r="F4980" s="3" t="s">
        <v>8875</v>
      </c>
      <c r="G4980" s="3" t="str">
        <f>IFERROR(__xludf.DUMMYFUNCTION("GOOGLETRANSLATE(D4980,""ja"",""es"")"),"Cambiando")</f>
        <v>Cambiando</v>
      </c>
    </row>
    <row r="4981">
      <c r="A4981" s="3">
        <v>391.0</v>
      </c>
      <c r="B4981" s="3" t="s">
        <v>8148</v>
      </c>
      <c r="C4981" s="3" t="s">
        <v>8149</v>
      </c>
      <c r="D4981" s="3" t="s">
        <v>9370</v>
      </c>
      <c r="E4981" s="3" t="s">
        <v>7142</v>
      </c>
      <c r="F4981" s="3" t="s">
        <v>2525</v>
      </c>
      <c r="G4981" s="3" t="str">
        <f>IFERROR(__xludf.DUMMYFUNCTION("GOOGLETRANSLATE(D4981,""ja"",""es"")"),"máquina")</f>
        <v>máquina</v>
      </c>
      <c r="H4981" s="3" t="s">
        <v>9371</v>
      </c>
      <c r="I4981" s="3" t="s">
        <v>9321</v>
      </c>
      <c r="J4981" s="3" t="s">
        <v>7496</v>
      </c>
    </row>
    <row r="4982">
      <c r="A4982" s="3">
        <v>392.0</v>
      </c>
      <c r="B4982" s="3" t="s">
        <v>8148</v>
      </c>
      <c r="C4982" s="3" t="s">
        <v>8149</v>
      </c>
      <c r="D4982" s="3" t="s">
        <v>9372</v>
      </c>
      <c r="E4982" s="3" t="s">
        <v>8874</v>
      </c>
      <c r="F4982" s="3" t="s">
        <v>8875</v>
      </c>
      <c r="G4982" s="3" t="str">
        <f>IFERROR(__xludf.DUMMYFUNCTION("GOOGLETRANSLATE(D4982,""ja"",""es"")"),"Naturalización")</f>
        <v>Naturalización</v>
      </c>
      <c r="H4982" s="3" t="s">
        <v>9373</v>
      </c>
      <c r="I4982" s="3" t="s">
        <v>9374</v>
      </c>
      <c r="J4982" s="3" t="s">
        <v>9373</v>
      </c>
      <c r="K4982" s="3" t="s">
        <v>9374</v>
      </c>
    </row>
    <row r="4983">
      <c r="A4983" s="3">
        <v>393.0</v>
      </c>
      <c r="B4983" s="3" t="s">
        <v>8148</v>
      </c>
      <c r="C4983" s="3" t="s">
        <v>8149</v>
      </c>
      <c r="D4983" s="3" t="s">
        <v>9375</v>
      </c>
      <c r="E4983" s="3" t="s">
        <v>9376</v>
      </c>
      <c r="F4983" s="3" t="s">
        <v>9377</v>
      </c>
      <c r="G4983" s="3" t="str">
        <f>IFERROR(__xludf.DUMMYFUNCTION("GOOGLETRANSLATE(D4983,""ja"",""es"")"),"Indignante")</f>
        <v>Indignante</v>
      </c>
      <c r="H4983" s="3" t="s">
        <v>9378</v>
      </c>
      <c r="I4983" s="3" t="s">
        <v>9379</v>
      </c>
      <c r="J4983" s="3" t="s">
        <v>9380</v>
      </c>
      <c r="K4983" s="3" t="s">
        <v>9381</v>
      </c>
      <c r="L4983" s="3" t="s">
        <v>9382</v>
      </c>
      <c r="M4983" s="3" t="s">
        <v>9383</v>
      </c>
      <c r="N4983" s="3" t="s">
        <v>9384</v>
      </c>
      <c r="O4983" s="3" t="s">
        <v>9385</v>
      </c>
      <c r="P4983" s="3" t="s">
        <v>9386</v>
      </c>
    </row>
    <row r="4984">
      <c r="A4984" s="3">
        <v>394.0</v>
      </c>
      <c r="B4984" s="3" t="s">
        <v>8148</v>
      </c>
      <c r="C4984" s="3" t="s">
        <v>8149</v>
      </c>
      <c r="D4984" s="3" t="s">
        <v>9387</v>
      </c>
      <c r="E4984" s="3" t="s">
        <v>8874</v>
      </c>
      <c r="F4984" s="3" t="s">
        <v>8875</v>
      </c>
      <c r="G4984" s="3" t="str">
        <f>IFERROR(__xludf.DUMMYFUNCTION("GOOGLETRANSLATE(D4984,""ja"",""es"")"),"Vaporización")</f>
        <v>Vaporización</v>
      </c>
      <c r="H4984" s="3" t="s">
        <v>9388</v>
      </c>
      <c r="I4984" s="3" t="s">
        <v>9389</v>
      </c>
      <c r="J4984" s="3" t="s">
        <v>9390</v>
      </c>
      <c r="K4984" s="3" t="s">
        <v>9388</v>
      </c>
      <c r="L4984" s="3" t="s">
        <v>9389</v>
      </c>
      <c r="M4984" s="3" t="s">
        <v>9391</v>
      </c>
      <c r="N4984" s="3" t="s">
        <v>9392</v>
      </c>
      <c r="O4984" s="3" t="s">
        <v>9393</v>
      </c>
    </row>
    <row r="4985">
      <c r="A4985" s="3">
        <v>395.0</v>
      </c>
      <c r="B4985" s="3" t="s">
        <v>8148</v>
      </c>
      <c r="C4985" s="3" t="s">
        <v>8149</v>
      </c>
      <c r="D4985" s="3" t="s">
        <v>9394</v>
      </c>
      <c r="E4985" s="3" t="s">
        <v>9395</v>
      </c>
      <c r="F4985" s="3" t="s">
        <v>9396</v>
      </c>
      <c r="G4985" s="3" t="str">
        <f>IFERROR(__xludf.DUMMYFUNCTION("GOOGLETRANSLATE(D4985,""ja"",""es"")"),"Vaporizador")</f>
        <v>Vaporizador</v>
      </c>
    </row>
    <row r="4986">
      <c r="A4986" s="3">
        <v>396.0</v>
      </c>
      <c r="B4986" s="3" t="s">
        <v>8148</v>
      </c>
      <c r="C4986" s="3" t="s">
        <v>8149</v>
      </c>
      <c r="D4986" s="3" t="s">
        <v>9397</v>
      </c>
      <c r="E4986" s="3" t="s">
        <v>9376</v>
      </c>
      <c r="F4986" s="3" t="s">
        <v>9377</v>
      </c>
      <c r="G4986" s="3" t="str">
        <f>IFERROR(__xludf.DUMMYFUNCTION("GOOGLETRANSLATE(D4986,""ja"",""es"")"),"Timidez")</f>
        <v>Timidez</v>
      </c>
      <c r="H4986" s="3" t="s">
        <v>9380</v>
      </c>
      <c r="I4986" s="3" t="s">
        <v>9381</v>
      </c>
      <c r="J4986" s="3" t="s">
        <v>9382</v>
      </c>
      <c r="K4986" s="3" t="s">
        <v>9383</v>
      </c>
      <c r="L4986" s="3" t="s">
        <v>9384</v>
      </c>
    </row>
    <row r="4987">
      <c r="A4987" s="3">
        <v>397.0</v>
      </c>
      <c r="B4987" s="3" t="s">
        <v>8148</v>
      </c>
      <c r="C4987" s="3" t="s">
        <v>8149</v>
      </c>
      <c r="D4987" s="3" t="s">
        <v>9398</v>
      </c>
      <c r="E4987" s="3" t="s">
        <v>9376</v>
      </c>
      <c r="F4987" s="3" t="s">
        <v>9377</v>
      </c>
      <c r="G4987" s="3" t="str">
        <f>IFERROR(__xludf.DUMMYFUNCTION("GOOGLETRANSLATE(D4987,""ja"",""es"")"),"Amable")</f>
        <v>Amable</v>
      </c>
      <c r="H4987" s="3" t="s">
        <v>9380</v>
      </c>
      <c r="I4987" s="3" t="s">
        <v>9381</v>
      </c>
      <c r="J4987" s="3" t="s">
        <v>9382</v>
      </c>
      <c r="K4987" s="3" t="s">
        <v>9383</v>
      </c>
      <c r="L4987" s="3" t="s">
        <v>9384</v>
      </c>
    </row>
    <row r="4988">
      <c r="A4988" s="3">
        <v>398.0</v>
      </c>
      <c r="B4988" s="3" t="s">
        <v>8148</v>
      </c>
      <c r="C4988" s="3" t="s">
        <v>8149</v>
      </c>
      <c r="D4988" s="3" t="s">
        <v>9399</v>
      </c>
      <c r="E4988" s="3" t="s">
        <v>5408</v>
      </c>
      <c r="F4988" s="3" t="s">
        <v>5409</v>
      </c>
      <c r="G4988" s="3" t="str">
        <f>IFERROR(__xludf.DUMMYFUNCTION("GOOGLETRANSLATE(D4988,""ja"",""es"")"),"Temporada")</f>
        <v>Temporada</v>
      </c>
      <c r="H4988" s="3" t="s">
        <v>9400</v>
      </c>
      <c r="I4988" s="3" t="s">
        <v>9401</v>
      </c>
    </row>
    <row r="4989">
      <c r="A4989" s="3">
        <v>399.0</v>
      </c>
      <c r="B4989" s="3" t="s">
        <v>8148</v>
      </c>
      <c r="C4989" s="3" t="s">
        <v>8149</v>
      </c>
      <c r="D4989" s="3" t="s">
        <v>9402</v>
      </c>
      <c r="E4989" s="3" t="s">
        <v>8874</v>
      </c>
      <c r="F4989" s="3" t="s">
        <v>8875</v>
      </c>
      <c r="G4989" s="3" t="str">
        <f>IFERROR(__xludf.DUMMYFUNCTION("GOOGLETRANSLATE(D4989,""ja"",""es"")"),"Temporada y verano")</f>
        <v>Temporada y verano</v>
      </c>
    </row>
    <row r="4990">
      <c r="A4990" s="3">
        <v>400.0</v>
      </c>
      <c r="B4990" s="3" t="s">
        <v>8148</v>
      </c>
      <c r="C4990" s="3" t="s">
        <v>8149</v>
      </c>
      <c r="D4990" s="3" t="s">
        <v>9403</v>
      </c>
      <c r="E4990" s="3" t="s">
        <v>5408</v>
      </c>
      <c r="F4990" s="3" t="s">
        <v>5409</v>
      </c>
      <c r="G4990" s="3" t="str">
        <f>IFERROR(__xludf.DUMMYFUNCTION("GOOGLETRANSLATE(D4990,""ja"",""es"")"),"Culminación")</f>
        <v>Culminación</v>
      </c>
    </row>
    <row r="4991">
      <c r="A4991" s="3">
        <v>401.0</v>
      </c>
      <c r="B4991" s="3" t="s">
        <v>8148</v>
      </c>
      <c r="C4991" s="3" t="s">
        <v>8149</v>
      </c>
      <c r="D4991" s="3" t="s">
        <v>9404</v>
      </c>
      <c r="E4991" s="3" t="s">
        <v>9405</v>
      </c>
      <c r="F4991" s="3" t="s">
        <v>9406</v>
      </c>
      <c r="G4991" s="3" t="str">
        <f>IFERROR(__xludf.DUMMYFUNCTION("GOOGLETRANSLATE(D4991,""ja"",""es"")"),"Regalar")</f>
        <v>Regalar</v>
      </c>
    </row>
    <row r="4992">
      <c r="A4992" s="3">
        <v>402.0</v>
      </c>
      <c r="B4992" s="3" t="s">
        <v>8148</v>
      </c>
      <c r="C4992" s="3" t="s">
        <v>8149</v>
      </c>
      <c r="D4992" s="3" t="s">
        <v>9407</v>
      </c>
      <c r="E4992" s="3" t="s">
        <v>5408</v>
      </c>
      <c r="F4992" s="3" t="s">
        <v>5409</v>
      </c>
      <c r="G4992" s="3" t="str">
        <f>IFERROR(__xludf.DUMMYFUNCTION("GOOGLETRANSLATE(D4992,""ja"",""es"")"),"Registro")</f>
        <v>Registro</v>
      </c>
      <c r="H4992" s="3" t="s">
        <v>9408</v>
      </c>
      <c r="I4992" s="3" t="s">
        <v>9408</v>
      </c>
      <c r="J4992" s="3" t="s">
        <v>9409</v>
      </c>
      <c r="K4992" s="3" t="s">
        <v>9410</v>
      </c>
      <c r="L4992" s="3" t="s">
        <v>9411</v>
      </c>
      <c r="M4992" s="3" t="s">
        <v>9412</v>
      </c>
      <c r="N4992" s="3" t="s">
        <v>9276</v>
      </c>
      <c r="O4992" s="3" t="s">
        <v>9413</v>
      </c>
      <c r="P4992" s="3" t="s">
        <v>9411</v>
      </c>
    </row>
    <row r="4993">
      <c r="A4993" s="3">
        <v>403.0</v>
      </c>
      <c r="B4993" s="3" t="s">
        <v>8148</v>
      </c>
      <c r="C4993" s="3" t="s">
        <v>8149</v>
      </c>
      <c r="D4993" s="3" t="s">
        <v>9414</v>
      </c>
      <c r="E4993" s="3" t="s">
        <v>7142</v>
      </c>
      <c r="F4993" s="3" t="s">
        <v>2525</v>
      </c>
      <c r="G4993" s="3" t="str">
        <f>IFERROR(__xludf.DUMMYFUNCTION("GOOGLETRANSLATE(D4993,""ja"",""es"")"),"Notas")</f>
        <v>Notas</v>
      </c>
    </row>
    <row r="4994">
      <c r="A4994" s="3">
        <v>404.0</v>
      </c>
      <c r="B4994" s="3" t="s">
        <v>8148</v>
      </c>
      <c r="C4994" s="3" t="s">
        <v>8149</v>
      </c>
      <c r="D4994" s="3" t="s">
        <v>9415</v>
      </c>
      <c r="E4994" s="3" t="s">
        <v>8874</v>
      </c>
      <c r="F4994" s="3" t="s">
        <v>8875</v>
      </c>
      <c r="G4994" s="3" t="str">
        <f>IFERROR(__xludf.DUMMYFUNCTION("GOOGLETRANSLATE(D4994,""ja"",""es"")"),"Tú")</f>
        <v>Tú</v>
      </c>
    </row>
    <row r="4995">
      <c r="A4995" s="3">
        <v>405.0</v>
      </c>
      <c r="B4995" s="3" t="s">
        <v>8148</v>
      </c>
      <c r="C4995" s="3" t="s">
        <v>8149</v>
      </c>
      <c r="D4995" s="3" t="s">
        <v>9416</v>
      </c>
      <c r="E4995" s="3" t="s">
        <v>8874</v>
      </c>
      <c r="F4995" s="3" t="s">
        <v>8875</v>
      </c>
      <c r="G4995" s="3" t="str">
        <f>IFERROR(__xludf.DUMMYFUNCTION("GOOGLETRANSLATE(D4995,""ja"",""es"")"),"Tu familia")</f>
        <v>Tu familia</v>
      </c>
    </row>
    <row r="4996">
      <c r="A4996" s="3">
        <v>406.0</v>
      </c>
      <c r="B4996" s="3" t="s">
        <v>8148</v>
      </c>
      <c r="C4996" s="3" t="s">
        <v>8149</v>
      </c>
      <c r="D4996" s="3" t="s">
        <v>9417</v>
      </c>
      <c r="E4996" s="3" t="s">
        <v>9418</v>
      </c>
      <c r="F4996" s="3" t="s">
        <v>9419</v>
      </c>
      <c r="G4996" s="3" t="str">
        <f>IFERROR(__xludf.DUMMYFUNCTION("GOOGLETRANSLATE(D4996,""ja"",""es"")"),"Hombre noble")</f>
        <v>Hombre noble</v>
      </c>
    </row>
    <row r="4997">
      <c r="A4997" s="3">
        <v>407.0</v>
      </c>
      <c r="B4997" s="3" t="s">
        <v>8148</v>
      </c>
      <c r="C4997" s="3" t="s">
        <v>8149</v>
      </c>
      <c r="D4997" s="3" t="s">
        <v>9420</v>
      </c>
      <c r="E4997" s="3" t="s">
        <v>9421</v>
      </c>
      <c r="F4997" s="3" t="s">
        <v>9422</v>
      </c>
      <c r="G4997" s="3" t="str">
        <f>IFERROR(__xludf.DUMMYFUNCTION("GOOGLETRANSLATE(D4997,""ja"",""es"")"),"tú")</f>
        <v>tú</v>
      </c>
    </row>
    <row r="4998">
      <c r="A4998" s="3">
        <v>408.0</v>
      </c>
      <c r="B4998" s="3" t="s">
        <v>8148</v>
      </c>
      <c r="C4998" s="3" t="s">
        <v>8149</v>
      </c>
      <c r="D4998" s="3" t="s">
        <v>9423</v>
      </c>
      <c r="E4998" s="3" t="s">
        <v>7142</v>
      </c>
      <c r="F4998" s="3" t="s">
        <v>2525</v>
      </c>
      <c r="G4998" s="3" t="str">
        <f>IFERROR(__xludf.DUMMYFUNCTION("GOOGLETRANSLATE(D4998,""ja"",""es"")"),"Glorioso")</f>
        <v>Glorioso</v>
      </c>
    </row>
    <row r="4999">
      <c r="A4999" s="3">
        <v>409.0</v>
      </c>
      <c r="B4999" s="3" t="s">
        <v>8148</v>
      </c>
      <c r="C4999" s="3" t="s">
        <v>8149</v>
      </c>
      <c r="D4999" s="3" t="s">
        <v>9424</v>
      </c>
      <c r="E4999" s="3" t="s">
        <v>7142</v>
      </c>
      <c r="F4999" s="3" t="s">
        <v>2525</v>
      </c>
      <c r="G4999" s="3" t="str">
        <f>IFERROR(__xludf.DUMMYFUNCTION("GOOGLETRANSLATE(D4999,""ja"",""es"")"),"Brillo")</f>
        <v>Brillo</v>
      </c>
    </row>
    <row r="5000">
      <c r="A5000" s="3">
        <v>410.0</v>
      </c>
      <c r="B5000" s="3" t="s">
        <v>8148</v>
      </c>
      <c r="C5000" s="3" t="s">
        <v>8149</v>
      </c>
      <c r="D5000" s="3" t="s">
        <v>9425</v>
      </c>
      <c r="E5000" s="3" t="s">
        <v>5408</v>
      </c>
      <c r="F5000" s="3" t="s">
        <v>5409</v>
      </c>
      <c r="G5000" s="3" t="str">
        <f>IFERROR(__xludf.DUMMYFUNCTION("GOOGLETRANSLATE(D5000,""ja"",""es"")"),"Fila")</f>
        <v>Fila</v>
      </c>
    </row>
    <row r="5001">
      <c r="A5001" s="3">
        <v>411.0</v>
      </c>
      <c r="B5001" s="3" t="s">
        <v>8148</v>
      </c>
      <c r="C5001" s="3" t="s">
        <v>8149</v>
      </c>
      <c r="D5001" s="3" t="s">
        <v>9426</v>
      </c>
      <c r="E5001" s="3" t="s">
        <v>7142</v>
      </c>
      <c r="F5001" s="3" t="s">
        <v>2525</v>
      </c>
      <c r="G5001" s="3" t="str">
        <f>IFERROR(__xludf.DUMMYFUNCTION("GOOGLETRANSLATE(D5001,""ja"",""es"")"),"Fugaz")</f>
        <v>Fugaz</v>
      </c>
    </row>
    <row r="5002">
      <c r="A5002" s="3">
        <v>412.0</v>
      </c>
      <c r="B5002" s="3" t="s">
        <v>8148</v>
      </c>
      <c r="C5002" s="3" t="s">
        <v>8149</v>
      </c>
      <c r="D5002" s="3" t="s">
        <v>9427</v>
      </c>
      <c r="E5002" s="3" t="s">
        <v>8531</v>
      </c>
      <c r="F5002" s="3" t="s">
        <v>8532</v>
      </c>
      <c r="G5002" s="3" t="str">
        <f>IFERROR(__xludf.DUMMYFUNCTION("GOOGLETRANSLATE(D5002,""ja"",""es"")"),"hormiga")</f>
        <v>hormiga</v>
      </c>
      <c r="H5002" s="3" t="s">
        <v>8533</v>
      </c>
      <c r="I5002" s="3" t="s">
        <v>8534</v>
      </c>
      <c r="J5002" s="3" t="s">
        <v>8535</v>
      </c>
    </row>
    <row r="5003">
      <c r="A5003" s="3">
        <v>413.0</v>
      </c>
      <c r="B5003" s="3" t="s">
        <v>8148</v>
      </c>
      <c r="C5003" s="3" t="s">
        <v>8149</v>
      </c>
      <c r="D5003" s="3" t="s">
        <v>9428</v>
      </c>
      <c r="E5003" s="3" t="s">
        <v>8541</v>
      </c>
      <c r="F5003" s="3" t="s">
        <v>8542</v>
      </c>
      <c r="G5003" s="3" t="str">
        <f>IFERROR(__xludf.DUMMYFUNCTION("GOOGLETRANSLATE(D5003,""ja"",""es"")"),"Recipiente")</f>
        <v>Recipiente</v>
      </c>
      <c r="H5003" s="3" t="s">
        <v>9429</v>
      </c>
      <c r="I5003" s="3" t="s">
        <v>9430</v>
      </c>
      <c r="J5003" s="3" t="s">
        <v>9431</v>
      </c>
    </row>
    <row r="5004">
      <c r="A5004" s="3">
        <v>414.0</v>
      </c>
      <c r="B5004" s="3" t="s">
        <v>8148</v>
      </c>
      <c r="C5004" s="3" t="s">
        <v>8149</v>
      </c>
      <c r="D5004" s="3" t="s">
        <v>9432</v>
      </c>
      <c r="E5004" s="3" t="s">
        <v>8793</v>
      </c>
      <c r="F5004" s="3" t="s">
        <v>8794</v>
      </c>
      <c r="G5004" s="3" t="str">
        <f>IFERROR(__xludf.DUMMYFUNCTION("GOOGLETRANSLATE(D5004,""ja"",""es"")"),"pelota")</f>
        <v>pelota</v>
      </c>
      <c r="H5004" s="3" t="s">
        <v>2064</v>
      </c>
      <c r="I5004" s="3" t="s">
        <v>2064</v>
      </c>
      <c r="J5004" s="3" t="s">
        <v>2064</v>
      </c>
    </row>
    <row r="5005">
      <c r="A5005" s="3">
        <v>415.0</v>
      </c>
      <c r="B5005" s="3" t="s">
        <v>8148</v>
      </c>
      <c r="C5005" s="3" t="s">
        <v>8149</v>
      </c>
      <c r="D5005" s="3" t="s">
        <v>9433</v>
      </c>
      <c r="E5005" s="3" t="s">
        <v>9434</v>
      </c>
      <c r="F5005" s="3" t="s">
        <v>9435</v>
      </c>
      <c r="G5005" s="3" t="str">
        <f>IFERROR(__xludf.DUMMYFUNCTION("GOOGLETRANSLATE(D5005,""ja"",""es"")"),"Al revés")</f>
        <v>Al revés</v>
      </c>
      <c r="H5005" s="3" t="s">
        <v>9436</v>
      </c>
      <c r="I5005" s="3" t="s">
        <v>9437</v>
      </c>
      <c r="J5005" s="3" t="s">
        <v>9438</v>
      </c>
      <c r="K5005" s="3" t="s">
        <v>9439</v>
      </c>
      <c r="L5005" s="3" t="s">
        <v>9438</v>
      </c>
    </row>
    <row r="5006">
      <c r="A5006" s="3">
        <v>416.0</v>
      </c>
      <c r="B5006" s="3" t="s">
        <v>8148</v>
      </c>
      <c r="C5006" s="3" t="s">
        <v>8149</v>
      </c>
      <c r="D5006" s="3" t="s">
        <v>9440</v>
      </c>
      <c r="E5006" s="3" t="s">
        <v>9441</v>
      </c>
      <c r="F5006" s="3" t="s">
        <v>9442</v>
      </c>
      <c r="G5006" s="3" t="str">
        <f>IFERROR(__xludf.DUMMYFUNCTION("GOOGLETRANSLATE(D5006,""ja"",""es"")"),"Al revés")</f>
        <v>Al revés</v>
      </c>
      <c r="H5006" s="3" t="s">
        <v>9436</v>
      </c>
      <c r="I5006" s="3" t="s">
        <v>9437</v>
      </c>
      <c r="J5006" s="3" t="s">
        <v>9438</v>
      </c>
    </row>
    <row r="5007">
      <c r="A5007" s="3">
        <v>417.0</v>
      </c>
      <c r="B5007" s="3" t="s">
        <v>8148</v>
      </c>
      <c r="C5007" s="3" t="s">
        <v>8149</v>
      </c>
      <c r="D5007" s="3" t="s">
        <v>9443</v>
      </c>
      <c r="E5007" s="3" t="s">
        <v>9444</v>
      </c>
      <c r="F5007" s="3" t="s">
        <v>9445</v>
      </c>
      <c r="G5007" s="3" t="str">
        <f>IFERROR(__xludf.DUMMYFUNCTION("GOOGLETRANSLATE(D5007,""ja"",""es"")"),"Onda inversa")</f>
        <v>Onda inversa</v>
      </c>
    </row>
    <row r="5008">
      <c r="A5008" s="3">
        <v>418.0</v>
      </c>
      <c r="B5008" s="3" t="s">
        <v>8148</v>
      </c>
      <c r="C5008" s="3" t="s">
        <v>8149</v>
      </c>
      <c r="D5008" s="3" t="s">
        <v>9446</v>
      </c>
      <c r="E5008" s="3" t="s">
        <v>9441</v>
      </c>
      <c r="F5008" s="3" t="s">
        <v>9442</v>
      </c>
      <c r="G5008" s="3" t="str">
        <f>IFERROR(__xludf.DUMMYFUNCTION("GOOGLETRANSLATE(D5008,""ja"",""es"")"),"Reverso")</f>
        <v>Reverso</v>
      </c>
      <c r="H5008" s="3" t="s">
        <v>9447</v>
      </c>
      <c r="I5008" s="3" t="s">
        <v>9448</v>
      </c>
    </row>
    <row r="5009">
      <c r="A5009" s="3">
        <v>419.0</v>
      </c>
      <c r="B5009" s="3" t="s">
        <v>8148</v>
      </c>
      <c r="C5009" s="3" t="s">
        <v>8149</v>
      </c>
      <c r="D5009" s="3" t="s">
        <v>9449</v>
      </c>
      <c r="E5009" s="3" t="s">
        <v>9450</v>
      </c>
      <c r="F5009" s="3" t="s">
        <v>9451</v>
      </c>
      <c r="G5009" s="3" t="str">
        <f>IFERROR(__xludf.DUMMYFUNCTION("GOOGLETRANSLATE(D5009,""ja"",""es"")"),"Palacio")</f>
        <v>Palacio</v>
      </c>
    </row>
    <row r="5010">
      <c r="A5010" s="3">
        <v>420.0</v>
      </c>
      <c r="B5010" s="3" t="s">
        <v>8148</v>
      </c>
      <c r="C5010" s="3" t="s">
        <v>8149</v>
      </c>
      <c r="D5010" s="3" t="s">
        <v>9452</v>
      </c>
      <c r="E5010" s="3" t="s">
        <v>9453</v>
      </c>
      <c r="F5010" s="3" t="s">
        <v>9454</v>
      </c>
      <c r="G5010" s="3" t="str">
        <f>IFERROR(__xludf.DUMMYFUNCTION("GOOGLETRANSLATE(D5010,""ja"",""es"")"),"Llorando")</f>
        <v>Llorando</v>
      </c>
      <c r="H5010" s="3" t="s">
        <v>9455</v>
      </c>
      <c r="I5010" s="3" t="s">
        <v>9456</v>
      </c>
      <c r="J5010" s="3" t="s">
        <v>9457</v>
      </c>
    </row>
    <row r="5011">
      <c r="A5011" s="3">
        <v>421.0</v>
      </c>
      <c r="B5011" s="3" t="s">
        <v>8148</v>
      </c>
      <c r="C5011" s="3" t="s">
        <v>8149</v>
      </c>
      <c r="D5011" s="3" t="s">
        <v>9458</v>
      </c>
      <c r="E5011" s="3" t="s">
        <v>7114</v>
      </c>
      <c r="F5011" s="3" t="s">
        <v>7115</v>
      </c>
      <c r="G5011" s="3" t="str">
        <f>IFERROR(__xludf.DUMMYFUNCTION("GOOGLETRANSLATE(D5011,""ja"",""es"")"),"sala de estar")</f>
        <v>sala de estar</v>
      </c>
      <c r="H5011" s="3" t="s">
        <v>9459</v>
      </c>
      <c r="I5011" s="3" t="s">
        <v>9460</v>
      </c>
      <c r="J5011" s="3" t="s">
        <v>9461</v>
      </c>
      <c r="K5011" s="3" t="s">
        <v>9462</v>
      </c>
      <c r="L5011" s="3" t="s">
        <v>9463</v>
      </c>
      <c r="M5011" s="3" t="s">
        <v>9464</v>
      </c>
    </row>
    <row r="5012">
      <c r="A5012" s="3">
        <v>422.0</v>
      </c>
      <c r="B5012" s="3" t="s">
        <v>8148</v>
      </c>
      <c r="C5012" s="3" t="s">
        <v>8149</v>
      </c>
      <c r="D5012" s="3" t="s">
        <v>9465</v>
      </c>
      <c r="E5012" s="3" t="s">
        <v>8909</v>
      </c>
      <c r="F5012" s="3" t="s">
        <v>8910</v>
      </c>
      <c r="G5012" s="3" t="str">
        <f>IFERROR(__xludf.DUMMYFUNCTION("GOOGLETRANSLATE(D5012,""ja"",""es"")"),"Residencia")</f>
        <v>Residencia</v>
      </c>
    </row>
    <row r="5013">
      <c r="A5013" s="3">
        <v>423.0</v>
      </c>
      <c r="B5013" s="3" t="s">
        <v>8148</v>
      </c>
      <c r="C5013" s="3" t="s">
        <v>8149</v>
      </c>
      <c r="D5013" s="3" t="s">
        <v>9466</v>
      </c>
      <c r="E5013" s="3" t="s">
        <v>9467</v>
      </c>
      <c r="F5013" s="3" t="s">
        <v>9468</v>
      </c>
      <c r="G5013" s="3" t="str">
        <f>IFERROR(__xludf.DUMMYFUNCTION("GOOGLETRANSLATE(D5013,""ja"",""es"")"),"Pescadería")</f>
        <v>Pescadería</v>
      </c>
      <c r="H5013" s="3" t="s">
        <v>9469</v>
      </c>
      <c r="I5013" s="3" t="s">
        <v>9470</v>
      </c>
    </row>
    <row r="5014">
      <c r="A5014" s="3">
        <v>424.0</v>
      </c>
      <c r="B5014" s="3" t="s">
        <v>8148</v>
      </c>
      <c r="C5014" s="3" t="s">
        <v>8149</v>
      </c>
      <c r="D5014" s="3" t="s">
        <v>9471</v>
      </c>
      <c r="E5014" s="3" t="s">
        <v>9472</v>
      </c>
      <c r="F5014" s="3" t="s">
        <v>9473</v>
      </c>
      <c r="G5014" s="3" t="str">
        <f>IFERROR(__xludf.DUMMYFUNCTION("GOOGLETRANSLATE(D5014,""ja"",""es"")"),"Pescado asado")</f>
        <v>Pescado asado</v>
      </c>
    </row>
    <row r="5015">
      <c r="A5015" s="3">
        <v>425.0</v>
      </c>
      <c r="B5015" s="3" t="s">
        <v>8148</v>
      </c>
      <c r="C5015" s="3" t="s">
        <v>8149</v>
      </c>
      <c r="D5015" s="3" t="s">
        <v>9474</v>
      </c>
      <c r="E5015" s="3" t="s">
        <v>8356</v>
      </c>
      <c r="F5015" s="3" t="s">
        <v>8357</v>
      </c>
      <c r="G5015" s="3" t="str">
        <f>IFERROR(__xludf.DUMMYFUNCTION("GOOGLETRANSLATE(D5015,""ja"",""es"")"),"Interrogatorio intenso")</f>
        <v>Interrogatorio intenso</v>
      </c>
    </row>
    <row r="5016">
      <c r="A5016" s="3">
        <v>426.0</v>
      </c>
      <c r="B5016" s="3" t="s">
        <v>8148</v>
      </c>
      <c r="C5016" s="3" t="s">
        <v>8149</v>
      </c>
      <c r="D5016" s="3" t="s">
        <v>9475</v>
      </c>
      <c r="E5016" s="3" t="s">
        <v>9476</v>
      </c>
      <c r="F5016" s="3" t="s">
        <v>9477</v>
      </c>
      <c r="G5016" s="3" t="str">
        <f>IFERROR(__xludf.DUMMYFUNCTION("GOOGLETRANSLATE(D5016,""ja"",""es"")"),"Hiedra")</f>
        <v>Hiedra</v>
      </c>
    </row>
    <row r="5017">
      <c r="A5017" s="3">
        <v>427.0</v>
      </c>
      <c r="B5017" s="3" t="s">
        <v>8148</v>
      </c>
      <c r="C5017" s="3" t="s">
        <v>8149</v>
      </c>
      <c r="D5017" s="3" t="s">
        <v>9478</v>
      </c>
      <c r="E5017" s="3" t="s">
        <v>9479</v>
      </c>
      <c r="F5017" s="3" t="s">
        <v>9480</v>
      </c>
      <c r="G5017" s="3" t="str">
        <f>IFERROR(__xludf.DUMMYFUNCTION("GOOGLETRANSLATE(D5017,""ja"",""es"")"),"Exquisito")</f>
        <v>Exquisito</v>
      </c>
    </row>
    <row r="5018">
      <c r="A5018" s="3">
        <v>428.0</v>
      </c>
      <c r="B5018" s="3" t="s">
        <v>8148</v>
      </c>
      <c r="C5018" s="3" t="s">
        <v>8149</v>
      </c>
      <c r="D5018" s="3" t="s">
        <v>9481</v>
      </c>
      <c r="E5018" s="3" t="s">
        <v>9482</v>
      </c>
      <c r="F5018" s="3" t="s">
        <v>9483</v>
      </c>
      <c r="G5018" s="3" t="str">
        <f>IFERROR(__xludf.DUMMYFUNCTION("GOOGLETRANSLATE(D5018,""ja"",""es"")"),"Pelota")</f>
        <v>Pelota</v>
      </c>
    </row>
    <row r="5019">
      <c r="A5019" s="3">
        <v>429.0</v>
      </c>
      <c r="B5019" s="3" t="s">
        <v>8148</v>
      </c>
      <c r="C5019" s="3" t="s">
        <v>8149</v>
      </c>
      <c r="D5019" s="3" t="s">
        <v>9484</v>
      </c>
      <c r="E5019" s="3" t="s">
        <v>9485</v>
      </c>
      <c r="F5019" s="3" t="s">
        <v>9486</v>
      </c>
      <c r="G5019" s="3" t="str">
        <f>IFERROR(__xludf.DUMMYFUNCTION("GOOGLETRANSLATE(D5019,""ja"",""es"")"),"Linterna")</f>
        <v>Linterna</v>
      </c>
      <c r="H5019" s="3" t="s">
        <v>9487</v>
      </c>
      <c r="I5019" s="3" t="s">
        <v>9488</v>
      </c>
      <c r="J5019" s="3" t="s">
        <v>9489</v>
      </c>
    </row>
    <row r="5020">
      <c r="A5020" s="3">
        <v>430.0</v>
      </c>
      <c r="B5020" s="3" t="s">
        <v>8148</v>
      </c>
      <c r="C5020" s="3" t="s">
        <v>8149</v>
      </c>
      <c r="D5020" s="3" t="s">
        <v>9490</v>
      </c>
      <c r="E5020" s="3" t="s">
        <v>9491</v>
      </c>
      <c r="F5020" s="3" t="s">
        <v>9492</v>
      </c>
      <c r="G5020" s="3" t="str">
        <f>IFERROR(__xludf.DUMMYFUNCTION("GOOGLETRANSLATE(D5020,""ja"",""es"")"),"repollo")</f>
        <v>repollo</v>
      </c>
      <c r="H5020" s="3" t="s">
        <v>1853</v>
      </c>
      <c r="I5020" s="3" t="s">
        <v>1849</v>
      </c>
    </row>
    <row r="5021">
      <c r="A5021" s="3">
        <v>431.0</v>
      </c>
      <c r="B5021" s="3" t="s">
        <v>8148</v>
      </c>
      <c r="C5021" s="3" t="s">
        <v>8149</v>
      </c>
      <c r="D5021" s="3" t="s">
        <v>9493</v>
      </c>
      <c r="E5021" s="3" t="s">
        <v>8619</v>
      </c>
      <c r="F5021" s="3" t="s">
        <v>8620</v>
      </c>
      <c r="G5021" s="3" t="str">
        <f>IFERROR(__xludf.DUMMYFUNCTION("GOOGLETRANSLATE(D5021,""ja"",""es"")"),"Paulownia")</f>
        <v>Paulownia</v>
      </c>
    </row>
    <row r="5022">
      <c r="A5022" s="3">
        <v>432.0</v>
      </c>
      <c r="B5022" s="3" t="s">
        <v>8148</v>
      </c>
      <c r="C5022" s="3" t="s">
        <v>8149</v>
      </c>
      <c r="D5022" s="3" t="s">
        <v>9494</v>
      </c>
      <c r="E5022" s="3" t="s">
        <v>272</v>
      </c>
      <c r="F5022" s="3" t="s">
        <v>273</v>
      </c>
      <c r="G5022" s="3" t="str">
        <f>IFERROR(__xludf.DUMMYFUNCTION("GOOGLETRANSLATE(D5022,""ja"",""es"")"),"apertura")</f>
        <v>apertura</v>
      </c>
      <c r="H5022" s="3" t="s">
        <v>9495</v>
      </c>
      <c r="I5022" s="3" t="s">
        <v>5649</v>
      </c>
      <c r="J5022" s="3" t="s">
        <v>5202</v>
      </c>
      <c r="K5022" s="3" t="s">
        <v>9496</v>
      </c>
      <c r="L5022" s="3" t="s">
        <v>9497</v>
      </c>
      <c r="M5022" s="3" t="s">
        <v>9498</v>
      </c>
      <c r="N5022" s="3" t="s">
        <v>9499</v>
      </c>
      <c r="O5022" s="3" t="s">
        <v>9500</v>
      </c>
      <c r="P5022" s="3" t="s">
        <v>9501</v>
      </c>
      <c r="Q5022" s="3" t="s">
        <v>9502</v>
      </c>
    </row>
    <row r="5023">
      <c r="A5023" s="3">
        <v>433.0</v>
      </c>
      <c r="B5023" s="3" t="s">
        <v>8148</v>
      </c>
      <c r="C5023" s="3" t="s">
        <v>8149</v>
      </c>
      <c r="D5023" s="3" t="s">
        <v>9503</v>
      </c>
      <c r="E5023" s="3" t="s">
        <v>9504</v>
      </c>
      <c r="F5023" s="3" t="s">
        <v>9505</v>
      </c>
      <c r="G5023" s="3" t="str">
        <f>IFERROR(__xludf.DUMMYFUNCTION("GOOGLETRANSLATE(D5023,""ja"",""es"")"),"Tienda vacante")</f>
        <v>Tienda vacante</v>
      </c>
    </row>
    <row r="5024">
      <c r="A5024" s="3">
        <v>434.0</v>
      </c>
      <c r="B5024" s="3" t="s">
        <v>8148</v>
      </c>
      <c r="C5024" s="3" t="s">
        <v>8149</v>
      </c>
      <c r="D5024" s="3" t="s">
        <v>9506</v>
      </c>
      <c r="E5024" s="3" t="s">
        <v>9504</v>
      </c>
      <c r="F5024" s="3" t="s">
        <v>9505</v>
      </c>
      <c r="G5024" s="3" t="str">
        <f>IFERROR(__xludf.DUMMYFUNCTION("GOOGLETRANSLATE(D5024,""ja"",""es"")"),"Casa vacante")</f>
        <v>Casa vacante</v>
      </c>
    </row>
    <row r="5025">
      <c r="A5025" s="3">
        <v>435.0</v>
      </c>
      <c r="B5025" s="3" t="s">
        <v>8148</v>
      </c>
      <c r="C5025" s="3" t="s">
        <v>8149</v>
      </c>
      <c r="D5025" s="3" t="s">
        <v>9507</v>
      </c>
      <c r="E5025" s="3" t="s">
        <v>9508</v>
      </c>
      <c r="F5025" s="3" t="s">
        <v>9509</v>
      </c>
      <c r="G5025" s="3" t="str">
        <f>IFERROR(__xludf.DUMMYFUNCTION("GOOGLETRANSLATE(D5025,""ja"",""es"")"),"Espacio")</f>
        <v>Espacio</v>
      </c>
      <c r="H5025" s="3" t="s">
        <v>9500</v>
      </c>
      <c r="I5025" s="3" t="s">
        <v>2008</v>
      </c>
      <c r="J5025" s="3" t="s">
        <v>9497</v>
      </c>
    </row>
    <row r="5026">
      <c r="A5026" s="3">
        <v>436.0</v>
      </c>
      <c r="B5026" s="3" t="s">
        <v>8148</v>
      </c>
      <c r="C5026" s="3" t="s">
        <v>8149</v>
      </c>
      <c r="D5026" s="3" t="s">
        <v>9510</v>
      </c>
      <c r="E5026" s="3" t="s">
        <v>9504</v>
      </c>
      <c r="F5026" s="3" t="s">
        <v>9505</v>
      </c>
      <c r="G5026" s="3" t="str">
        <f>IFERROR(__xludf.DUMMYFUNCTION("GOOGLETRANSLATE(D5026,""ja"",""es"")"),"Casa vacía")</f>
        <v>Casa vacía</v>
      </c>
    </row>
    <row r="5027">
      <c r="A5027" s="3">
        <v>437.0</v>
      </c>
      <c r="B5027" s="3" t="s">
        <v>8148</v>
      </c>
      <c r="C5027" s="3" t="s">
        <v>8149</v>
      </c>
      <c r="D5027" s="3" t="s">
        <v>9511</v>
      </c>
      <c r="E5027" s="3" t="s">
        <v>9504</v>
      </c>
      <c r="F5027" s="3" t="s">
        <v>9505</v>
      </c>
      <c r="G5027" s="3" t="str">
        <f>IFERROR(__xludf.DUMMYFUNCTION("GOOGLETRANSLATE(D5027,""ja"",""es"")"),"Casa vacante")</f>
        <v>Casa vacante</v>
      </c>
    </row>
    <row r="5028">
      <c r="A5028" s="3">
        <v>438.0</v>
      </c>
      <c r="B5028" s="3" t="s">
        <v>8148</v>
      </c>
      <c r="C5028" s="3" t="s">
        <v>8149</v>
      </c>
      <c r="D5028" s="3" t="s">
        <v>9512</v>
      </c>
      <c r="E5028" s="3" t="s">
        <v>9513</v>
      </c>
      <c r="F5028" s="3" t="s">
        <v>9514</v>
      </c>
      <c r="G5028" s="3" t="str">
        <f>IFERROR(__xludf.DUMMYFUNCTION("GOOGLETRANSLATE(D5028,""ja"",""es"")"),"Carga vacía")</f>
        <v>Carga vacía</v>
      </c>
    </row>
    <row r="5029">
      <c r="A5029" s="3">
        <v>439.0</v>
      </c>
      <c r="B5029" s="3" t="s">
        <v>8148</v>
      </c>
      <c r="C5029" s="3" t="s">
        <v>8149</v>
      </c>
      <c r="D5029" s="3" t="s">
        <v>9515</v>
      </c>
      <c r="E5029" s="3" t="s">
        <v>8242</v>
      </c>
      <c r="F5029" s="3" t="s">
        <v>8243</v>
      </c>
      <c r="G5029" s="3" t="str">
        <f>IFERROR(__xludf.DUMMYFUNCTION("GOOGLETRANSLATE(D5029,""ja"",""es"")"),"Aire")</f>
        <v>Aire</v>
      </c>
    </row>
    <row r="5030">
      <c r="A5030" s="3">
        <v>440.0</v>
      </c>
      <c r="B5030" s="3" t="s">
        <v>8148</v>
      </c>
      <c r="C5030" s="3" t="s">
        <v>8149</v>
      </c>
      <c r="D5030" s="3" t="s">
        <v>9516</v>
      </c>
      <c r="E5030" s="3" t="s">
        <v>9517</v>
      </c>
      <c r="F5030" s="3" t="s">
        <v>9518</v>
      </c>
      <c r="G5030" s="3" t="str">
        <f>IFERROR(__xludf.DUMMYFUNCTION("GOOGLETRANSLATE(D5030,""ja"",""es"")"),"Accidentalmente")</f>
        <v>Accidentalmente</v>
      </c>
      <c r="H5030" s="3" t="s">
        <v>9519</v>
      </c>
      <c r="I5030" s="3" t="s">
        <v>9520</v>
      </c>
      <c r="J5030" s="3" t="s">
        <v>9521</v>
      </c>
      <c r="K5030" s="3" t="s">
        <v>9522</v>
      </c>
      <c r="L5030" s="3" t="s">
        <v>9523</v>
      </c>
      <c r="M5030" s="3" t="s">
        <v>9520</v>
      </c>
      <c r="N5030" s="3" t="s">
        <v>9524</v>
      </c>
      <c r="O5030" s="3" t="s">
        <v>9520</v>
      </c>
      <c r="P5030" s="3" t="s">
        <v>9525</v>
      </c>
      <c r="Q5030" s="3" t="s">
        <v>9519</v>
      </c>
      <c r="R5030" s="3" t="s">
        <v>9526</v>
      </c>
      <c r="S5030" s="3" t="s">
        <v>9527</v>
      </c>
      <c r="T5030" s="3" t="s">
        <v>9519</v>
      </c>
    </row>
    <row r="5031">
      <c r="A5031" s="3">
        <v>441.0</v>
      </c>
      <c r="B5031" s="3" t="s">
        <v>8148</v>
      </c>
      <c r="C5031" s="3" t="s">
        <v>8149</v>
      </c>
      <c r="D5031" s="3" t="s">
        <v>9528</v>
      </c>
      <c r="E5031" s="3" t="s">
        <v>9529</v>
      </c>
      <c r="F5031" s="3" t="s">
        <v>9530</v>
      </c>
      <c r="G5031" s="3" t="str">
        <f>IFERROR(__xludf.DUMMYFUNCTION("GOOGLETRANSLATE(D5031,""ja"",""es"")"),"Accidentalmente")</f>
        <v>Accidentalmente</v>
      </c>
      <c r="H5031" s="3" t="s">
        <v>9519</v>
      </c>
      <c r="I5031" s="3" t="s">
        <v>9520</v>
      </c>
      <c r="J5031" s="3" t="s">
        <v>9521</v>
      </c>
      <c r="K5031" s="3" t="s">
        <v>9522</v>
      </c>
      <c r="L5031" s="3" t="s">
        <v>9523</v>
      </c>
      <c r="M5031" s="3" t="s">
        <v>9520</v>
      </c>
      <c r="N5031" s="3" t="s">
        <v>9524</v>
      </c>
      <c r="O5031" s="3" t="s">
        <v>9520</v>
      </c>
      <c r="P5031" s="3" t="s">
        <v>9525</v>
      </c>
      <c r="Q5031" s="3" t="s">
        <v>9519</v>
      </c>
      <c r="R5031" s="3" t="s">
        <v>9526</v>
      </c>
      <c r="S5031" s="3" t="s">
        <v>9527</v>
      </c>
      <c r="T5031" s="3" t="s">
        <v>9519</v>
      </c>
    </row>
    <row r="5032">
      <c r="A5032" s="3">
        <v>442.0</v>
      </c>
      <c r="B5032" s="3" t="s">
        <v>8148</v>
      </c>
      <c r="C5032" s="3" t="s">
        <v>8149</v>
      </c>
      <c r="D5032" s="3" t="s">
        <v>9531</v>
      </c>
      <c r="E5032" s="3" t="s">
        <v>9532</v>
      </c>
      <c r="F5032" s="3" t="s">
        <v>9533</v>
      </c>
      <c r="G5032" s="3" t="str">
        <f>IFERROR(__xludf.DUMMYFUNCTION("GOOGLETRANSLATE(D5032,""ja"",""es"")"),"Por casualidad")</f>
        <v>Por casualidad</v>
      </c>
    </row>
    <row r="5033">
      <c r="A5033" s="3">
        <v>443.0</v>
      </c>
      <c r="B5033" s="3" t="s">
        <v>8148</v>
      </c>
      <c r="C5033" s="3" t="s">
        <v>8149</v>
      </c>
      <c r="D5033" s="3" t="s">
        <v>9534</v>
      </c>
      <c r="E5033" s="3" t="s">
        <v>9517</v>
      </c>
      <c r="F5033" s="3" t="s">
        <v>9518</v>
      </c>
      <c r="G5033" s="3" t="str">
        <f>IFERROR(__xludf.DUMMYFUNCTION("GOOGLETRANSLATE(D5033,""ja"",""es"")"),"Felizmente")</f>
        <v>Felizmente</v>
      </c>
      <c r="H5033" s="3" t="s">
        <v>9519</v>
      </c>
      <c r="I5033" s="3" t="s">
        <v>9520</v>
      </c>
      <c r="J5033" s="3" t="s">
        <v>9521</v>
      </c>
      <c r="K5033" s="3" t="s">
        <v>9522</v>
      </c>
      <c r="L5033" s="3" t="s">
        <v>9523</v>
      </c>
      <c r="M5033" s="3" t="s">
        <v>9520</v>
      </c>
      <c r="N5033" s="3" t="s">
        <v>9524</v>
      </c>
      <c r="O5033" s="3" t="s">
        <v>9520</v>
      </c>
      <c r="P5033" s="3" t="s">
        <v>9525</v>
      </c>
      <c r="Q5033" s="3" t="s">
        <v>9519</v>
      </c>
      <c r="R5033" s="3" t="s">
        <v>9526</v>
      </c>
      <c r="S5033" s="3" t="s">
        <v>9527</v>
      </c>
      <c r="T5033" s="3" t="s">
        <v>9519</v>
      </c>
    </row>
    <row r="5034">
      <c r="A5034" s="3">
        <v>444.0</v>
      </c>
      <c r="B5034" s="3" t="s">
        <v>8148</v>
      </c>
      <c r="C5034" s="3" t="s">
        <v>8149</v>
      </c>
      <c r="D5034" s="3" t="s">
        <v>9535</v>
      </c>
      <c r="E5034" s="3" t="s">
        <v>9536</v>
      </c>
      <c r="F5034" s="3" t="s">
        <v>9537</v>
      </c>
      <c r="G5034" s="3" t="str">
        <f>IFERROR(__xludf.DUMMYFUNCTION("GOOGLETRANSLATE(D5034,""ja"",""es"")"),"Ustedes")</f>
        <v>Ustedes</v>
      </c>
    </row>
    <row r="5035">
      <c r="A5035" s="3">
        <v>445.0</v>
      </c>
      <c r="B5035" s="3" t="s">
        <v>8148</v>
      </c>
      <c r="C5035" s="3" t="s">
        <v>8149</v>
      </c>
      <c r="D5035" s="3" t="s">
        <v>9538</v>
      </c>
      <c r="E5035" s="3" t="s">
        <v>9536</v>
      </c>
      <c r="F5035" s="3" t="s">
        <v>9537</v>
      </c>
      <c r="G5035" s="3" t="str">
        <f>IFERROR(__xludf.DUMMYFUNCTION("GOOGLETRANSLATE(D5035,""ja"",""es"")"),"Tú")</f>
        <v>Tú</v>
      </c>
    </row>
    <row r="5036">
      <c r="A5036" s="3">
        <v>446.0</v>
      </c>
      <c r="B5036" s="3" t="s">
        <v>8148</v>
      </c>
      <c r="C5036" s="3" t="s">
        <v>8149</v>
      </c>
      <c r="D5036" s="3" t="s">
        <v>9539</v>
      </c>
      <c r="E5036" s="3" t="s">
        <v>8564</v>
      </c>
      <c r="F5036" s="3" t="s">
        <v>8565</v>
      </c>
      <c r="G5036" s="3" t="str">
        <f>IFERROR(__xludf.DUMMYFUNCTION("GOOGLETRANSLATE(D5036,""ja"",""es"")"),"Persona a cargo")</f>
        <v>Persona a cargo</v>
      </c>
      <c r="H5036" s="3" t="s">
        <v>5549</v>
      </c>
      <c r="I5036" s="3" t="s">
        <v>9540</v>
      </c>
      <c r="J5036" s="3" t="s">
        <v>9541</v>
      </c>
      <c r="K5036" s="3" t="s">
        <v>9542</v>
      </c>
      <c r="L5036" s="3" t="s">
        <v>9543</v>
      </c>
      <c r="M5036" s="3" t="s">
        <v>9544</v>
      </c>
      <c r="N5036" s="3" t="s">
        <v>9545</v>
      </c>
      <c r="O5036" s="3" t="s">
        <v>9546</v>
      </c>
      <c r="P5036" s="3" t="s">
        <v>9542</v>
      </c>
      <c r="Q5036" s="3" t="s">
        <v>9545</v>
      </c>
      <c r="R5036" s="3" t="s">
        <v>9544</v>
      </c>
    </row>
    <row r="5037">
      <c r="A5037" s="3">
        <v>447.0</v>
      </c>
      <c r="B5037" s="3" t="s">
        <v>8148</v>
      </c>
      <c r="C5037" s="3" t="s">
        <v>8149</v>
      </c>
      <c r="D5037" s="3" t="s">
        <v>9547</v>
      </c>
      <c r="E5037" s="3" t="s">
        <v>8504</v>
      </c>
      <c r="F5037" s="3" t="s">
        <v>8505</v>
      </c>
      <c r="G5037" s="3" t="str">
        <f>IFERROR(__xludf.DUMMYFUNCTION("GOOGLETRANSLATE(D5037,""ja"",""es"")"),"Hermano mayor")</f>
        <v>Hermano mayor</v>
      </c>
      <c r="H5037" s="3" t="s">
        <v>9548</v>
      </c>
      <c r="I5037" s="3" t="s">
        <v>9549</v>
      </c>
    </row>
    <row r="5038">
      <c r="A5038" s="3">
        <v>448.0</v>
      </c>
      <c r="B5038" s="3" t="s">
        <v>8148</v>
      </c>
      <c r="C5038" s="3" t="s">
        <v>8149</v>
      </c>
      <c r="D5038" s="3" t="s">
        <v>9550</v>
      </c>
      <c r="E5038" s="3" t="s">
        <v>9551</v>
      </c>
      <c r="F5038" s="3" t="s">
        <v>9552</v>
      </c>
      <c r="G5038" s="3" t="str">
        <f>IFERROR(__xludf.DUMMYFUNCTION("GOOGLETRANSLATE(D5038,""ja"",""es"")"),"Hermano mayor")</f>
        <v>Hermano mayor</v>
      </c>
    </row>
    <row r="5039">
      <c r="A5039" s="3">
        <v>449.0</v>
      </c>
      <c r="B5039" s="3" t="s">
        <v>8148</v>
      </c>
      <c r="C5039" s="3" t="s">
        <v>8149</v>
      </c>
      <c r="D5039" s="3" t="s">
        <v>9553</v>
      </c>
      <c r="E5039" s="3" t="s">
        <v>9554</v>
      </c>
      <c r="F5039" s="3" t="s">
        <v>9555</v>
      </c>
      <c r="G5039" s="3" t="str">
        <f>IFERROR(__xludf.DUMMYFUNCTION("GOOGLETRANSLATE(D5039,""ja"",""es"")"),"Mirar")</f>
        <v>Mirar</v>
      </c>
      <c r="H5039" s="3" t="s">
        <v>9556</v>
      </c>
      <c r="I5039" s="3" t="s">
        <v>9557</v>
      </c>
      <c r="J5039" s="3" t="s">
        <v>9558</v>
      </c>
      <c r="K5039" s="3" t="s">
        <v>9559</v>
      </c>
      <c r="L5039" s="3" t="s">
        <v>9560</v>
      </c>
      <c r="M5039" s="3" t="s">
        <v>9557</v>
      </c>
    </row>
    <row r="5040">
      <c r="A5040" s="3">
        <v>450.0</v>
      </c>
      <c r="B5040" s="3" t="s">
        <v>8148</v>
      </c>
      <c r="C5040" s="3" t="s">
        <v>8149</v>
      </c>
      <c r="D5040" s="3" t="s">
        <v>9561</v>
      </c>
      <c r="E5040" s="3" t="s">
        <v>9562</v>
      </c>
      <c r="F5040" s="3" t="s">
        <v>9563</v>
      </c>
      <c r="G5040" s="3" t="str">
        <f>IFERROR(__xludf.DUMMYFUNCTION("GOOGLETRANSLATE(D5040,""ja"",""es"")"),"Valle")</f>
        <v>Valle</v>
      </c>
      <c r="H5040" s="3" t="s">
        <v>9564</v>
      </c>
      <c r="I5040" s="3" t="s">
        <v>9565</v>
      </c>
    </row>
    <row r="5041">
      <c r="A5041" s="3">
        <v>451.0</v>
      </c>
      <c r="B5041" s="3" t="s">
        <v>8148</v>
      </c>
      <c r="C5041" s="3" t="s">
        <v>8149</v>
      </c>
      <c r="D5041" s="3" t="s">
        <v>9566</v>
      </c>
      <c r="E5041" s="3" t="s">
        <v>9567</v>
      </c>
      <c r="F5041" s="3" t="s">
        <v>9568</v>
      </c>
      <c r="G5041" s="3" t="str">
        <f>IFERROR(__xludf.DUMMYFUNCTION("GOOGLETRANSLATE(D5041,""ja"",""es"")"),"Medición")</f>
        <v>Medición</v>
      </c>
      <c r="H5041" s="3" t="s">
        <v>9569</v>
      </c>
      <c r="I5041" s="3" t="s">
        <v>9570</v>
      </c>
      <c r="J5041" s="3" t="s">
        <v>6286</v>
      </c>
      <c r="K5041" s="3" t="s">
        <v>9571</v>
      </c>
    </row>
    <row r="5042">
      <c r="A5042" s="3">
        <v>452.0</v>
      </c>
      <c r="B5042" s="3" t="s">
        <v>8148</v>
      </c>
      <c r="C5042" s="3" t="s">
        <v>8149</v>
      </c>
      <c r="D5042" s="3" t="s">
        <v>9572</v>
      </c>
      <c r="E5042" s="3" t="s">
        <v>9479</v>
      </c>
      <c r="F5042" s="3" t="s">
        <v>9480</v>
      </c>
      <c r="G5042" s="3" t="str">
        <f>IFERROR(__xludf.DUMMYFUNCTION("GOOGLETRANSLATE(D5042,""ja"",""es"")"),"Decisión")</f>
        <v>Decisión</v>
      </c>
      <c r="H5042" s="3" t="s">
        <v>9573</v>
      </c>
      <c r="I5042" s="3" t="s">
        <v>9574</v>
      </c>
      <c r="J5042" s="3" t="s">
        <v>9575</v>
      </c>
      <c r="K5042" s="3" t="s">
        <v>9576</v>
      </c>
      <c r="L5042" s="3" t="s">
        <v>9577</v>
      </c>
      <c r="M5042" s="3" t="s">
        <v>698</v>
      </c>
      <c r="N5042" s="3" t="s">
        <v>9578</v>
      </c>
      <c r="O5042" s="3" t="s">
        <v>9579</v>
      </c>
      <c r="P5042" s="3" t="s">
        <v>9580</v>
      </c>
      <c r="Q5042" s="3" t="s">
        <v>9581</v>
      </c>
      <c r="R5042" s="3" t="s">
        <v>9576</v>
      </c>
      <c r="S5042" s="3" t="s">
        <v>9582</v>
      </c>
      <c r="T5042" s="3" t="s">
        <v>9576</v>
      </c>
      <c r="U5042" s="3" t="s">
        <v>9583</v>
      </c>
      <c r="V5042" s="3" t="s">
        <v>9582</v>
      </c>
      <c r="W5042" s="3" t="s">
        <v>9584</v>
      </c>
    </row>
    <row r="5043">
      <c r="A5043" s="3">
        <v>453.0</v>
      </c>
      <c r="B5043" s="3" t="s">
        <v>8148</v>
      </c>
      <c r="C5043" s="3" t="s">
        <v>8149</v>
      </c>
      <c r="D5043" s="3" t="s">
        <v>9585</v>
      </c>
      <c r="E5043" s="3" t="s">
        <v>9479</v>
      </c>
      <c r="F5043" s="3" t="s">
        <v>9480</v>
      </c>
      <c r="G5043" s="3" t="str">
        <f>IFERROR(__xludf.DUMMYFUNCTION("GOOGLETRANSLATE(D5043,""ja"",""es"")"),"Decisión")</f>
        <v>Decisión</v>
      </c>
      <c r="H5043" s="3" t="s">
        <v>9573</v>
      </c>
      <c r="I5043" s="3" t="s">
        <v>9574</v>
      </c>
      <c r="J5043" s="3" t="s">
        <v>9575</v>
      </c>
      <c r="K5043" s="3" t="s">
        <v>9576</v>
      </c>
      <c r="L5043" s="3" t="s">
        <v>9577</v>
      </c>
      <c r="M5043" s="3" t="s">
        <v>698</v>
      </c>
      <c r="N5043" s="3" t="s">
        <v>9578</v>
      </c>
      <c r="O5043" s="3" t="s">
        <v>9579</v>
      </c>
      <c r="P5043" s="3" t="s">
        <v>9580</v>
      </c>
      <c r="Q5043" s="3" t="s">
        <v>9581</v>
      </c>
      <c r="R5043" s="3" t="s">
        <v>9576</v>
      </c>
      <c r="S5043" s="3" t="s">
        <v>9582</v>
      </c>
      <c r="T5043" s="3" t="s">
        <v>9576</v>
      </c>
      <c r="U5043" s="3" t="s">
        <v>9583</v>
      </c>
      <c r="V5043" s="3" t="s">
        <v>9586</v>
      </c>
      <c r="W5043" s="3" t="s">
        <v>9587</v>
      </c>
      <c r="X5043" s="3" t="s">
        <v>9588</v>
      </c>
    </row>
    <row r="5044">
      <c r="A5044" s="3">
        <v>454.0</v>
      </c>
      <c r="B5044" s="3" t="s">
        <v>8148</v>
      </c>
      <c r="C5044" s="3" t="s">
        <v>8149</v>
      </c>
      <c r="D5044" s="3" t="s">
        <v>9589</v>
      </c>
      <c r="E5044" s="3" t="s">
        <v>9590</v>
      </c>
      <c r="F5044" s="3" t="s">
        <v>9591</v>
      </c>
      <c r="G5044" s="3" t="str">
        <f>IFERROR(__xludf.DUMMYFUNCTION("GOOGLETRANSLATE(D5044,""ja"",""es"")"),"Firmeza")</f>
        <v>Firmeza</v>
      </c>
      <c r="H5044" s="3" t="s">
        <v>9592</v>
      </c>
      <c r="I5044" s="3" t="s">
        <v>9593</v>
      </c>
      <c r="J5044" s="3" t="s">
        <v>9594</v>
      </c>
      <c r="K5044" s="3" t="s">
        <v>9592</v>
      </c>
      <c r="L5044" s="3" t="s">
        <v>9595</v>
      </c>
      <c r="M5044" s="3" t="s">
        <v>9596</v>
      </c>
      <c r="N5044" s="3" t="s">
        <v>9597</v>
      </c>
      <c r="O5044" s="3" t="s">
        <v>9598</v>
      </c>
      <c r="P5044" s="3" t="s">
        <v>9599</v>
      </c>
      <c r="Q5044" s="3" t="s">
        <v>9600</v>
      </c>
    </row>
    <row r="5045">
      <c r="A5045" s="3">
        <v>455.0</v>
      </c>
      <c r="B5045" s="3" t="s">
        <v>8148</v>
      </c>
      <c r="C5045" s="3" t="s">
        <v>8149</v>
      </c>
      <c r="D5045" s="3" t="s">
        <v>9601</v>
      </c>
      <c r="E5045" s="3" t="s">
        <v>8204</v>
      </c>
      <c r="F5045" s="3" t="s">
        <v>8205</v>
      </c>
      <c r="G5045" s="3" t="str">
        <f>IFERROR(__xludf.DUMMYFUNCTION("GOOGLETRANSLATE(D5045,""ja"",""es"")"),"Estupendo")</f>
        <v>Estupendo</v>
      </c>
    </row>
    <row r="5046">
      <c r="A5046" s="3">
        <v>456.0</v>
      </c>
      <c r="B5046" s="3" t="s">
        <v>8148</v>
      </c>
      <c r="C5046" s="3" t="s">
        <v>8149</v>
      </c>
      <c r="D5046" s="3" t="s">
        <v>9602</v>
      </c>
      <c r="E5046" s="3" t="s">
        <v>8204</v>
      </c>
      <c r="F5046" s="3" t="s">
        <v>8205</v>
      </c>
      <c r="G5046" s="3" t="str">
        <f>IFERROR(__xludf.DUMMYFUNCTION("GOOGLETRANSLATE(D5046,""ja"",""es"")"),"Duro")</f>
        <v>Duro</v>
      </c>
    </row>
    <row r="5047">
      <c r="A5047" s="3">
        <v>457.0</v>
      </c>
      <c r="B5047" s="3" t="s">
        <v>8148</v>
      </c>
      <c r="C5047" s="3" t="s">
        <v>8149</v>
      </c>
      <c r="D5047" s="3" t="s">
        <v>9603</v>
      </c>
      <c r="E5047" s="3" t="s">
        <v>8982</v>
      </c>
      <c r="F5047" s="3" t="s">
        <v>8983</v>
      </c>
      <c r="G5047" s="3" t="str">
        <f>IFERROR(__xludf.DUMMYFUNCTION("GOOGLETRANSLATE(D5047,""ja"",""es"")"),"Desagradable")</f>
        <v>Desagradable</v>
      </c>
    </row>
    <row r="5048">
      <c r="A5048" s="3">
        <v>458.0</v>
      </c>
      <c r="B5048" s="3" t="s">
        <v>8148</v>
      </c>
      <c r="C5048" s="3" t="s">
        <v>8149</v>
      </c>
      <c r="D5048" s="3" t="s">
        <v>9604</v>
      </c>
      <c r="E5048" s="3" t="s">
        <v>8985</v>
      </c>
      <c r="F5048" s="3" t="s">
        <v>8986</v>
      </c>
      <c r="G5048" s="3" t="str">
        <f>IFERROR(__xludf.DUMMYFUNCTION("GOOGLETRANSLATE(D5048,""ja"",""es"")"),"Disgusto")</f>
        <v>Disgusto</v>
      </c>
      <c r="H5048" s="3" t="s">
        <v>8987</v>
      </c>
      <c r="I5048" s="3" t="s">
        <v>8988</v>
      </c>
      <c r="J5048" s="3" t="s">
        <v>8989</v>
      </c>
      <c r="K5048" s="3" t="s">
        <v>8990</v>
      </c>
    </row>
    <row r="5049">
      <c r="A5049" s="3">
        <v>459.0</v>
      </c>
      <c r="B5049" s="3" t="s">
        <v>8148</v>
      </c>
      <c r="C5049" s="3" t="s">
        <v>8149</v>
      </c>
      <c r="D5049" s="3" t="s">
        <v>9605</v>
      </c>
      <c r="E5049" s="3" t="s">
        <v>8985</v>
      </c>
      <c r="F5049" s="3" t="s">
        <v>8986</v>
      </c>
      <c r="G5049" s="3" t="str">
        <f>IFERROR(__xludf.DUMMYFUNCTION("GOOGLETRANSLATE(D5049,""ja"",""es"")"),"sarcasmo")</f>
        <v>sarcasmo</v>
      </c>
      <c r="H5049" s="3" t="s">
        <v>8987</v>
      </c>
      <c r="I5049" s="3" t="s">
        <v>8988</v>
      </c>
      <c r="J5049" s="3" t="s">
        <v>8989</v>
      </c>
      <c r="K5049" s="3" t="s">
        <v>8990</v>
      </c>
    </row>
    <row r="5050">
      <c r="A5050" s="3">
        <v>460.0</v>
      </c>
      <c r="B5050" s="3" t="s">
        <v>8148</v>
      </c>
      <c r="C5050" s="3" t="s">
        <v>8149</v>
      </c>
      <c r="D5050" s="3" t="s">
        <v>9606</v>
      </c>
      <c r="E5050" s="3" t="s">
        <v>8564</v>
      </c>
      <c r="F5050" s="3" t="s">
        <v>8565</v>
      </c>
      <c r="G5050" s="3" t="str">
        <f>IFERROR(__xludf.DUMMYFUNCTION("GOOGLETRANSLATE(D5050,""ja"",""es"")"),"Vacilante")</f>
        <v>Vacilante</v>
      </c>
    </row>
    <row r="5051">
      <c r="A5051" s="3">
        <v>461.0</v>
      </c>
      <c r="B5051" s="3" t="s">
        <v>8148</v>
      </c>
      <c r="C5051" s="3" t="s">
        <v>8149</v>
      </c>
      <c r="D5051" s="3" t="s">
        <v>9607</v>
      </c>
      <c r="E5051" s="3" t="s">
        <v>8564</v>
      </c>
      <c r="F5051" s="3" t="s">
        <v>8565</v>
      </c>
      <c r="G5051" s="3" t="str">
        <f>IFERROR(__xludf.DUMMYFUNCTION("GOOGLETRANSLATE(D5051,""ja"",""es"")"),"Rabia")</f>
        <v>Rabia</v>
      </c>
    </row>
    <row r="5052">
      <c r="A5052" s="3">
        <v>462.0</v>
      </c>
      <c r="B5052" s="3" t="s">
        <v>8148</v>
      </c>
      <c r="C5052" s="3" t="s">
        <v>8149</v>
      </c>
      <c r="D5052" s="3" t="s">
        <v>9608</v>
      </c>
      <c r="E5052" s="3" t="s">
        <v>5394</v>
      </c>
      <c r="F5052" s="3" t="s">
        <v>5395</v>
      </c>
      <c r="G5052" s="3" t="str">
        <f>IFERROR(__xludf.DUMMYFUNCTION("GOOGLETRANSLATE(D5052,""ja"",""es"")"),"hombro")</f>
        <v>hombro</v>
      </c>
      <c r="H5052" s="3" t="s">
        <v>9609</v>
      </c>
      <c r="I5052" s="3" t="s">
        <v>9609</v>
      </c>
      <c r="J5052" s="3" t="s">
        <v>9610</v>
      </c>
      <c r="K5052" s="3" t="s">
        <v>9611</v>
      </c>
      <c r="L5052" s="3" t="s">
        <v>9609</v>
      </c>
    </row>
    <row r="5053">
      <c r="A5053" s="3">
        <v>463.0</v>
      </c>
      <c r="B5053" s="3" t="s">
        <v>8148</v>
      </c>
      <c r="C5053" s="3" t="s">
        <v>8149</v>
      </c>
      <c r="D5053" s="3" t="s">
        <v>9612</v>
      </c>
      <c r="E5053" s="3" t="s">
        <v>9613</v>
      </c>
      <c r="F5053" s="3" t="s">
        <v>9614</v>
      </c>
      <c r="G5053" s="3" t="str">
        <f>IFERROR(__xludf.DUMMYFUNCTION("GOOGLETRANSLATE(D5053,""ja"",""es"")"),"Golpe de hombro")</f>
        <v>Golpe de hombro</v>
      </c>
    </row>
    <row r="5054">
      <c r="A5054" s="3">
        <v>464.0</v>
      </c>
      <c r="B5054" s="3" t="s">
        <v>8148</v>
      </c>
      <c r="C5054" s="3" t="s">
        <v>8149</v>
      </c>
      <c r="D5054" s="3" t="s">
        <v>9615</v>
      </c>
      <c r="E5054" s="3" t="s">
        <v>9616</v>
      </c>
      <c r="F5054" s="3" t="s">
        <v>9617</v>
      </c>
      <c r="G5054" s="3" t="str">
        <f>IFERROR(__xludf.DUMMYFUNCTION("GOOGLETRANSLATE(D5054,""ja"",""es"")"),"Montaña de hombro")</f>
        <v>Montaña de hombro</v>
      </c>
    </row>
    <row r="5055">
      <c r="A5055" s="3">
        <v>465.0</v>
      </c>
      <c r="B5055" s="3" t="s">
        <v>8148</v>
      </c>
      <c r="C5055" s="3" t="s">
        <v>8149</v>
      </c>
      <c r="D5055" s="3" t="s">
        <v>9618</v>
      </c>
      <c r="E5055" s="3" t="s">
        <v>9554</v>
      </c>
      <c r="F5055" s="3" t="s">
        <v>9555</v>
      </c>
      <c r="G5055" s="3" t="str">
        <f>IFERROR(__xludf.DUMMYFUNCTION("GOOGLETRANSLATE(D5055,""ja"",""es"")"),"Hombro")</f>
        <v>Hombro</v>
      </c>
    </row>
    <row r="5056">
      <c r="A5056" s="3">
        <v>466.0</v>
      </c>
      <c r="B5056" s="3" t="s">
        <v>8148</v>
      </c>
      <c r="C5056" s="3" t="s">
        <v>8149</v>
      </c>
      <c r="D5056" s="3" t="s">
        <v>9619</v>
      </c>
      <c r="E5056" s="3" t="s">
        <v>9620</v>
      </c>
      <c r="F5056" s="3" t="s">
        <v>9621</v>
      </c>
      <c r="G5056" s="3" t="str">
        <f>IFERROR(__xludf.DUMMYFUNCTION("GOOGLETRANSLATE(D5056,""ja"",""es"")"),"hombro")</f>
        <v>hombro</v>
      </c>
      <c r="H5056" s="3" t="s">
        <v>9609</v>
      </c>
    </row>
    <row r="5057">
      <c r="A5057" s="3">
        <v>467.0</v>
      </c>
      <c r="B5057" s="3" t="s">
        <v>8148</v>
      </c>
      <c r="C5057" s="3" t="s">
        <v>8149</v>
      </c>
      <c r="D5057" s="3" t="s">
        <v>9622</v>
      </c>
      <c r="E5057" s="3" t="s">
        <v>9613</v>
      </c>
      <c r="F5057" s="3" t="s">
        <v>9614</v>
      </c>
      <c r="G5057" s="3" t="str">
        <f>IFERROR(__xludf.DUMMYFUNCTION("GOOGLETRANSLATE(D5057,""ja"",""es"")"),"Tapado de hombro Tapping")</f>
        <v>Tapado de hombro Tapping</v>
      </c>
    </row>
    <row r="5058">
      <c r="A5058" s="3">
        <v>468.0</v>
      </c>
      <c r="B5058" s="3" t="s">
        <v>8148</v>
      </c>
      <c r="C5058" s="3" t="s">
        <v>8149</v>
      </c>
      <c r="D5058" s="3" t="s">
        <v>9623</v>
      </c>
      <c r="E5058" s="3" t="s">
        <v>9624</v>
      </c>
      <c r="F5058" s="3" t="s">
        <v>9625</v>
      </c>
      <c r="G5058" s="3" t="str">
        <f>IFERROR(__xludf.DUMMYFUNCTION("GOOGLETRANSLATE(D5058,""ja"",""es"")"),"Renunciando")</f>
        <v>Renunciando</v>
      </c>
      <c r="H5058" s="3" t="s">
        <v>8903</v>
      </c>
      <c r="I5058" s="3" t="s">
        <v>8904</v>
      </c>
      <c r="J5058" s="3" t="s">
        <v>8905</v>
      </c>
    </row>
    <row r="5059">
      <c r="A5059" s="3">
        <v>469.0</v>
      </c>
      <c r="B5059" s="3" t="s">
        <v>8148</v>
      </c>
      <c r="C5059" s="3" t="s">
        <v>8149</v>
      </c>
      <c r="D5059" s="3" t="s">
        <v>9626</v>
      </c>
      <c r="E5059" s="3" t="s">
        <v>9627</v>
      </c>
      <c r="F5059" s="3" t="s">
        <v>9628</v>
      </c>
      <c r="G5059" s="3" t="str">
        <f>IFERROR(__xludf.DUMMYFUNCTION("GOOGLETRANSLATE(D5059,""ja"",""es"")"),"Estar atento")</f>
        <v>Estar atento</v>
      </c>
      <c r="H5059" s="3" t="s">
        <v>9629</v>
      </c>
      <c r="I5059" s="3" t="s">
        <v>9630</v>
      </c>
      <c r="J5059" s="3" t="s">
        <v>9631</v>
      </c>
      <c r="K5059" s="3" t="s">
        <v>9632</v>
      </c>
      <c r="L5059" s="3" t="s">
        <v>9633</v>
      </c>
      <c r="M5059" s="3" t="s">
        <v>9634</v>
      </c>
      <c r="N5059" s="3" t="s">
        <v>9635</v>
      </c>
      <c r="O5059" s="3" t="s">
        <v>9636</v>
      </c>
      <c r="P5059" s="3" t="s">
        <v>9630</v>
      </c>
    </row>
    <row r="5060">
      <c r="A5060" s="3">
        <v>470.0</v>
      </c>
      <c r="B5060" s="3" t="s">
        <v>8148</v>
      </c>
      <c r="C5060" s="3" t="s">
        <v>8149</v>
      </c>
      <c r="D5060" s="3" t="s">
        <v>9637</v>
      </c>
      <c r="E5060" s="3" t="s">
        <v>9638</v>
      </c>
      <c r="F5060" s="3" t="s">
        <v>9639</v>
      </c>
      <c r="G5060" s="3" t="str">
        <f>IFERROR(__xludf.DUMMYFUNCTION("GOOGLETRANSLATE(D5060,""ja"",""es"")"),"Ver y escuchar")</f>
        <v>Ver y escuchar</v>
      </c>
      <c r="H5060" s="3" t="s">
        <v>9640</v>
      </c>
    </row>
    <row r="5061">
      <c r="A5061" s="3">
        <v>471.0</v>
      </c>
      <c r="B5061" s="3" t="s">
        <v>8148</v>
      </c>
      <c r="C5061" s="3" t="s">
        <v>8149</v>
      </c>
      <c r="D5061" s="3" t="s">
        <v>9641</v>
      </c>
      <c r="E5061" s="3" t="s">
        <v>9642</v>
      </c>
      <c r="F5061" s="3" t="s">
        <v>9643</v>
      </c>
      <c r="G5061" s="3" t="str">
        <f>IFERROR(__xludf.DUMMYFUNCTION("GOOGLETRANSLATE(D5061,""ja"",""es"")"),"Perspectiva")</f>
        <v>Perspectiva</v>
      </c>
      <c r="H5061" s="3" t="s">
        <v>9644</v>
      </c>
      <c r="I5061" s="3" t="s">
        <v>9645</v>
      </c>
      <c r="J5061" s="3" t="s">
        <v>9646</v>
      </c>
      <c r="K5061" s="3" t="s">
        <v>9647</v>
      </c>
      <c r="L5061" s="3" t="s">
        <v>9645</v>
      </c>
      <c r="M5061" s="3" t="s">
        <v>5748</v>
      </c>
      <c r="N5061" s="3" t="s">
        <v>9648</v>
      </c>
      <c r="O5061" s="3" t="s">
        <v>9649</v>
      </c>
      <c r="P5061" s="3" t="s">
        <v>9650</v>
      </c>
      <c r="Q5061" s="3" t="s">
        <v>9651</v>
      </c>
      <c r="R5061" s="3" t="s">
        <v>9652</v>
      </c>
      <c r="S5061" s="3" t="s">
        <v>9653</v>
      </c>
    </row>
    <row r="5062">
      <c r="A5062" s="3">
        <v>472.0</v>
      </c>
      <c r="B5062" s="3" t="s">
        <v>8148</v>
      </c>
      <c r="C5062" s="3" t="s">
        <v>8149</v>
      </c>
      <c r="D5062" s="3" t="s">
        <v>9654</v>
      </c>
      <c r="E5062" s="3" t="s">
        <v>9655</v>
      </c>
      <c r="F5062" s="3" t="s">
        <v>9656</v>
      </c>
      <c r="G5062" s="3" t="str">
        <f>IFERROR(__xludf.DUMMYFUNCTION("GOOGLETRANSLATE(D5062,""ja"",""es"")"),"Ganar")</f>
        <v>Ganar</v>
      </c>
    </row>
    <row r="5063">
      <c r="A5063" s="3">
        <v>473.0</v>
      </c>
      <c r="B5063" s="3" t="s">
        <v>8148</v>
      </c>
      <c r="C5063" s="3" t="s">
        <v>8149</v>
      </c>
      <c r="D5063" s="3" t="s">
        <v>9657</v>
      </c>
      <c r="E5063" s="3" t="s">
        <v>9658</v>
      </c>
      <c r="F5063" s="3" t="s">
        <v>9659</v>
      </c>
      <c r="G5063" s="3" t="str">
        <f>IFERROR(__xludf.DUMMYFUNCTION("GOOGLETRANSLATE(D5063,""ja"",""es"")"),"Gris")</f>
        <v>Gris</v>
      </c>
    </row>
    <row r="5064">
      <c r="A5064" s="3">
        <v>474.0</v>
      </c>
      <c r="B5064" s="3" t="s">
        <v>8148</v>
      </c>
      <c r="C5064" s="3" t="s">
        <v>8149</v>
      </c>
      <c r="D5064" s="3" t="s">
        <v>9660</v>
      </c>
      <c r="E5064" s="3" t="s">
        <v>8469</v>
      </c>
      <c r="F5064" s="3" t="s">
        <v>8470</v>
      </c>
      <c r="G5064" s="3" t="str">
        <f>IFERROR(__xludf.DUMMYFUNCTION("GOOGLETRANSLATE(D5064,""ja"",""es"")"),"Camino")</f>
        <v>Camino</v>
      </c>
      <c r="H5064" s="3" t="s">
        <v>3027</v>
      </c>
      <c r="I5064" s="3" t="s">
        <v>8471</v>
      </c>
      <c r="J5064" s="3" t="s">
        <v>8472</v>
      </c>
      <c r="K5064" s="3" t="s">
        <v>8473</v>
      </c>
      <c r="L5064" s="3" t="s">
        <v>5202</v>
      </c>
      <c r="M5064" s="3" t="s">
        <v>9661</v>
      </c>
      <c r="N5064" s="3" t="s">
        <v>8477</v>
      </c>
      <c r="O5064" s="3" t="s">
        <v>8478</v>
      </c>
      <c r="P5064" s="3" t="s">
        <v>8479</v>
      </c>
      <c r="Q5064" s="3" t="s">
        <v>8478</v>
      </c>
      <c r="R5064" s="3" t="s">
        <v>8480</v>
      </c>
      <c r="S5064" s="3" t="s">
        <v>4501</v>
      </c>
      <c r="T5064" s="3" t="s">
        <v>5202</v>
      </c>
      <c r="U5064" s="3" t="s">
        <v>8474</v>
      </c>
      <c r="V5064" s="3" t="s">
        <v>8481</v>
      </c>
    </row>
    <row r="5065">
      <c r="A5065" s="3">
        <v>475.0</v>
      </c>
      <c r="B5065" s="3" t="s">
        <v>8148</v>
      </c>
      <c r="C5065" s="3" t="s">
        <v>8149</v>
      </c>
      <c r="D5065" s="3" t="s">
        <v>9662</v>
      </c>
      <c r="E5065" s="3" t="s">
        <v>9663</v>
      </c>
      <c r="F5065" s="3" t="s">
        <v>9664</v>
      </c>
      <c r="G5065" s="3" t="str">
        <f>IFERROR(__xludf.DUMMYFUNCTION("GOOGLETRANSLATE(D5065,""ja"",""es"")"),"Claramente")</f>
        <v>Claramente</v>
      </c>
    </row>
    <row r="5066">
      <c r="A5066" s="3">
        <v>476.0</v>
      </c>
      <c r="B5066" s="3" t="s">
        <v>8148</v>
      </c>
      <c r="C5066" s="3" t="s">
        <v>8149</v>
      </c>
      <c r="D5066" s="3" t="s">
        <v>9665</v>
      </c>
      <c r="E5066" s="3" t="s">
        <v>8619</v>
      </c>
      <c r="F5066" s="3" t="s">
        <v>8620</v>
      </c>
      <c r="G5066" s="3" t="str">
        <f>IFERROR(__xludf.DUMMYFUNCTION("GOOGLETRANSLATE(D5066,""ja"",""es"")"),"Límite")</f>
        <v>Límite</v>
      </c>
    </row>
    <row r="5067">
      <c r="A5067" s="3">
        <v>477.0</v>
      </c>
      <c r="B5067" s="3" t="s">
        <v>8148</v>
      </c>
      <c r="C5067" s="3" t="s">
        <v>8149</v>
      </c>
      <c r="D5067" s="3" t="s">
        <v>9666</v>
      </c>
      <c r="E5067" s="3" t="s">
        <v>9590</v>
      </c>
      <c r="F5067" s="3" t="s">
        <v>9591</v>
      </c>
      <c r="G5067" s="3" t="str">
        <f>IFERROR(__xludf.DUMMYFUNCTION("GOOGLETRANSLATE(D5067,""ja"",""es"")"),"Dureza")</f>
        <v>Dureza</v>
      </c>
      <c r="H5067" s="3" t="s">
        <v>9598</v>
      </c>
      <c r="I5067" s="3" t="s">
        <v>9599</v>
      </c>
      <c r="J5067" s="3" t="s">
        <v>9600</v>
      </c>
    </row>
    <row r="5068">
      <c r="A5068" s="3">
        <v>478.0</v>
      </c>
      <c r="B5068" s="3" t="s">
        <v>8148</v>
      </c>
      <c r="C5068" s="3" t="s">
        <v>8149</v>
      </c>
      <c r="D5068" s="3" t="s">
        <v>9667</v>
      </c>
      <c r="E5068" s="3" t="s">
        <v>9198</v>
      </c>
      <c r="F5068" s="3" t="s">
        <v>9199</v>
      </c>
      <c r="G5068" s="3" t="str">
        <f>IFERROR(__xludf.DUMMYFUNCTION("GOOGLETRANSLATE(D5068,""ja"",""es"")"),"Furioso")</f>
        <v>Furioso</v>
      </c>
      <c r="H5068" s="3" t="s">
        <v>705</v>
      </c>
      <c r="I5068" s="3" t="s">
        <v>9668</v>
      </c>
      <c r="J5068" s="3" t="s">
        <v>9669</v>
      </c>
      <c r="K5068" s="3" t="s">
        <v>9670</v>
      </c>
      <c r="L5068" s="3" t="s">
        <v>9200</v>
      </c>
      <c r="M5068" s="3" t="s">
        <v>9201</v>
      </c>
      <c r="N5068" s="3" t="s">
        <v>9202</v>
      </c>
      <c r="O5068" s="3" t="s">
        <v>9203</v>
      </c>
      <c r="P5068" s="3" t="s">
        <v>2064</v>
      </c>
      <c r="Q5068" s="3" t="s">
        <v>9204</v>
      </c>
      <c r="R5068" s="3" t="s">
        <v>9205</v>
      </c>
      <c r="S5068" s="3" t="s">
        <v>5481</v>
      </c>
      <c r="T5068" s="3" t="s">
        <v>9201</v>
      </c>
      <c r="U5068" s="3" t="s">
        <v>9206</v>
      </c>
      <c r="V5068" s="3" t="s">
        <v>3557</v>
      </c>
      <c r="W5068" s="3" t="s">
        <v>9207</v>
      </c>
      <c r="X5068" s="3" t="s">
        <v>9208</v>
      </c>
      <c r="Y5068" s="3" t="s">
        <v>5481</v>
      </c>
      <c r="Z5068" s="3" t="s">
        <v>3557</v>
      </c>
    </row>
    <row r="5069">
      <c r="A5069" s="3">
        <v>479.0</v>
      </c>
      <c r="B5069" s="3" t="s">
        <v>8148</v>
      </c>
      <c r="C5069" s="3" t="s">
        <v>8149</v>
      </c>
      <c r="D5069" s="3" t="s">
        <v>9671</v>
      </c>
      <c r="E5069" s="3" t="s">
        <v>8204</v>
      </c>
      <c r="F5069" s="3" t="s">
        <v>8205</v>
      </c>
      <c r="G5069" s="3" t="str">
        <f>IFERROR(__xludf.DUMMYFUNCTION("GOOGLETRANSLATE(D5069,""ja"",""es"")"),"Duro")</f>
        <v>Duro</v>
      </c>
    </row>
    <row r="5070">
      <c r="A5070" s="3">
        <v>480.0</v>
      </c>
      <c r="B5070" s="3" t="s">
        <v>8148</v>
      </c>
      <c r="C5070" s="3" t="s">
        <v>8149</v>
      </c>
      <c r="D5070" s="3" t="s">
        <v>9672</v>
      </c>
      <c r="E5070" s="3" t="s">
        <v>8204</v>
      </c>
      <c r="F5070" s="3" t="s">
        <v>8205</v>
      </c>
      <c r="G5070" s="3" t="str">
        <f>IFERROR(__xludf.DUMMYFUNCTION("GOOGLETRANSLATE(D5070,""ja"",""es"")"),"Duro")</f>
        <v>Duro</v>
      </c>
    </row>
    <row r="5071">
      <c r="A5071" s="3">
        <v>481.0</v>
      </c>
      <c r="B5071" s="3" t="s">
        <v>8148</v>
      </c>
      <c r="C5071" s="3" t="s">
        <v>8149</v>
      </c>
      <c r="D5071" s="3" t="s">
        <v>9673</v>
      </c>
      <c r="E5071" s="3" t="s">
        <v>9476</v>
      </c>
      <c r="F5071" s="3" t="s">
        <v>9477</v>
      </c>
      <c r="G5071" s="3" t="str">
        <f>IFERROR(__xludf.DUMMYFUNCTION("GOOGLETRANSLATE(D5071,""ja"",""es"")"),"Cobreware")</f>
        <v>Cobreware</v>
      </c>
    </row>
    <row r="5072">
      <c r="A5072" s="3">
        <v>482.0</v>
      </c>
      <c r="B5072" s="3" t="s">
        <v>8148</v>
      </c>
      <c r="C5072" s="3" t="s">
        <v>8149</v>
      </c>
      <c r="D5072" s="3" t="s">
        <v>9674</v>
      </c>
      <c r="E5072" s="3" t="s">
        <v>9675</v>
      </c>
      <c r="F5072" s="3" t="s">
        <v>9676</v>
      </c>
      <c r="G5072" s="3" t="str">
        <f>IFERROR(__xludf.DUMMYFUNCTION("GOOGLETRANSLATE(D5072,""ja"",""es"")"),"El uno al otro")</f>
        <v>El uno al otro</v>
      </c>
    </row>
    <row r="5073">
      <c r="A5073" s="3">
        <v>483.0</v>
      </c>
      <c r="B5073" s="3" t="s">
        <v>8148</v>
      </c>
      <c r="C5073" s="3" t="s">
        <v>8149</v>
      </c>
      <c r="D5073" s="3" t="s">
        <v>9677</v>
      </c>
      <c r="E5073" s="3" t="s">
        <v>9678</v>
      </c>
      <c r="F5073" s="3" t="s">
        <v>9679</v>
      </c>
      <c r="G5073" s="3" t="str">
        <f>IFERROR(__xludf.DUMMYFUNCTION("GOOGLETRANSLATE(D5073,""ja"",""es"")"),"Alma")</f>
        <v>Alma</v>
      </c>
    </row>
    <row r="5074">
      <c r="A5074" s="3">
        <v>484.0</v>
      </c>
      <c r="B5074" s="3" t="s">
        <v>8148</v>
      </c>
      <c r="C5074" s="3" t="s">
        <v>8149</v>
      </c>
      <c r="D5074" s="3" t="s">
        <v>9680</v>
      </c>
      <c r="E5074" s="3" t="s">
        <v>9681</v>
      </c>
      <c r="F5074" s="3" t="s">
        <v>9682</v>
      </c>
      <c r="G5074" s="3" t="str">
        <f>IFERROR(__xludf.DUMMYFUNCTION("GOOGLETRANSLATE(D5074,""ja"",""es"")"),"Tumba")</f>
        <v>Tumba</v>
      </c>
    </row>
    <row r="5075">
      <c r="A5075" s="3">
        <v>485.0</v>
      </c>
      <c r="B5075" s="3" t="s">
        <v>8148</v>
      </c>
      <c r="C5075" s="3" t="s">
        <v>8149</v>
      </c>
      <c r="D5075" s="3" t="s">
        <v>9683</v>
      </c>
      <c r="E5075" s="3" t="s">
        <v>8201</v>
      </c>
      <c r="F5075" s="3" t="s">
        <v>8202</v>
      </c>
      <c r="G5075" s="3" t="str">
        <f>IFERROR(__xludf.DUMMYFUNCTION("GOOGLETRANSLATE(D5075,""ja"",""es"")"),"Narración")</f>
        <v>Narración</v>
      </c>
      <c r="H5075" s="3" t="s">
        <v>9684</v>
      </c>
      <c r="I5075" s="3" t="s">
        <v>9685</v>
      </c>
      <c r="J5075" s="3" t="s">
        <v>9686</v>
      </c>
      <c r="K5075" s="3" t="s">
        <v>9687</v>
      </c>
      <c r="L5075" s="3" t="s">
        <v>9688</v>
      </c>
      <c r="M5075" s="3" t="s">
        <v>9689</v>
      </c>
    </row>
    <row r="5076">
      <c r="A5076" s="3">
        <v>486.0</v>
      </c>
      <c r="B5076" s="3" t="s">
        <v>8148</v>
      </c>
      <c r="C5076" s="3" t="s">
        <v>8149</v>
      </c>
      <c r="D5076" s="3" t="s">
        <v>9690</v>
      </c>
      <c r="E5076" s="3" t="s">
        <v>9691</v>
      </c>
      <c r="F5076" s="3" t="s">
        <v>9692</v>
      </c>
      <c r="G5076" s="3" t="str">
        <f>IFERROR(__xludf.DUMMYFUNCTION("GOOGLETRANSLATE(D5076,""ja"",""es"")"),"error")</f>
        <v>error</v>
      </c>
      <c r="H5076" s="3" t="s">
        <v>9693</v>
      </c>
      <c r="I5076" s="3" t="s">
        <v>9171</v>
      </c>
      <c r="J5076" s="3" t="s">
        <v>9694</v>
      </c>
      <c r="K5076" s="3" t="s">
        <v>9170</v>
      </c>
      <c r="L5076" s="3" t="s">
        <v>9171</v>
      </c>
      <c r="M5076" s="3" t="s">
        <v>9171</v>
      </c>
      <c r="N5076" s="3" t="s">
        <v>9172</v>
      </c>
      <c r="O5076" s="3" t="s">
        <v>9695</v>
      </c>
      <c r="P5076" s="3" t="s">
        <v>9696</v>
      </c>
      <c r="Q5076" s="3" t="s">
        <v>9171</v>
      </c>
      <c r="R5076" s="3" t="s">
        <v>9693</v>
      </c>
      <c r="S5076" s="3" t="s">
        <v>9697</v>
      </c>
      <c r="T5076" s="3" t="s">
        <v>9694</v>
      </c>
      <c r="U5076" s="3" t="s">
        <v>9698</v>
      </c>
    </row>
    <row r="5077">
      <c r="A5077" s="3">
        <v>487.0</v>
      </c>
      <c r="B5077" s="3" t="s">
        <v>8148</v>
      </c>
      <c r="C5077" s="3" t="s">
        <v>8149</v>
      </c>
      <c r="D5077" s="3" t="s">
        <v>9699</v>
      </c>
      <c r="E5077" s="3" t="s">
        <v>7142</v>
      </c>
      <c r="F5077" s="3" t="s">
        <v>2525</v>
      </c>
      <c r="G5077" s="3" t="str">
        <f>IFERROR(__xludf.DUMMYFUNCTION("GOOGLETRANSLATE(D5077,""ja"",""es"")"),"Eficacia")</f>
        <v>Eficacia</v>
      </c>
      <c r="H5077" s="3" t="s">
        <v>9700</v>
      </c>
      <c r="I5077" s="3" t="s">
        <v>9701</v>
      </c>
    </row>
    <row r="5078">
      <c r="A5078" s="3">
        <v>488.0</v>
      </c>
      <c r="B5078" s="3" t="s">
        <v>8148</v>
      </c>
      <c r="C5078" s="3" t="s">
        <v>8149</v>
      </c>
      <c r="D5078" s="3" t="s">
        <v>9702</v>
      </c>
      <c r="E5078" s="3" t="s">
        <v>9703</v>
      </c>
      <c r="F5078" s="3" t="s">
        <v>9704</v>
      </c>
      <c r="G5078" s="3" t="str">
        <f>IFERROR(__xludf.DUMMYFUNCTION("GOOGLETRANSLATE(D5078,""ja"",""es"")"),"Emocionante")</f>
        <v>Emocionante</v>
      </c>
    </row>
    <row r="5079">
      <c r="A5079" s="3">
        <v>489.0</v>
      </c>
      <c r="B5079" s="3" t="s">
        <v>8148</v>
      </c>
      <c r="C5079" s="3" t="s">
        <v>8149</v>
      </c>
      <c r="D5079" s="3" t="s">
        <v>9705</v>
      </c>
      <c r="E5079" s="3" t="s">
        <v>8063</v>
      </c>
      <c r="F5079" s="3" t="s">
        <v>8062</v>
      </c>
      <c r="G5079" s="3" t="str">
        <f>IFERROR(__xludf.DUMMYFUNCTION("GOOGLETRANSLATE(D5079,""ja"",""es"")"),"Agujero")</f>
        <v>Agujero</v>
      </c>
      <c r="H5079" s="3" t="s">
        <v>9706</v>
      </c>
      <c r="I5079" s="3" t="s">
        <v>9707</v>
      </c>
      <c r="J5079" s="3" t="s">
        <v>9708</v>
      </c>
      <c r="K5079" s="3" t="s">
        <v>9706</v>
      </c>
      <c r="L5079" s="3" t="s">
        <v>9706</v>
      </c>
      <c r="M5079" s="3" t="s">
        <v>9709</v>
      </c>
      <c r="N5079" s="3" t="s">
        <v>9706</v>
      </c>
      <c r="O5079" s="3" t="s">
        <v>9706</v>
      </c>
    </row>
    <row r="5080">
      <c r="A5080" s="3">
        <v>490.0</v>
      </c>
      <c r="B5080" s="3" t="s">
        <v>8148</v>
      </c>
      <c r="C5080" s="3" t="s">
        <v>8149</v>
      </c>
      <c r="D5080" s="3" t="s">
        <v>9710</v>
      </c>
      <c r="E5080" s="3" t="s">
        <v>9711</v>
      </c>
      <c r="F5080" s="3" t="s">
        <v>9712</v>
      </c>
      <c r="G5080" s="3" t="str">
        <f>IFERROR(__xludf.DUMMYFUNCTION("GOOGLETRANSLATE(D5080,""ja"",""es"")"),"Alma")</f>
        <v>Alma</v>
      </c>
    </row>
    <row r="5081">
      <c r="A5081" s="3">
        <v>491.0</v>
      </c>
      <c r="B5081" s="3" t="s">
        <v>8148</v>
      </c>
      <c r="C5081" s="3" t="s">
        <v>8149</v>
      </c>
      <c r="D5081" s="3" t="s">
        <v>9713</v>
      </c>
      <c r="E5081" s="3" t="s">
        <v>9711</v>
      </c>
      <c r="F5081" s="3" t="s">
        <v>9712</v>
      </c>
      <c r="G5081" s="3" t="str">
        <f>IFERROR(__xludf.DUMMYFUNCTION("GOOGLETRANSLATE(D5081,""ja"",""es"")"),"Enfoque")</f>
        <v>Enfoque</v>
      </c>
    </row>
    <row r="5082">
      <c r="A5082" s="3">
        <v>492.0</v>
      </c>
      <c r="B5082" s="3" t="s">
        <v>8148</v>
      </c>
      <c r="C5082" s="3" t="s">
        <v>8149</v>
      </c>
      <c r="D5082" s="3" t="s">
        <v>9714</v>
      </c>
      <c r="E5082" s="3" t="s">
        <v>8284</v>
      </c>
      <c r="F5082" s="3" t="s">
        <v>8285</v>
      </c>
      <c r="G5082" s="3" t="str">
        <f>IFERROR(__xludf.DUMMYFUNCTION("GOOGLETRANSLATE(D5082,""ja"",""es"")"),"Más lejos")</f>
        <v>Más lejos</v>
      </c>
      <c r="H5082" s="3" t="s">
        <v>9715</v>
      </c>
      <c r="I5082" s="3" t="s">
        <v>9716</v>
      </c>
      <c r="J5082" s="3" t="s">
        <v>9717</v>
      </c>
    </row>
    <row r="5083">
      <c r="A5083" s="3">
        <v>493.0</v>
      </c>
      <c r="B5083" s="3" t="s">
        <v>8148</v>
      </c>
      <c r="C5083" s="3" t="s">
        <v>8149</v>
      </c>
      <c r="D5083" s="3" t="s">
        <v>9718</v>
      </c>
      <c r="E5083" s="3" t="s">
        <v>9719</v>
      </c>
      <c r="F5083" s="3" t="s">
        <v>9720</v>
      </c>
      <c r="G5083" s="3" t="str">
        <f>IFERROR(__xludf.DUMMYFUNCTION("GOOGLETRANSLATE(D5083,""ja"",""es"")"),"Más lejos")</f>
        <v>Más lejos</v>
      </c>
    </row>
    <row r="5084">
      <c r="A5084" s="3">
        <v>494.0</v>
      </c>
      <c r="B5084" s="3" t="s">
        <v>8148</v>
      </c>
      <c r="C5084" s="3" t="s">
        <v>8149</v>
      </c>
      <c r="D5084" s="3" t="s">
        <v>9721</v>
      </c>
      <c r="E5084" s="3" t="s">
        <v>9722</v>
      </c>
      <c r="F5084" s="3" t="s">
        <v>9723</v>
      </c>
      <c r="G5084" s="3" t="str">
        <f>IFERROR(__xludf.DUMMYFUNCTION("GOOGLETRANSLATE(D5084,""ja"",""es"")"),"Más lejos")</f>
        <v>Más lejos</v>
      </c>
      <c r="H5084" s="3" t="s">
        <v>9724</v>
      </c>
      <c r="I5084" s="3" t="s">
        <v>9725</v>
      </c>
      <c r="J5084" s="3" t="s">
        <v>9726</v>
      </c>
      <c r="K5084" s="3" t="s">
        <v>9727</v>
      </c>
      <c r="L5084" s="3" t="s">
        <v>9728</v>
      </c>
      <c r="M5084" s="3" t="s">
        <v>9727</v>
      </c>
      <c r="N5084" s="3" t="s">
        <v>9729</v>
      </c>
      <c r="O5084" s="3" t="s">
        <v>9730</v>
      </c>
      <c r="P5084" s="3" t="s">
        <v>9715</v>
      </c>
      <c r="Q5084" s="3" t="s">
        <v>9716</v>
      </c>
      <c r="R5084" s="3" t="s">
        <v>9717</v>
      </c>
    </row>
    <row r="5085">
      <c r="A5085" s="3">
        <v>495.0</v>
      </c>
      <c r="B5085" s="3" t="s">
        <v>8148</v>
      </c>
      <c r="C5085" s="3" t="s">
        <v>8149</v>
      </c>
      <c r="D5085" s="3" t="s">
        <v>9731</v>
      </c>
      <c r="E5085" s="3" t="s">
        <v>8284</v>
      </c>
      <c r="F5085" s="3" t="s">
        <v>8285</v>
      </c>
      <c r="G5085" s="3" t="str">
        <f>IFERROR(__xludf.DUMMYFUNCTION("GOOGLETRANSLATE(D5085,""ja"",""es"")"),"en absoluto")</f>
        <v>en absoluto</v>
      </c>
      <c r="H5085" s="3" t="s">
        <v>9715</v>
      </c>
      <c r="I5085" s="3" t="s">
        <v>9716</v>
      </c>
      <c r="J5085" s="3" t="s">
        <v>9717</v>
      </c>
    </row>
    <row r="5086">
      <c r="A5086" s="3">
        <v>496.0</v>
      </c>
      <c r="B5086" s="3" t="s">
        <v>8148</v>
      </c>
      <c r="C5086" s="3" t="s">
        <v>8149</v>
      </c>
      <c r="D5086" s="3" t="s">
        <v>9732</v>
      </c>
      <c r="E5086" s="3" t="s">
        <v>9733</v>
      </c>
      <c r="F5086" s="3" t="s">
        <v>9734</v>
      </c>
      <c r="G5086" s="3" t="str">
        <f>IFERROR(__xludf.DUMMYFUNCTION("GOOGLETRANSLATE(D5086,""ja"",""es"")"),"Acorde")</f>
        <v>Acorde</v>
      </c>
    </row>
    <row r="5087">
      <c r="A5087" s="3">
        <v>497.0</v>
      </c>
      <c r="B5087" s="3" t="s">
        <v>8148</v>
      </c>
      <c r="C5087" s="3" t="s">
        <v>8149</v>
      </c>
      <c r="D5087" s="3" t="s">
        <v>9735</v>
      </c>
      <c r="E5087" s="3" t="s">
        <v>8647</v>
      </c>
      <c r="F5087" s="3" t="s">
        <v>8648</v>
      </c>
      <c r="G5087" s="3" t="str">
        <f>IFERROR(__xludf.DUMMYFUNCTION("GOOGLETRANSLATE(D5087,""ja"",""es"")"),"Sarata sarata")</f>
        <v>Sarata sarata</v>
      </c>
    </row>
    <row r="5088">
      <c r="A5088" s="3">
        <v>498.0</v>
      </c>
      <c r="B5088" s="3" t="s">
        <v>8148</v>
      </c>
      <c r="C5088" s="3" t="s">
        <v>8149</v>
      </c>
      <c r="D5088" s="3" t="s">
        <v>9736</v>
      </c>
      <c r="E5088" s="3" t="s">
        <v>9551</v>
      </c>
      <c r="F5088" s="3" t="s">
        <v>9552</v>
      </c>
      <c r="G5088" s="3" t="str">
        <f>IFERROR(__xludf.DUMMYFUNCTION("GOOGLETRANSLATE(D5088,""ja"",""es"")"),"Flecha vieja")</f>
        <v>Flecha vieja</v>
      </c>
    </row>
    <row r="5089">
      <c r="A5089" s="3">
        <v>499.0</v>
      </c>
      <c r="B5089" s="3" t="s">
        <v>8148</v>
      </c>
      <c r="C5089" s="3" t="s">
        <v>8149</v>
      </c>
      <c r="D5089" s="3" t="s">
        <v>9737</v>
      </c>
      <c r="E5089" s="3" t="s">
        <v>9590</v>
      </c>
      <c r="F5089" s="3" t="s">
        <v>9591</v>
      </c>
      <c r="G5089" s="3" t="str">
        <f>IFERROR(__xludf.DUMMYFUNCTION("GOOGLETRANSLATE(D5089,""ja"",""es"")"),"Dureza")</f>
        <v>Dureza</v>
      </c>
      <c r="H5089" s="3" t="s">
        <v>9738</v>
      </c>
      <c r="I5089" s="3" t="s">
        <v>9598</v>
      </c>
      <c r="J5089" s="3" t="s">
        <v>9599</v>
      </c>
    </row>
    <row r="5090">
      <c r="A5090" s="3">
        <v>500.0</v>
      </c>
      <c r="B5090" s="3" t="s">
        <v>8148</v>
      </c>
      <c r="C5090" s="3" t="s">
        <v>8149</v>
      </c>
      <c r="D5090" s="3" t="s">
        <v>9739</v>
      </c>
      <c r="E5090" s="3" t="s">
        <v>544</v>
      </c>
      <c r="F5090" s="3" t="s">
        <v>543</v>
      </c>
      <c r="G5090" s="3" t="str">
        <f>IFERROR(__xludf.DUMMYFUNCTION("GOOGLETRANSLATE(D5090,""ja"",""es"")"),"Aparecer")</f>
        <v>Aparecer</v>
      </c>
    </row>
    <row r="5091">
      <c r="A5091" s="3">
        <v>501.0</v>
      </c>
      <c r="B5091" s="3" t="s">
        <v>8148</v>
      </c>
      <c r="C5091" s="3" t="s">
        <v>8149</v>
      </c>
      <c r="D5091" s="3" t="s">
        <v>9740</v>
      </c>
      <c r="E5091" s="3" t="s">
        <v>8172</v>
      </c>
      <c r="F5091" s="3" t="s">
        <v>8173</v>
      </c>
      <c r="G5091" s="3" t="str">
        <f>IFERROR(__xludf.DUMMYFUNCTION("GOOGLETRANSLATE(D5091,""ja"",""es"")"),"Bruto")</f>
        <v>Bruto</v>
      </c>
      <c r="H5091" s="3" t="s">
        <v>9741</v>
      </c>
      <c r="I5091" s="3" t="s">
        <v>9742</v>
      </c>
      <c r="J5091" s="3" t="s">
        <v>9743</v>
      </c>
      <c r="K5091" s="3" t="s">
        <v>9744</v>
      </c>
      <c r="L5091" s="3" t="s">
        <v>9745</v>
      </c>
    </row>
    <row r="5092">
      <c r="A5092" s="3">
        <v>502.0</v>
      </c>
      <c r="B5092" s="3" t="s">
        <v>8148</v>
      </c>
      <c r="C5092" s="3" t="s">
        <v>8149</v>
      </c>
      <c r="D5092" s="3" t="s">
        <v>9746</v>
      </c>
      <c r="E5092" s="3" t="s">
        <v>9747</v>
      </c>
      <c r="F5092" s="3" t="s">
        <v>9748</v>
      </c>
      <c r="G5092" s="3" t="str">
        <f>IFERROR(__xludf.DUMMYFUNCTION("GOOGLETRANSLATE(D5092,""ja"",""es"")"),"Carga áspera")</f>
        <v>Carga áspera</v>
      </c>
    </row>
    <row r="5093">
      <c r="A5093" s="3">
        <v>503.0</v>
      </c>
      <c r="B5093" s="3" t="s">
        <v>8148</v>
      </c>
      <c r="C5093" s="3" t="s">
        <v>8149</v>
      </c>
      <c r="D5093" s="3" t="s">
        <v>9749</v>
      </c>
      <c r="E5093" s="3" t="s">
        <v>9750</v>
      </c>
      <c r="F5093" s="3" t="s">
        <v>9751</v>
      </c>
      <c r="G5093" s="3" t="str">
        <f>IFERROR(__xludf.DUMMYFUNCTION("GOOGLETRANSLATE(D5093,""ja"",""es"")"),"Bobinado áspero")</f>
        <v>Bobinado áspero</v>
      </c>
    </row>
    <row r="5094">
      <c r="A5094" s="3">
        <v>504.0</v>
      </c>
      <c r="B5094" s="3" t="s">
        <v>8148</v>
      </c>
      <c r="C5094" s="3" t="s">
        <v>8149</v>
      </c>
      <c r="D5094" s="3" t="s">
        <v>9752</v>
      </c>
      <c r="E5094" s="3" t="s">
        <v>9753</v>
      </c>
      <c r="F5094" s="3" t="s">
        <v>9754</v>
      </c>
      <c r="G5094" s="3" t="str">
        <f>IFERROR(__xludf.DUMMYFUNCTION("GOOGLETRANSLATE(D5094,""ja"",""es"")"),"Bola áspera")</f>
        <v>Bola áspera</v>
      </c>
    </row>
    <row r="5095">
      <c r="A5095" s="3">
        <v>505.0</v>
      </c>
      <c r="B5095" s="3" t="s">
        <v>8148</v>
      </c>
      <c r="C5095" s="3" t="s">
        <v>8149</v>
      </c>
      <c r="D5095" s="3" t="s">
        <v>9755</v>
      </c>
      <c r="E5095" s="3" t="s">
        <v>9756</v>
      </c>
      <c r="F5095" s="3" t="s">
        <v>9757</v>
      </c>
      <c r="G5095" s="3" t="str">
        <f>IFERROR(__xludf.DUMMYFUNCTION("GOOGLETRANSLATE(D5095,""ja"",""es"")"),"Ola áspera")</f>
        <v>Ola áspera</v>
      </c>
      <c r="H5095" s="3" t="s">
        <v>6548</v>
      </c>
      <c r="I5095" s="3" t="s">
        <v>9758</v>
      </c>
      <c r="J5095" s="3" t="s">
        <v>9759</v>
      </c>
    </row>
    <row r="5096">
      <c r="A5096" s="3">
        <v>506.0</v>
      </c>
      <c r="B5096" s="3" t="s">
        <v>8148</v>
      </c>
      <c r="C5096" s="3" t="s">
        <v>8149</v>
      </c>
      <c r="D5096" s="3" t="s">
        <v>9760</v>
      </c>
      <c r="E5096" s="3" t="s">
        <v>8528</v>
      </c>
      <c r="F5096" s="3" t="s">
        <v>8529</v>
      </c>
      <c r="G5096" s="3" t="str">
        <f>IFERROR(__xludf.DUMMYFUNCTION("GOOGLETRANSLATE(D5096,""ja"",""es"")"),"Árbol áspero")</f>
        <v>Árbol áspero</v>
      </c>
    </row>
    <row r="5097">
      <c r="A5097" s="3">
        <v>507.0</v>
      </c>
      <c r="B5097" s="3" t="s">
        <v>8148</v>
      </c>
      <c r="C5097" s="3" t="s">
        <v>8149</v>
      </c>
      <c r="D5097" s="3" t="s">
        <v>9761</v>
      </c>
      <c r="E5097" s="3" t="s">
        <v>9762</v>
      </c>
      <c r="F5097" s="3" t="s">
        <v>9763</v>
      </c>
      <c r="G5097" s="3" t="str">
        <f>IFERROR(__xludf.DUMMYFUNCTION("GOOGLETRANSLATE(D5097,""ja"",""es"")"),"Interés aleatorio")</f>
        <v>Interés aleatorio</v>
      </c>
    </row>
    <row r="5098">
      <c r="A5098" s="3">
        <v>508.0</v>
      </c>
      <c r="B5098" s="3" t="s">
        <v>8148</v>
      </c>
      <c r="C5098" s="3" t="s">
        <v>8149</v>
      </c>
      <c r="D5098" s="3" t="s">
        <v>9764</v>
      </c>
      <c r="E5098" s="3" t="s">
        <v>9765</v>
      </c>
      <c r="F5098" s="3" t="s">
        <v>9766</v>
      </c>
      <c r="G5098" s="3" t="str">
        <f>IFERROR(__xludf.DUMMYFUNCTION("GOOGLETRANSLATE(D5098,""ja"",""es"")"),"altura")</f>
        <v>altura</v>
      </c>
      <c r="H5098" s="3" t="s">
        <v>1965</v>
      </c>
      <c r="I5098" s="3" t="s">
        <v>9767</v>
      </c>
      <c r="J5098" s="3" t="s">
        <v>1964</v>
      </c>
      <c r="K5098" s="3" t="s">
        <v>2038</v>
      </c>
      <c r="L5098" s="3" t="s">
        <v>1964</v>
      </c>
      <c r="M5098" s="3" t="s">
        <v>9768</v>
      </c>
      <c r="N5098" s="3" t="s">
        <v>9767</v>
      </c>
    </row>
    <row r="5099">
      <c r="A5099" s="3">
        <v>509.0</v>
      </c>
      <c r="B5099" s="3" t="s">
        <v>8148</v>
      </c>
      <c r="C5099" s="3" t="s">
        <v>8149</v>
      </c>
      <c r="D5099" s="3" t="s">
        <v>9769</v>
      </c>
      <c r="E5099" s="3" t="s">
        <v>9770</v>
      </c>
      <c r="F5099" s="3" t="s">
        <v>9771</v>
      </c>
      <c r="G5099" s="3" t="str">
        <f>IFERROR(__xludf.DUMMYFUNCTION("GOOGLETRANSLATE(D5099,""ja"",""es"")"),"Creciente")</f>
        <v>Creciente</v>
      </c>
      <c r="H5099" s="3" t="s">
        <v>9772</v>
      </c>
      <c r="I5099" s="3" t="s">
        <v>9772</v>
      </c>
      <c r="J5099" s="3" t="s">
        <v>9773</v>
      </c>
      <c r="K5099" s="3" t="s">
        <v>9774</v>
      </c>
      <c r="L5099" s="3" t="s">
        <v>9775</v>
      </c>
    </row>
    <row r="5100">
      <c r="A5100" s="3">
        <v>510.0</v>
      </c>
      <c r="B5100" s="3" t="s">
        <v>8148</v>
      </c>
      <c r="C5100" s="3" t="s">
        <v>8149</v>
      </c>
      <c r="D5100" s="3" t="s">
        <v>9776</v>
      </c>
      <c r="E5100" s="3" t="s">
        <v>9777</v>
      </c>
      <c r="F5100" s="3" t="s">
        <v>9778</v>
      </c>
      <c r="G5100" s="3" t="str">
        <f>IFERROR(__xludf.DUMMYFUNCTION("GOOGLETRANSLATE(D5100,""ja"",""es"")"),"Altura")</f>
        <v>Altura</v>
      </c>
    </row>
    <row r="5101">
      <c r="A5101" s="3">
        <v>511.0</v>
      </c>
      <c r="B5101" s="3" t="s">
        <v>8148</v>
      </c>
      <c r="C5101" s="3" t="s">
        <v>8149</v>
      </c>
      <c r="D5101" s="3" t="s">
        <v>9779</v>
      </c>
      <c r="E5101" s="3" t="s">
        <v>9780</v>
      </c>
      <c r="F5101" s="3" t="s">
        <v>9781</v>
      </c>
      <c r="G5101" s="3" t="str">
        <f>IFERROR(__xludf.DUMMYFUNCTION("GOOGLETRANSLATE(D5101,""ja"",""es"")"),"Alto")</f>
        <v>Alto</v>
      </c>
      <c r="H5101" s="3" t="s">
        <v>9782</v>
      </c>
      <c r="I5101" s="3" t="s">
        <v>9783</v>
      </c>
    </row>
    <row r="5102">
      <c r="A5102" s="3">
        <v>512.0</v>
      </c>
      <c r="B5102" s="3" t="s">
        <v>8148</v>
      </c>
      <c r="C5102" s="3" t="s">
        <v>8149</v>
      </c>
      <c r="D5102" s="3" t="s">
        <v>9784</v>
      </c>
      <c r="E5102" s="3" t="s">
        <v>9785</v>
      </c>
      <c r="F5102" s="3" t="s">
        <v>9786</v>
      </c>
      <c r="G5102" s="3" t="str">
        <f>IFERROR(__xludf.DUMMYFUNCTION("GOOGLETRANSLATE(D5102,""ja"",""es"")"),"Rollos altos")</f>
        <v>Rollos altos</v>
      </c>
    </row>
    <row r="5103">
      <c r="A5103" s="3">
        <v>513.0</v>
      </c>
      <c r="B5103" s="3" t="s">
        <v>8148</v>
      </c>
      <c r="C5103" s="3" t="s">
        <v>8149</v>
      </c>
      <c r="D5103" s="3" t="s">
        <v>9787</v>
      </c>
      <c r="E5103" s="3" t="s">
        <v>9785</v>
      </c>
      <c r="F5103" s="3" t="s">
        <v>9786</v>
      </c>
      <c r="G5103" s="3" t="str">
        <f>IFERROR(__xludf.DUMMYFUNCTION("GOOGLETRANSLATE(D5103,""ja"",""es"")"),"Giro")</f>
        <v>Giro</v>
      </c>
    </row>
    <row r="5104">
      <c r="A5104" s="3">
        <v>514.0</v>
      </c>
      <c r="B5104" s="3" t="s">
        <v>8148</v>
      </c>
      <c r="C5104" s="3" t="s">
        <v>8149</v>
      </c>
      <c r="D5104" s="3" t="s">
        <v>9788</v>
      </c>
      <c r="E5104" s="3" t="s">
        <v>8653</v>
      </c>
      <c r="F5104" s="3" t="s">
        <v>8654</v>
      </c>
      <c r="G5104" s="3" t="str">
        <f>IFERROR(__xludf.DUMMYFUNCTION("GOOGLETRANSLATE(D5104,""ja"",""es"")"),"Vegetal alto")</f>
        <v>Vegetal alto</v>
      </c>
    </row>
    <row r="5105">
      <c r="A5105" s="3">
        <v>515.0</v>
      </c>
      <c r="B5105" s="3" t="s">
        <v>8148</v>
      </c>
      <c r="C5105" s="3" t="s">
        <v>8149</v>
      </c>
      <c r="D5105" s="3" t="s">
        <v>9789</v>
      </c>
      <c r="E5105" s="3" t="s">
        <v>9790</v>
      </c>
      <c r="F5105" s="3" t="s">
        <v>9791</v>
      </c>
      <c r="G5105" s="3" t="str">
        <f>IFERROR(__xludf.DUMMYFUNCTION("GOOGLETRANSLATE(D5105,""ja"",""es"")"),"Ola alta")</f>
        <v>Ola alta</v>
      </c>
    </row>
    <row r="5106">
      <c r="A5106" s="3">
        <v>516.0</v>
      </c>
      <c r="B5106" s="3" t="s">
        <v>8148</v>
      </c>
      <c r="C5106" s="3" t="s">
        <v>8149</v>
      </c>
      <c r="D5106" s="3" t="s">
        <v>9792</v>
      </c>
      <c r="E5106" s="3" t="s">
        <v>9793</v>
      </c>
      <c r="F5106" s="3" t="s">
        <v>9794</v>
      </c>
      <c r="G5106" s="3" t="str">
        <f>IFERROR(__xludf.DUMMYFUNCTION("GOOGLETRANSLATE(D5106,""ja"",""es"")"),"Sonido ascendente")</f>
        <v>Sonido ascendente</v>
      </c>
    </row>
    <row r="5107">
      <c r="A5107" s="3">
        <v>517.0</v>
      </c>
      <c r="B5107" s="3" t="s">
        <v>8148</v>
      </c>
      <c r="C5107" s="3" t="s">
        <v>8149</v>
      </c>
      <c r="D5107" s="3" t="s">
        <v>9795</v>
      </c>
      <c r="E5107" s="3" t="s">
        <v>8657</v>
      </c>
      <c r="F5107" s="3" t="s">
        <v>8658</v>
      </c>
      <c r="G5107" s="3" t="str">
        <f>IFERROR(__xludf.DUMMYFUNCTION("GOOGLETRANSLATE(D5107,""ja"",""es"")"),"Lo más alto")</f>
        <v>Lo más alto</v>
      </c>
    </row>
    <row r="5108">
      <c r="A5108" s="3">
        <v>518.0</v>
      </c>
      <c r="B5108" s="3" t="s">
        <v>8148</v>
      </c>
      <c r="C5108" s="3" t="s">
        <v>8149</v>
      </c>
      <c r="D5108" s="3" t="s">
        <v>9796</v>
      </c>
      <c r="E5108" s="3" t="s">
        <v>9797</v>
      </c>
      <c r="F5108" s="3" t="s">
        <v>9798</v>
      </c>
      <c r="G5108" s="3" t="str">
        <f>IFERROR(__xludf.DUMMYFUNCTION("GOOGLETRANSLATE(D5108,""ja"",""es"")"),"desde ahora")</f>
        <v>desde ahora</v>
      </c>
      <c r="H5108" s="3" t="s">
        <v>9799</v>
      </c>
      <c r="I5108" s="3" t="s">
        <v>9800</v>
      </c>
    </row>
    <row r="5109">
      <c r="A5109" s="3">
        <v>519.0</v>
      </c>
      <c r="B5109" s="3" t="s">
        <v>8148</v>
      </c>
      <c r="C5109" s="3" t="s">
        <v>8149</v>
      </c>
      <c r="D5109" s="3" t="s">
        <v>9801</v>
      </c>
      <c r="E5109" s="3" t="s">
        <v>9802</v>
      </c>
      <c r="F5109" s="3" t="s">
        <v>9803</v>
      </c>
      <c r="G5109" s="3" t="str">
        <f>IFERROR(__xludf.DUMMYFUNCTION("GOOGLETRANSLATE(D5109,""ja"",""es"")"),"Incluso ahora")</f>
        <v>Incluso ahora</v>
      </c>
    </row>
    <row r="5110">
      <c r="A5110" s="3">
        <v>520.0</v>
      </c>
      <c r="B5110" s="3" t="s">
        <v>8148</v>
      </c>
      <c r="C5110" s="3" t="s">
        <v>8149</v>
      </c>
      <c r="D5110" s="3" t="s">
        <v>9804</v>
      </c>
      <c r="E5110" s="3" t="s">
        <v>9805</v>
      </c>
      <c r="F5110" s="3" t="s">
        <v>9806</v>
      </c>
      <c r="G5110" s="3" t="str">
        <f>IFERROR(__xludf.DUMMYFUNCTION("GOOGLETRANSLATE(D5110,""ja"",""es"")"),"Ahora")</f>
        <v>Ahora</v>
      </c>
      <c r="H5110" s="3" t="s">
        <v>9807</v>
      </c>
      <c r="I5110" s="3" t="s">
        <v>9808</v>
      </c>
      <c r="J5110" s="3" t="s">
        <v>9809</v>
      </c>
      <c r="K5110" s="3" t="s">
        <v>9810</v>
      </c>
      <c r="L5110" s="3" t="s">
        <v>9811</v>
      </c>
      <c r="M5110" s="3" t="s">
        <v>9812</v>
      </c>
    </row>
    <row r="5111">
      <c r="A5111" s="3">
        <v>521.0</v>
      </c>
      <c r="B5111" s="3" t="s">
        <v>8148</v>
      </c>
      <c r="C5111" s="3" t="s">
        <v>8149</v>
      </c>
      <c r="D5111" s="3" t="s">
        <v>9813</v>
      </c>
      <c r="E5111" s="3" t="s">
        <v>9814</v>
      </c>
      <c r="F5111" s="3" t="s">
        <v>9815</v>
      </c>
      <c r="G5111" s="3" t="str">
        <f>IFERROR(__xludf.DUMMYFUNCTION("GOOGLETRANSLATE(D5111,""ja"",""es"")"),"ahora")</f>
        <v>ahora</v>
      </c>
      <c r="H5111" s="3" t="s">
        <v>9816</v>
      </c>
      <c r="I5111" s="3" t="s">
        <v>9807</v>
      </c>
      <c r="J5111" s="3" t="s">
        <v>9808</v>
      </c>
      <c r="K5111" s="3" t="s">
        <v>9809</v>
      </c>
      <c r="L5111" s="3" t="s">
        <v>9810</v>
      </c>
      <c r="M5111" s="3" t="s">
        <v>9817</v>
      </c>
      <c r="N5111" s="3" t="s">
        <v>9818</v>
      </c>
      <c r="O5111" s="3" t="s">
        <v>9817</v>
      </c>
    </row>
    <row r="5112">
      <c r="A5112" s="3">
        <v>522.0</v>
      </c>
      <c r="B5112" s="3" t="s">
        <v>8148</v>
      </c>
      <c r="C5112" s="3" t="s">
        <v>8149</v>
      </c>
      <c r="D5112" s="3" t="s">
        <v>9819</v>
      </c>
      <c r="E5112" s="3" t="s">
        <v>9820</v>
      </c>
      <c r="F5112" s="3" t="s">
        <v>9821</v>
      </c>
      <c r="G5112" s="3" t="str">
        <f>IFERROR(__xludf.DUMMYFUNCTION("GOOGLETRANSLATE(D5112,""ja"",""es"")"),"Palacio Imperial")</f>
        <v>Palacio Imperial</v>
      </c>
    </row>
    <row r="5113">
      <c r="A5113" s="3">
        <v>523.0</v>
      </c>
      <c r="B5113" s="3" t="s">
        <v>8148</v>
      </c>
      <c r="C5113" s="3" t="s">
        <v>8149</v>
      </c>
      <c r="D5113" s="3" t="s">
        <v>9822</v>
      </c>
      <c r="E5113" s="3" t="s">
        <v>9802</v>
      </c>
      <c r="F5113" s="3" t="s">
        <v>9803</v>
      </c>
      <c r="G5113" s="3" t="str">
        <f>IFERROR(__xludf.DUMMYFUNCTION("GOOGLETRANSLATE(D5113,""ja"",""es"")"),"ahora")</f>
        <v>ahora</v>
      </c>
    </row>
    <row r="5114">
      <c r="A5114" s="3">
        <v>524.0</v>
      </c>
      <c r="B5114" s="3" t="s">
        <v>8148</v>
      </c>
      <c r="C5114" s="3" t="s">
        <v>8149</v>
      </c>
      <c r="D5114" s="3" t="s">
        <v>9823</v>
      </c>
      <c r="E5114" s="3" t="s">
        <v>1437</v>
      </c>
      <c r="F5114" s="3" t="s">
        <v>1438</v>
      </c>
      <c r="G5114" s="3" t="str">
        <f>IFERROR(__xludf.DUMMYFUNCTION("GOOGLETRANSLATE(D5114,""ja"",""es"")"),"Trivial")</f>
        <v>Trivial</v>
      </c>
    </row>
    <row r="5115">
      <c r="A5115" s="3">
        <v>525.0</v>
      </c>
      <c r="B5115" s="3" t="s">
        <v>8148</v>
      </c>
      <c r="C5115" s="3" t="s">
        <v>8149</v>
      </c>
      <c r="D5115" s="3" t="s">
        <v>9824</v>
      </c>
      <c r="E5115" s="3" t="s">
        <v>9825</v>
      </c>
      <c r="F5115" s="3" t="s">
        <v>9826</v>
      </c>
      <c r="G5115" s="3" t="str">
        <f>IFERROR(__xludf.DUMMYFUNCTION("GOOGLETRANSLATE(D5115,""ja"",""es"")"),"Trivial")</f>
        <v>Trivial</v>
      </c>
      <c r="H5115" s="3" t="s">
        <v>8453</v>
      </c>
      <c r="I5115" s="3" t="s">
        <v>8454</v>
      </c>
      <c r="J5115" s="3" t="s">
        <v>8455</v>
      </c>
      <c r="K5115" s="3" t="s">
        <v>9827</v>
      </c>
      <c r="L5115" s="3" t="s">
        <v>9105</v>
      </c>
      <c r="M5115" s="3" t="s">
        <v>9828</v>
      </c>
    </row>
    <row r="5116">
      <c r="A5116" s="3">
        <v>526.0</v>
      </c>
      <c r="B5116" s="3" t="s">
        <v>8148</v>
      </c>
      <c r="C5116" s="3" t="s">
        <v>8149</v>
      </c>
      <c r="D5116" s="3" t="s">
        <v>9829</v>
      </c>
      <c r="E5116" s="3" t="s">
        <v>9825</v>
      </c>
      <c r="F5116" s="3" t="s">
        <v>9826</v>
      </c>
      <c r="G5116" s="3" t="str">
        <f>IFERROR(__xludf.DUMMYFUNCTION("GOOGLETRANSLATE(D5116,""ja"",""es"")"),"Un poco")</f>
        <v>Un poco</v>
      </c>
      <c r="H5116" s="3" t="s">
        <v>9827</v>
      </c>
      <c r="I5116" s="3" t="s">
        <v>9105</v>
      </c>
      <c r="J5116" s="3" t="s">
        <v>9828</v>
      </c>
    </row>
    <row r="5117">
      <c r="A5117" s="3">
        <v>527.0</v>
      </c>
      <c r="B5117" s="3" t="s">
        <v>8148</v>
      </c>
      <c r="C5117" s="3" t="s">
        <v>8149</v>
      </c>
      <c r="D5117" s="3" t="s">
        <v>9830</v>
      </c>
      <c r="E5117" s="3" t="s">
        <v>1437</v>
      </c>
      <c r="F5117" s="3" t="s">
        <v>1438</v>
      </c>
      <c r="G5117" s="3" t="str">
        <f>IFERROR(__xludf.DUMMYFUNCTION("GOOGLETRANSLATE(D5117,""ja"",""es"")"),"Trivial")</f>
        <v>Trivial</v>
      </c>
    </row>
    <row r="5118">
      <c r="A5118" s="3">
        <v>528.0</v>
      </c>
      <c r="B5118" s="3" t="s">
        <v>8148</v>
      </c>
      <c r="C5118" s="3" t="s">
        <v>8149</v>
      </c>
      <c r="D5118" s="3" t="s">
        <v>9831</v>
      </c>
      <c r="E5118" s="3" t="s">
        <v>9476</v>
      </c>
      <c r="F5118" s="3" t="s">
        <v>9477</v>
      </c>
      <c r="G5118" s="3" t="str">
        <f>IFERROR(__xludf.DUMMYFUNCTION("GOOGLETRANSLATE(D5118,""ja"",""es"")"),"Sali")</f>
        <v>Sali</v>
      </c>
    </row>
    <row r="5119">
      <c r="A5119" s="3">
        <v>529.0</v>
      </c>
      <c r="B5119" s="3" t="s">
        <v>8148</v>
      </c>
      <c r="C5119" s="3" t="s">
        <v>8149</v>
      </c>
      <c r="D5119" s="3" t="s">
        <v>9832</v>
      </c>
      <c r="E5119" s="3" t="s">
        <v>3609</v>
      </c>
      <c r="F5119" s="3" t="s">
        <v>3610</v>
      </c>
      <c r="G5119" s="3" t="str">
        <f>IFERROR(__xludf.DUMMYFUNCTION("GOOGLETRANSLATE(D5119,""ja"",""es"")"),"Shaku")</f>
        <v>Shaku</v>
      </c>
      <c r="H5119" s="3" t="s">
        <v>9833</v>
      </c>
      <c r="I5119" s="3" t="s">
        <v>9834</v>
      </c>
    </row>
    <row r="5120">
      <c r="A5120" s="3">
        <v>530.0</v>
      </c>
      <c r="B5120" s="3" t="s">
        <v>8148</v>
      </c>
      <c r="C5120" s="3" t="s">
        <v>8149</v>
      </c>
      <c r="D5120" s="3" t="s">
        <v>9835</v>
      </c>
      <c r="E5120" s="3" t="s">
        <v>9836</v>
      </c>
      <c r="F5120" s="3" t="s">
        <v>9837</v>
      </c>
      <c r="G5120" s="3" t="str">
        <f>IFERROR(__xludf.DUMMYFUNCTION("GOOGLETRANSLATE(D5120,""ja"",""es"")"),"Zurdo")</f>
        <v>Zurdo</v>
      </c>
    </row>
    <row r="5121">
      <c r="A5121" s="3">
        <v>531.0</v>
      </c>
      <c r="B5121" s="3" t="s">
        <v>8148</v>
      </c>
      <c r="C5121" s="3" t="s">
        <v>8149</v>
      </c>
      <c r="D5121" s="3" t="s">
        <v>9838</v>
      </c>
      <c r="E5121" s="3" t="s">
        <v>9839</v>
      </c>
      <c r="F5121" s="3" t="s">
        <v>9840</v>
      </c>
      <c r="G5121" s="3" t="str">
        <f>IFERROR(__xludf.DUMMYFUNCTION("GOOGLETRANSLATE(D5121,""ja"",""es"")"),"Izquierdista")</f>
        <v>Izquierdista</v>
      </c>
      <c r="H5121" s="3" t="s">
        <v>9841</v>
      </c>
      <c r="I5121" s="3" t="s">
        <v>9842</v>
      </c>
    </row>
    <row r="5122">
      <c r="A5122" s="3">
        <v>532.0</v>
      </c>
      <c r="B5122" s="3" t="s">
        <v>8148</v>
      </c>
      <c r="C5122" s="3" t="s">
        <v>8149</v>
      </c>
      <c r="D5122" s="3" t="s">
        <v>9843</v>
      </c>
      <c r="E5122" s="3" t="s">
        <v>9844</v>
      </c>
      <c r="F5122" s="3" t="s">
        <v>9845</v>
      </c>
      <c r="G5122" s="3" t="str">
        <f>IFERROR(__xludf.DUMMYFUNCTION("GOOGLETRANSLATE(D5122,""ja"",""es"")"),"Aviso")</f>
        <v>Aviso</v>
      </c>
      <c r="H5122" s="3" t="s">
        <v>9846</v>
      </c>
      <c r="I5122" s="3" t="s">
        <v>9847</v>
      </c>
      <c r="J5122" s="3" t="s">
        <v>9848</v>
      </c>
      <c r="K5122" s="3" t="s">
        <v>3</v>
      </c>
      <c r="L5122" s="3" t="s">
        <v>9849</v>
      </c>
    </row>
    <row r="5123">
      <c r="A5123" s="3">
        <v>533.0</v>
      </c>
      <c r="B5123" s="3" t="s">
        <v>8148</v>
      </c>
      <c r="C5123" s="3" t="s">
        <v>8149</v>
      </c>
      <c r="D5123" s="3" t="s">
        <v>9850</v>
      </c>
      <c r="E5123" s="3" t="s">
        <v>9476</v>
      </c>
      <c r="F5123" s="3" t="s">
        <v>9477</v>
      </c>
      <c r="G5123" s="3" t="str">
        <f>IFERROR(__xludf.DUMMYFUNCTION("GOOGLETRANSLATE(D5123,""ja"",""es"")"),"Arena")</f>
        <v>Arena</v>
      </c>
    </row>
    <row r="5124">
      <c r="A5124" s="3">
        <v>534.0</v>
      </c>
      <c r="B5124" s="3" t="s">
        <v>8148</v>
      </c>
      <c r="C5124" s="3" t="s">
        <v>8149</v>
      </c>
      <c r="D5124" s="3" t="s">
        <v>9851</v>
      </c>
      <c r="E5124" s="3" t="s">
        <v>1162</v>
      </c>
      <c r="F5124" s="3" t="s">
        <v>1163</v>
      </c>
      <c r="G5124" s="3" t="str">
        <f>IFERROR(__xludf.DUMMYFUNCTION("GOOGLETRANSLATE(D5124,""ja"",""es"")"),"Ya")</f>
        <v>Ya</v>
      </c>
    </row>
    <row r="5125">
      <c r="A5125" s="3">
        <v>535.0</v>
      </c>
      <c r="B5125" s="3" t="s">
        <v>8148</v>
      </c>
      <c r="C5125" s="3" t="s">
        <v>8149</v>
      </c>
      <c r="D5125" s="3" t="s">
        <v>9852</v>
      </c>
      <c r="E5125" s="3" t="s">
        <v>8939</v>
      </c>
      <c r="F5125" s="3" t="s">
        <v>8940</v>
      </c>
      <c r="G5125" s="3" t="str">
        <f>IFERROR(__xludf.DUMMYFUNCTION("GOOGLETRANSLATE(D5125,""ja"",""es"")"),"Worldwarth")</f>
        <v>Worldwarth</v>
      </c>
    </row>
    <row r="5126">
      <c r="A5126" s="3">
        <v>536.0</v>
      </c>
      <c r="B5126" s="3" t="s">
        <v>8148</v>
      </c>
      <c r="C5126" s="3" t="s">
        <v>8149</v>
      </c>
      <c r="D5126" s="3" t="s">
        <v>9853</v>
      </c>
      <c r="E5126" s="3" t="s">
        <v>9854</v>
      </c>
      <c r="F5126" s="3" t="s">
        <v>9855</v>
      </c>
      <c r="G5126" s="3" t="str">
        <f>IFERROR(__xludf.DUMMYFUNCTION("GOOGLETRANSLATE(D5126,""ja"",""es"")"),"Olas pequeñas")</f>
        <v>Olas pequeñas</v>
      </c>
    </row>
    <row r="5127">
      <c r="A5127" s="3">
        <v>537.0</v>
      </c>
      <c r="B5127" s="3" t="s">
        <v>8148</v>
      </c>
      <c r="C5127" s="3" t="s">
        <v>8149</v>
      </c>
      <c r="D5127" s="3" t="s">
        <v>9856</v>
      </c>
      <c r="E5127" s="3" t="s">
        <v>8531</v>
      </c>
      <c r="F5127" s="3" t="s">
        <v>8532</v>
      </c>
      <c r="G5127" s="3" t="s">
        <v>9857</v>
      </c>
    </row>
    <row r="5128">
      <c r="A5128" s="3">
        <v>538.0</v>
      </c>
      <c r="B5128" s="3" t="s">
        <v>8148</v>
      </c>
      <c r="C5128" s="3" t="s">
        <v>8149</v>
      </c>
      <c r="D5128" s="3" t="s">
        <v>9858</v>
      </c>
      <c r="E5128" s="3" t="s">
        <v>9859</v>
      </c>
      <c r="F5128" s="3" t="s">
        <v>9860</v>
      </c>
      <c r="G5128" s="3" t="str">
        <f>IFERROR(__xludf.DUMMYFUNCTION("GOOGLETRANSLATE(D5128,""ja"",""es"")"),"¿Lo es?")</f>
        <v>¿Lo es?</v>
      </c>
      <c r="H5128" s="3" t="s">
        <v>9861</v>
      </c>
    </row>
    <row r="5129">
      <c r="A5129" s="3">
        <v>539.0</v>
      </c>
      <c r="B5129" s="3" t="s">
        <v>8148</v>
      </c>
      <c r="C5129" s="3" t="s">
        <v>8149</v>
      </c>
      <c r="D5129" s="3" t="s">
        <v>9862</v>
      </c>
      <c r="E5129" s="3" t="s">
        <v>9863</v>
      </c>
      <c r="F5129" s="3" t="s">
        <v>9864</v>
      </c>
      <c r="G5129" s="3" t="str">
        <f>IFERROR(__xludf.DUMMYFUNCTION("GOOGLETRANSLATE(D5129,""ja"",""es"")"),"De alguna manera")</f>
        <v>De alguna manera</v>
      </c>
    </row>
    <row r="5130">
      <c r="A5130" s="3">
        <v>540.0</v>
      </c>
      <c r="B5130" s="3" t="s">
        <v>8148</v>
      </c>
      <c r="C5130" s="3" t="s">
        <v>8149</v>
      </c>
      <c r="D5130" s="3" t="s">
        <v>9865</v>
      </c>
      <c r="E5130" s="3" t="s">
        <v>9859</v>
      </c>
      <c r="F5130" s="3" t="s">
        <v>9860</v>
      </c>
      <c r="G5130" s="3" t="str">
        <f>IFERROR(__xludf.DUMMYFUNCTION("GOOGLETRANSLATE(D5130,""ja"",""es"")"),"Estar en su lugar")</f>
        <v>Estar en su lugar</v>
      </c>
      <c r="H5130" s="3" t="s">
        <v>9861</v>
      </c>
    </row>
    <row r="5131">
      <c r="A5131" s="3">
        <v>541.0</v>
      </c>
      <c r="B5131" s="3" t="s">
        <v>8148</v>
      </c>
      <c r="C5131" s="3" t="s">
        <v>8149</v>
      </c>
      <c r="D5131" s="3" t="s">
        <v>9866</v>
      </c>
      <c r="E5131" s="3" t="s">
        <v>9859</v>
      </c>
      <c r="F5131" s="3" t="s">
        <v>9860</v>
      </c>
      <c r="G5131" s="3" t="str">
        <f>IFERROR(__xludf.DUMMYFUNCTION("GOOGLETRANSLATE(D5131,""ja"",""es"")"),"Lugar")</f>
        <v>Lugar</v>
      </c>
      <c r="H5131" s="3" t="s">
        <v>9861</v>
      </c>
    </row>
    <row r="5132">
      <c r="A5132" s="3">
        <v>542.0</v>
      </c>
      <c r="B5132" s="3" t="s">
        <v>8148</v>
      </c>
      <c r="C5132" s="3" t="s">
        <v>8149</v>
      </c>
      <c r="D5132" s="3" t="s">
        <v>9867</v>
      </c>
      <c r="E5132" s="3" t="s">
        <v>8178</v>
      </c>
      <c r="F5132" s="3" t="s">
        <v>8179</v>
      </c>
      <c r="G5132" s="3" t="str">
        <f>IFERROR(__xludf.DUMMYFUNCTION("GOOGLETRANSLATE(D5132,""ja"",""es"")"),"Forma de ser")</f>
        <v>Forma de ser</v>
      </c>
      <c r="H5132" s="3" t="s">
        <v>8180</v>
      </c>
    </row>
    <row r="5133">
      <c r="A5133" s="3">
        <v>543.0</v>
      </c>
      <c r="B5133" s="3" t="s">
        <v>8148</v>
      </c>
      <c r="C5133" s="3" t="s">
        <v>8149</v>
      </c>
      <c r="D5133" s="3" t="s">
        <v>9868</v>
      </c>
      <c r="E5133" s="3" t="s">
        <v>9863</v>
      </c>
      <c r="F5133" s="3" t="s">
        <v>9864</v>
      </c>
      <c r="G5133" s="3" t="s">
        <v>9869</v>
      </c>
      <c r="H5133" s="3" t="s">
        <v>9870</v>
      </c>
      <c r="I5133" s="3" t="s">
        <v>9871</v>
      </c>
      <c r="J5133" s="3" t="s">
        <v>9872</v>
      </c>
      <c r="K5133" s="3" t="s">
        <v>9871</v>
      </c>
      <c r="L5133" s="3" t="s">
        <v>9873</v>
      </c>
    </row>
    <row r="5134">
      <c r="A5134" s="3">
        <v>544.0</v>
      </c>
      <c r="B5134" s="3" t="s">
        <v>8148</v>
      </c>
      <c r="C5134" s="3" t="s">
        <v>8149</v>
      </c>
      <c r="D5134" s="3" t="s">
        <v>9874</v>
      </c>
      <c r="E5134" s="3" t="s">
        <v>9863</v>
      </c>
      <c r="F5134" s="3" t="s">
        <v>9864</v>
      </c>
      <c r="G5134" s="3" t="s">
        <v>9875</v>
      </c>
      <c r="H5134" s="3" t="s">
        <v>9871</v>
      </c>
    </row>
    <row r="5135">
      <c r="A5135" s="3">
        <v>545.0</v>
      </c>
      <c r="B5135" s="3" t="s">
        <v>8148</v>
      </c>
      <c r="C5135" s="3" t="s">
        <v>8149</v>
      </c>
      <c r="D5135" s="3" t="s">
        <v>9876</v>
      </c>
      <c r="E5135" s="3" t="s">
        <v>9859</v>
      </c>
      <c r="F5135" s="3" t="s">
        <v>9860</v>
      </c>
      <c r="G5135" s="3" t="str">
        <f>IFERROR(__xludf.DUMMYFUNCTION("GOOGLETRANSLATE(D5135,""ja"",""es"")"),"Presencia")</f>
        <v>Presencia</v>
      </c>
      <c r="H5135" s="3" t="s">
        <v>9645</v>
      </c>
      <c r="I5135" s="3" t="s">
        <v>9877</v>
      </c>
      <c r="J5135" s="3" t="s">
        <v>9861</v>
      </c>
    </row>
    <row r="5136">
      <c r="A5136" s="3">
        <v>546.0</v>
      </c>
      <c r="B5136" s="3" t="s">
        <v>8148</v>
      </c>
      <c r="C5136" s="3" t="s">
        <v>8149</v>
      </c>
      <c r="D5136" s="3" t="s">
        <v>9878</v>
      </c>
      <c r="E5136" s="3" t="s">
        <v>5493</v>
      </c>
      <c r="F5136" s="3" t="s">
        <v>5494</v>
      </c>
      <c r="G5136" s="3" t="str">
        <f>IFERROR(__xludf.DUMMYFUNCTION("GOOGLETRANSLATE(D5136,""ja"",""es"")"),"Pendiente")</f>
        <v>Pendiente</v>
      </c>
      <c r="H5136" s="3" t="s">
        <v>8968</v>
      </c>
      <c r="I5136" s="3" t="s">
        <v>9879</v>
      </c>
      <c r="J5136" s="3" t="s">
        <v>9880</v>
      </c>
      <c r="K5136" s="3" t="s">
        <v>9881</v>
      </c>
      <c r="L5136" s="3" t="s">
        <v>9882</v>
      </c>
    </row>
    <row r="5137">
      <c r="A5137" s="3">
        <v>547.0</v>
      </c>
      <c r="B5137" s="3" t="s">
        <v>8148</v>
      </c>
      <c r="C5137" s="3" t="s">
        <v>8149</v>
      </c>
      <c r="D5137" s="3" t="s">
        <v>9883</v>
      </c>
      <c r="E5137" s="3" t="s">
        <v>5493</v>
      </c>
      <c r="F5137" s="3" t="s">
        <v>5494</v>
      </c>
      <c r="G5137" s="3" t="str">
        <f>IFERROR(__xludf.DUMMYFUNCTION("GOOGLETRANSLATE(D5137,""ja"",""es"")"),"Osaka")</f>
        <v>Osaka</v>
      </c>
    </row>
    <row r="5138">
      <c r="A5138" s="3">
        <v>548.0</v>
      </c>
      <c r="B5138" s="3" t="s">
        <v>8148</v>
      </c>
      <c r="C5138" s="3" t="s">
        <v>8149</v>
      </c>
      <c r="D5138" s="3" t="s">
        <v>9884</v>
      </c>
      <c r="E5138" s="3" t="s">
        <v>9658</v>
      </c>
      <c r="F5138" s="3" t="s">
        <v>9659</v>
      </c>
      <c r="G5138" s="3" t="str">
        <f>IFERROR(__xludf.DUMMYFUNCTION("GOOGLETRANSLATE(D5138,""ja"",""es"")"),"Sakaki")</f>
        <v>Sakaki</v>
      </c>
    </row>
    <row r="5139">
      <c r="A5139" s="3">
        <v>549.0</v>
      </c>
      <c r="B5139" s="3" t="s">
        <v>8148</v>
      </c>
      <c r="C5139" s="3" t="s">
        <v>8149</v>
      </c>
      <c r="D5139" s="3" t="s">
        <v>9885</v>
      </c>
      <c r="E5139" s="3" t="s">
        <v>9886</v>
      </c>
      <c r="F5139" s="3" t="s">
        <v>9887</v>
      </c>
      <c r="G5139" s="3" t="str">
        <f>IFERROR(__xludf.DUMMYFUNCTION("GOOGLETRANSLATE(D5139,""ja"",""es"")"),"Aperitivo")</f>
        <v>Aperitivo</v>
      </c>
    </row>
    <row r="5140">
      <c r="A5140" s="3">
        <v>550.0</v>
      </c>
      <c r="B5140" s="3" t="s">
        <v>8148</v>
      </c>
      <c r="C5140" s="3" t="s">
        <v>8149</v>
      </c>
      <c r="D5140" s="3" t="s">
        <v>9888</v>
      </c>
      <c r="E5140" s="3" t="s">
        <v>9836</v>
      </c>
      <c r="F5140" s="3" t="s">
        <v>9837</v>
      </c>
      <c r="G5140" s="3" t="str">
        <f>IFERROR(__xludf.DUMMYFUNCTION("GOOGLETRANSLATE(D5140,""ja"",""es"")"),"Cobertizo")</f>
        <v>Cobertizo</v>
      </c>
      <c r="H5140" s="3" t="s">
        <v>1269</v>
      </c>
      <c r="I5140" s="3" t="s">
        <v>1271</v>
      </c>
      <c r="J5140" s="3" t="s">
        <v>1272</v>
      </c>
      <c r="K5140" s="3" t="s">
        <v>1273</v>
      </c>
      <c r="L5140" s="3" t="s">
        <v>1274</v>
      </c>
      <c r="M5140" s="3" t="s">
        <v>1275</v>
      </c>
    </row>
    <row r="5141">
      <c r="A5141" s="3">
        <v>551.0</v>
      </c>
      <c r="B5141" s="3" t="s">
        <v>8148</v>
      </c>
      <c r="C5141" s="3" t="s">
        <v>8149</v>
      </c>
      <c r="D5141" s="3" t="s">
        <v>9889</v>
      </c>
      <c r="E5141" s="3" t="s">
        <v>9836</v>
      </c>
      <c r="F5141" s="3" t="s">
        <v>9837</v>
      </c>
      <c r="G5141" s="3" t="str">
        <f>IFERROR(__xludf.DUMMYFUNCTION("GOOGLETRANSLATE(D5141,""ja"",""es"")"),"Arce")</f>
        <v>Arce</v>
      </c>
      <c r="H5141" s="3" t="s">
        <v>1269</v>
      </c>
      <c r="I5141" s="3" t="s">
        <v>1271</v>
      </c>
      <c r="J5141" s="3" t="s">
        <v>1272</v>
      </c>
      <c r="K5141" s="3" t="s">
        <v>1273</v>
      </c>
      <c r="L5141" s="3" t="s">
        <v>1274</v>
      </c>
      <c r="M5141" s="3" t="s">
        <v>1275</v>
      </c>
    </row>
    <row r="5142">
      <c r="A5142" s="3">
        <v>552.0</v>
      </c>
      <c r="B5142" s="3" t="s">
        <v>8148</v>
      </c>
      <c r="C5142" s="3" t="s">
        <v>8149</v>
      </c>
      <c r="D5142" s="3" t="s">
        <v>9890</v>
      </c>
      <c r="E5142" s="3" t="s">
        <v>1437</v>
      </c>
      <c r="F5142" s="3" t="s">
        <v>1438</v>
      </c>
      <c r="G5142" s="3" t="str">
        <f>IFERROR(__xludf.DUMMYFUNCTION("GOOGLETRANSLATE(D5142,""ja"",""es"")"),"Hierba de bambú")</f>
        <v>Hierba de bambú</v>
      </c>
    </row>
    <row r="5143">
      <c r="A5143" s="3">
        <v>553.0</v>
      </c>
      <c r="B5143" s="3" t="s">
        <v>8148</v>
      </c>
      <c r="C5143" s="3" t="s">
        <v>8149</v>
      </c>
      <c r="D5143" s="3" t="s">
        <v>9891</v>
      </c>
      <c r="E5143" s="3" t="s">
        <v>8278</v>
      </c>
      <c r="F5143" s="3" t="s">
        <v>8279</v>
      </c>
      <c r="G5143" s="3" t="str">
        <f>IFERROR(__xludf.DUMMYFUNCTION("GOOGLETRANSLATE(D5143,""ja"",""es"")"),"Hombre de bambú")</f>
        <v>Hombre de bambú</v>
      </c>
    </row>
    <row r="5144">
      <c r="A5144" s="3">
        <v>554.0</v>
      </c>
      <c r="B5144" s="3" t="s">
        <v>8148</v>
      </c>
      <c r="C5144" s="3" t="s">
        <v>8149</v>
      </c>
      <c r="D5144" s="3" t="s">
        <v>9892</v>
      </c>
      <c r="E5144" s="3" t="s">
        <v>9893</v>
      </c>
      <c r="F5144" s="3" t="s">
        <v>9894</v>
      </c>
      <c r="G5144" s="3" t="str">
        <f>IFERROR(__xludf.DUMMYFUNCTION("GOOGLETRANSLATE(D5144,""ja"",""es"")"),"Bambú llorando")</f>
        <v>Bambú llorando</v>
      </c>
    </row>
    <row r="5145">
      <c r="A5145" s="3">
        <v>555.0</v>
      </c>
      <c r="B5145" s="3" t="s">
        <v>8148</v>
      </c>
      <c r="C5145" s="3" t="s">
        <v>8149</v>
      </c>
      <c r="D5145" s="3" t="s">
        <v>9895</v>
      </c>
      <c r="E5145" s="3" t="s">
        <v>8644</v>
      </c>
      <c r="F5145" s="3" t="s">
        <v>8645</v>
      </c>
      <c r="G5145" s="3" t="str">
        <f>IFERROR(__xludf.DUMMYFUNCTION("GOOGLETRANSLATE(D5145,""ja"",""es"")"),"lámina")</f>
        <v>lámina</v>
      </c>
      <c r="H5145" s="3" t="s">
        <v>4805</v>
      </c>
      <c r="I5145" s="3" t="s">
        <v>6033</v>
      </c>
      <c r="J5145" s="3" t="s">
        <v>6034</v>
      </c>
      <c r="K5145" s="3" t="s">
        <v>9896</v>
      </c>
      <c r="L5145" s="3" t="s">
        <v>9897</v>
      </c>
      <c r="M5145" s="3" t="s">
        <v>9898</v>
      </c>
      <c r="N5145" s="3" t="s">
        <v>3027</v>
      </c>
      <c r="O5145" s="3" t="s">
        <v>6033</v>
      </c>
      <c r="P5145" s="3" t="s">
        <v>6034</v>
      </c>
      <c r="Q5145" s="3" t="s">
        <v>6030</v>
      </c>
    </row>
    <row r="5146">
      <c r="A5146" s="3">
        <v>556.0</v>
      </c>
      <c r="B5146" s="3" t="s">
        <v>8148</v>
      </c>
      <c r="C5146" s="3" t="s">
        <v>8149</v>
      </c>
      <c r="D5146" s="3" t="s">
        <v>9899</v>
      </c>
      <c r="E5146" s="3" t="s">
        <v>9900</v>
      </c>
      <c r="F5146" s="3" t="s">
        <v>9901</v>
      </c>
      <c r="G5146" s="3" t="str">
        <f>IFERROR(__xludf.DUMMYFUNCTION("GOOGLETRANSLATE(D5146,""ja"",""es"")"),"Tres sabores")</f>
        <v>Tres sabores</v>
      </c>
    </row>
    <row r="5147">
      <c r="A5147" s="3">
        <v>557.0</v>
      </c>
      <c r="B5147" s="3" t="s">
        <v>8148</v>
      </c>
      <c r="C5147" s="3" t="s">
        <v>8149</v>
      </c>
      <c r="D5147" s="3" t="s">
        <v>9902</v>
      </c>
      <c r="E5147" s="3" t="s">
        <v>8663</v>
      </c>
      <c r="F5147" s="3" t="s">
        <v>8664</v>
      </c>
      <c r="G5147" s="3" t="str">
        <f>IFERROR(__xludf.DUMMYFUNCTION("GOOGLETRANSLATE(D5147,""ja"",""es"")"),"Suelo de Sanwa")</f>
        <v>Suelo de Sanwa</v>
      </c>
    </row>
    <row r="5148">
      <c r="A5148" s="3">
        <v>558.0</v>
      </c>
      <c r="B5148" s="3" t="s">
        <v>8148</v>
      </c>
      <c r="C5148" s="3" t="s">
        <v>8149</v>
      </c>
      <c r="D5148" s="3" t="s">
        <v>9903</v>
      </c>
      <c r="E5148" s="3" t="s">
        <v>9904</v>
      </c>
      <c r="F5148" s="3" t="s">
        <v>9905</v>
      </c>
      <c r="G5148" s="3" t="str">
        <f>IFERROR(__xludf.DUMMYFUNCTION("GOOGLETRANSLATE(D5148,""ja"",""es"")"),"Sombrilla")</f>
        <v>Sombrilla</v>
      </c>
    </row>
    <row r="5149">
      <c r="A5149" s="3">
        <v>559.0</v>
      </c>
      <c r="B5149" s="3" t="s">
        <v>8148</v>
      </c>
      <c r="C5149" s="3" t="s">
        <v>8149</v>
      </c>
      <c r="D5149" s="3" t="s">
        <v>9906</v>
      </c>
      <c r="E5149" s="3" t="s">
        <v>9907</v>
      </c>
      <c r="F5149" s="3" t="s">
        <v>9908</v>
      </c>
      <c r="G5149" s="3" t="str">
        <f>IFERROR(__xludf.DUMMYFUNCTION("GOOGLETRANSLATE(D5149,""ja"",""es"")"),"tienda de paraguas")</f>
        <v>tienda de paraguas</v>
      </c>
    </row>
    <row r="5150">
      <c r="A5150" s="3">
        <v>560.0</v>
      </c>
      <c r="B5150" s="3" t="s">
        <v>8148</v>
      </c>
      <c r="C5150" s="3" t="s">
        <v>8149</v>
      </c>
      <c r="D5150" s="3" t="s">
        <v>9909</v>
      </c>
      <c r="E5150" s="3" t="s">
        <v>9904</v>
      </c>
      <c r="F5150" s="3" t="s">
        <v>9905</v>
      </c>
      <c r="G5150" s="3" t="str">
        <f>IFERROR(__xludf.DUMMYFUNCTION("GOOGLETRANSLATE(D5150,""ja"",""es"")"),"TA -UMBRella")</f>
        <v>TA -UMBRella</v>
      </c>
    </row>
    <row r="5151">
      <c r="A5151" s="3">
        <v>561.0</v>
      </c>
      <c r="B5151" s="3" t="s">
        <v>8148</v>
      </c>
      <c r="C5151" s="3" t="s">
        <v>8149</v>
      </c>
      <c r="D5151" s="3" t="s">
        <v>9910</v>
      </c>
      <c r="E5151" s="3" t="s">
        <v>9904</v>
      </c>
      <c r="F5151" s="3" t="s">
        <v>9905</v>
      </c>
      <c r="G5151" s="3" t="str">
        <f>IFERROR(__xludf.DUMMYFUNCTION("GOOGLETRANSLATE(D5151,""ja"",""es"")"),"Paraguas")</f>
        <v>Paraguas</v>
      </c>
    </row>
    <row r="5152">
      <c r="A5152" s="3">
        <v>562.0</v>
      </c>
      <c r="B5152" s="3" t="s">
        <v>8148</v>
      </c>
      <c r="C5152" s="3" t="s">
        <v>8149</v>
      </c>
      <c r="D5152" s="3" t="s">
        <v>9911</v>
      </c>
      <c r="E5152" s="3" t="s">
        <v>9912</v>
      </c>
      <c r="F5152" s="3" t="s">
        <v>9913</v>
      </c>
      <c r="G5152" s="3" t="str">
        <f>IFERROR(__xludf.DUMMYFUNCTION("GOOGLETRANSLATE(D5152,""ja"",""es"")"),"Muchas montañas de")</f>
        <v>Muchas montañas de</v>
      </c>
    </row>
    <row r="5153">
      <c r="A5153" s="3">
        <v>563.0</v>
      </c>
      <c r="B5153" s="3" t="s">
        <v>8148</v>
      </c>
      <c r="C5153" s="3" t="s">
        <v>8149</v>
      </c>
      <c r="D5153" s="3" t="s">
        <v>9914</v>
      </c>
      <c r="E5153" s="3" t="s">
        <v>9915</v>
      </c>
      <c r="F5153" s="3" t="s">
        <v>9916</v>
      </c>
      <c r="G5153" s="3" t="str">
        <f>IFERROR(__xludf.DUMMYFUNCTION("GOOGLETRANSLATE(D5153,""ja"",""es"")"),"Montañas")</f>
        <v>Montañas</v>
      </c>
      <c r="H5153" s="3" t="s">
        <v>9917</v>
      </c>
      <c r="I5153" s="3" t="s">
        <v>9918</v>
      </c>
      <c r="J5153" s="3" t="s">
        <v>9919</v>
      </c>
      <c r="K5153" s="3" t="s">
        <v>1492</v>
      </c>
      <c r="L5153" s="3" t="s">
        <v>9920</v>
      </c>
      <c r="M5153" s="3" t="s">
        <v>9921</v>
      </c>
    </row>
    <row r="5154">
      <c r="A5154" s="3">
        <v>564.0</v>
      </c>
      <c r="B5154" s="3" t="s">
        <v>8148</v>
      </c>
      <c r="C5154" s="3" t="s">
        <v>8149</v>
      </c>
      <c r="D5154" s="3" t="s">
        <v>9922</v>
      </c>
      <c r="E5154" s="3" t="s">
        <v>9923</v>
      </c>
      <c r="F5154" s="3" t="s">
        <v>9924</v>
      </c>
      <c r="G5154" s="3" t="str">
        <f>IFERROR(__xludf.DUMMYFUNCTION("GOOGLETRANSLATE(D5154,""ja"",""es"")"),"Montaña")</f>
        <v>Montaña</v>
      </c>
    </row>
    <row r="5155">
      <c r="A5155" s="3">
        <v>565.0</v>
      </c>
      <c r="B5155" s="3" t="s">
        <v>8148</v>
      </c>
      <c r="C5155" s="3" t="s">
        <v>8149</v>
      </c>
      <c r="D5155" s="3" t="s">
        <v>9925</v>
      </c>
      <c r="E5155" s="3" t="s">
        <v>9926</v>
      </c>
      <c r="F5155" s="3" t="s">
        <v>9927</v>
      </c>
      <c r="G5155" s="3" t="str">
        <f>IFERROR(__xludf.DUMMYFUNCTION("GOOGLETRANSLATE(D5155,""ja"",""es"")"),"Escuela Yamazaki")</f>
        <v>Escuela Yamazaki</v>
      </c>
    </row>
    <row r="5156">
      <c r="A5156" s="3">
        <v>566.0</v>
      </c>
      <c r="B5156" s="3" t="s">
        <v>8148</v>
      </c>
      <c r="C5156" s="3" t="s">
        <v>8149</v>
      </c>
      <c r="D5156" s="3" t="s">
        <v>9928</v>
      </c>
      <c r="E5156" s="3" t="s">
        <v>9912</v>
      </c>
      <c r="F5156" s="3" t="s">
        <v>9913</v>
      </c>
      <c r="G5156" s="3" t="str">
        <f>IFERROR(__xludf.DUMMYFUNCTION("GOOGLETRANSLATE(D5156,""ja"",""es"")"),"Montaña montaña")</f>
        <v>Montaña montaña</v>
      </c>
      <c r="H5156" s="3" t="s">
        <v>9929</v>
      </c>
      <c r="I5156" s="3" t="s">
        <v>9930</v>
      </c>
      <c r="J5156" s="3" t="s">
        <v>9931</v>
      </c>
      <c r="K5156" s="3" t="s">
        <v>9932</v>
      </c>
    </row>
    <row r="5157">
      <c r="A5157" s="3">
        <v>567.0</v>
      </c>
      <c r="B5157" s="3" t="s">
        <v>8148</v>
      </c>
      <c r="C5157" s="3" t="s">
        <v>8149</v>
      </c>
      <c r="D5157" s="3" t="s">
        <v>9933</v>
      </c>
      <c r="E5157" s="3" t="s">
        <v>9934</v>
      </c>
      <c r="F5157" s="3" t="s">
        <v>9935</v>
      </c>
      <c r="G5157" s="3" t="str">
        <f>IFERROR(__xludf.DUMMYFUNCTION("GOOGLETRANSLATE(D5157,""ja"",""es"")"),"Asado")</f>
        <v>Asado</v>
      </c>
    </row>
    <row r="5158">
      <c r="A5158" s="3">
        <v>568.0</v>
      </c>
      <c r="B5158" s="3" t="s">
        <v>8148</v>
      </c>
      <c r="C5158" s="3" t="s">
        <v>8149</v>
      </c>
      <c r="D5158" s="3" t="s">
        <v>9936</v>
      </c>
      <c r="E5158" s="3" t="s">
        <v>9937</v>
      </c>
      <c r="F5158" s="3" t="s">
        <v>9938</v>
      </c>
      <c r="G5158" s="3" t="str">
        <f>IFERROR(__xludf.DUMMYFUNCTION("GOOGLETRANSLATE(D5158,""ja"",""es"")"),"Campo de montaña")</f>
        <v>Campo de montaña</v>
      </c>
    </row>
    <row r="5159">
      <c r="A5159" s="3">
        <v>569.0</v>
      </c>
      <c r="B5159" s="3" t="s">
        <v>8148</v>
      </c>
      <c r="C5159" s="3" t="s">
        <v>8149</v>
      </c>
      <c r="D5159" s="3" t="s">
        <v>9939</v>
      </c>
      <c r="E5159" s="3" t="s">
        <v>9915</v>
      </c>
      <c r="F5159" s="3" t="s">
        <v>9916</v>
      </c>
      <c r="G5159" s="3" t="str">
        <f>IFERROR(__xludf.DUMMYFUNCTION("GOOGLETRANSLATE(D5159,""ja"",""es"")"),"Montañas")</f>
        <v>Montañas</v>
      </c>
      <c r="H5159" s="3" t="s">
        <v>9917</v>
      </c>
      <c r="I5159" s="3" t="s">
        <v>9918</v>
      </c>
      <c r="J5159" s="3" t="s">
        <v>9919</v>
      </c>
      <c r="K5159" s="3" t="s">
        <v>1492</v>
      </c>
      <c r="L5159" s="3" t="s">
        <v>9920</v>
      </c>
      <c r="M5159" s="3" t="s">
        <v>9921</v>
      </c>
    </row>
    <row r="5160">
      <c r="A5160" s="3">
        <v>570.0</v>
      </c>
      <c r="B5160" s="3" t="s">
        <v>8148</v>
      </c>
      <c r="C5160" s="3" t="s">
        <v>8149</v>
      </c>
      <c r="D5160" s="3" t="s">
        <v>9940</v>
      </c>
      <c r="E5160" s="3" t="s">
        <v>9923</v>
      </c>
      <c r="F5160" s="3" t="s">
        <v>9924</v>
      </c>
      <c r="G5160" s="3" t="str">
        <f>IFERROR(__xludf.DUMMYFUNCTION("GOOGLETRANSLATE(D5160,""ja"",""es"")"),"Colina")</f>
        <v>Colina</v>
      </c>
    </row>
    <row r="5161">
      <c r="A5161" s="3">
        <v>571.0</v>
      </c>
      <c r="B5161" s="3" t="s">
        <v>8148</v>
      </c>
      <c r="C5161" s="3" t="s">
        <v>8149</v>
      </c>
      <c r="D5161" s="3" t="s">
        <v>9941</v>
      </c>
      <c r="E5161" s="3" t="s">
        <v>9942</v>
      </c>
      <c r="F5161" s="3" t="s">
        <v>9943</v>
      </c>
      <c r="G5161" s="3" t="str">
        <f>IFERROR(__xludf.DUMMYFUNCTION("GOOGLETRANSLATE(D5161,""ja"",""es"")"),"Papelería")</f>
        <v>Papelería</v>
      </c>
    </row>
    <row r="5162">
      <c r="A5162" s="3">
        <v>572.0</v>
      </c>
      <c r="B5162" s="3" t="s">
        <v>8148</v>
      </c>
      <c r="C5162" s="3" t="s">
        <v>8149</v>
      </c>
      <c r="D5162" s="3" t="s">
        <v>9944</v>
      </c>
      <c r="E5162" s="3" t="s">
        <v>9945</v>
      </c>
      <c r="F5162" s="3" t="s">
        <v>9946</v>
      </c>
      <c r="G5162" s="3" t="str">
        <f>IFERROR(__xludf.DUMMYFUNCTION("GOOGLETRANSLATE(D5162,""ja"",""es"")"),"Dibujo")</f>
        <v>Dibujo</v>
      </c>
      <c r="H5162" s="3" t="s">
        <v>9947</v>
      </c>
      <c r="I5162" s="3" t="s">
        <v>9948</v>
      </c>
      <c r="J5162" s="3" t="s">
        <v>9949</v>
      </c>
      <c r="K5162" s="3" t="s">
        <v>9950</v>
      </c>
      <c r="L5162" s="3" t="s">
        <v>9951</v>
      </c>
    </row>
    <row r="5163">
      <c r="A5163" s="3">
        <v>573.0</v>
      </c>
      <c r="B5163" s="3" t="s">
        <v>8148</v>
      </c>
      <c r="C5163" s="3" t="s">
        <v>8149</v>
      </c>
      <c r="D5163" s="3" t="s">
        <v>9952</v>
      </c>
      <c r="E5163" s="3" t="s">
        <v>9945</v>
      </c>
      <c r="F5163" s="3" t="s">
        <v>9946</v>
      </c>
      <c r="G5163" s="3" t="str">
        <f>IFERROR(__xludf.DUMMYFUNCTION("GOOGLETRANSLATE(D5163,""ja"",""es"")"),"Rollo de papel")</f>
        <v>Rollo de papel</v>
      </c>
      <c r="H5163" s="3" t="s">
        <v>9947</v>
      </c>
      <c r="I5163" s="3" t="s">
        <v>9948</v>
      </c>
      <c r="J5163" s="3" t="s">
        <v>9949</v>
      </c>
      <c r="K5163" s="3" t="s">
        <v>9950</v>
      </c>
      <c r="L5163" s="3" t="s">
        <v>9951</v>
      </c>
    </row>
    <row r="5164">
      <c r="A5164" s="3">
        <v>574.0</v>
      </c>
      <c r="B5164" s="3" t="s">
        <v>8148</v>
      </c>
      <c r="C5164" s="3" t="s">
        <v>8149</v>
      </c>
      <c r="D5164" s="3" t="s">
        <v>9953</v>
      </c>
      <c r="E5164" s="3" t="s">
        <v>9954</v>
      </c>
      <c r="F5164" s="3" t="s">
        <v>9955</v>
      </c>
      <c r="G5164" s="3" t="str">
        <f>IFERROR(__xludf.DUMMYFUNCTION("GOOGLETRANSLATE(D5164,""ja"",""es"")"),"Corte de papel")</f>
        <v>Corte de papel</v>
      </c>
    </row>
    <row r="5165">
      <c r="A5165" s="3">
        <v>575.0</v>
      </c>
      <c r="B5165" s="3" t="s">
        <v>8148</v>
      </c>
      <c r="C5165" s="3" t="s">
        <v>8149</v>
      </c>
      <c r="D5165" s="3" t="s">
        <v>9956</v>
      </c>
      <c r="E5165" s="3" t="s">
        <v>9957</v>
      </c>
      <c r="F5165" s="3" t="s">
        <v>9958</v>
      </c>
      <c r="G5165" s="3" t="str">
        <f>IFERROR(__xludf.DUMMYFUNCTION("GOOGLETRANSLATE(D5165,""ja"",""es"")"),"Rango")</f>
        <v>Rango</v>
      </c>
      <c r="H5165" s="3" t="s">
        <v>1949</v>
      </c>
      <c r="I5165" s="3" t="s">
        <v>9959</v>
      </c>
      <c r="J5165" s="3" t="s">
        <v>9960</v>
      </c>
      <c r="K5165" s="3" t="s">
        <v>9961</v>
      </c>
      <c r="L5165" s="3" t="s">
        <v>9962</v>
      </c>
      <c r="M5165" s="3" t="s">
        <v>9963</v>
      </c>
      <c r="N5165" s="3" t="s">
        <v>6944</v>
      </c>
      <c r="O5165" s="3" t="s">
        <v>9964</v>
      </c>
      <c r="P5165" s="3" t="s">
        <v>9965</v>
      </c>
    </row>
    <row r="5166">
      <c r="A5166" s="3">
        <v>576.0</v>
      </c>
      <c r="B5166" s="3" t="s">
        <v>8148</v>
      </c>
      <c r="C5166" s="3" t="s">
        <v>8149</v>
      </c>
      <c r="D5166" s="3" t="s">
        <v>9966</v>
      </c>
      <c r="E5166" s="3" t="s">
        <v>9145</v>
      </c>
      <c r="F5166" s="3" t="s">
        <v>9146</v>
      </c>
      <c r="G5166" s="3" t="str">
        <f>IFERROR(__xludf.DUMMYFUNCTION("GOOGLETRANSLATE(D5166,""ja"",""es"")"),"hilera de dientes")</f>
        <v>hilera de dientes</v>
      </c>
    </row>
    <row r="5167">
      <c r="A5167" s="3">
        <v>577.0</v>
      </c>
      <c r="B5167" s="3" t="s">
        <v>8148</v>
      </c>
      <c r="C5167" s="3" t="s">
        <v>8149</v>
      </c>
      <c r="D5167" s="3" t="s">
        <v>9967</v>
      </c>
      <c r="E5167" s="3" t="s">
        <v>4188</v>
      </c>
      <c r="F5167" s="3" t="s">
        <v>4187</v>
      </c>
      <c r="G5167" s="3" t="str">
        <f>IFERROR(__xludf.DUMMYFUNCTION("GOOGLETRANSLATE(D5167,""ja"",""es"")"),"Semejanza")</f>
        <v>Semejanza</v>
      </c>
    </row>
    <row r="5168">
      <c r="A5168" s="3">
        <v>578.0</v>
      </c>
      <c r="B5168" s="3" t="s">
        <v>8148</v>
      </c>
      <c r="C5168" s="3" t="s">
        <v>8149</v>
      </c>
      <c r="D5168" s="3" t="s">
        <v>9968</v>
      </c>
      <c r="E5168" s="3" t="s">
        <v>8333</v>
      </c>
      <c r="F5168" s="3" t="s">
        <v>8334</v>
      </c>
      <c r="G5168" s="3" t="str">
        <f>IFERROR(__xludf.DUMMYFUNCTION("GOOGLETRANSLATE(D5168,""ja"",""es"")"),"Semejanza")</f>
        <v>Semejanza</v>
      </c>
      <c r="H5168" s="3" t="s">
        <v>9969</v>
      </c>
    </row>
    <row r="5169">
      <c r="A5169" s="3">
        <v>579.0</v>
      </c>
      <c r="B5169" s="3" t="s">
        <v>8148</v>
      </c>
      <c r="C5169" s="3" t="s">
        <v>8149</v>
      </c>
      <c r="D5169" s="3" t="s">
        <v>9970</v>
      </c>
      <c r="E5169" s="3" t="s">
        <v>7389</v>
      </c>
      <c r="F5169" s="3" t="s">
        <v>3790</v>
      </c>
      <c r="G5169" s="3" t="str">
        <f>IFERROR(__xludf.DUMMYFUNCTION("GOOGLETRANSLATE(D5169,""ja"",""es"")"),"oído")</f>
        <v>oído</v>
      </c>
      <c r="H5169" s="3" t="s">
        <v>9971</v>
      </c>
      <c r="I5169" s="3" t="s">
        <v>9972</v>
      </c>
      <c r="J5169" s="3" t="s">
        <v>9973</v>
      </c>
      <c r="K5169" s="3" t="s">
        <v>9974</v>
      </c>
      <c r="L5169" s="3" t="s">
        <v>9975</v>
      </c>
      <c r="M5169" s="3" t="s">
        <v>9973</v>
      </c>
    </row>
    <row r="5170">
      <c r="A5170" s="3">
        <v>580.0</v>
      </c>
      <c r="B5170" s="3" t="s">
        <v>8148</v>
      </c>
      <c r="C5170" s="3" t="s">
        <v>8149</v>
      </c>
      <c r="D5170" s="3" t="s">
        <v>9976</v>
      </c>
      <c r="E5170" s="3" t="s">
        <v>9977</v>
      </c>
      <c r="F5170" s="3" t="s">
        <v>9978</v>
      </c>
      <c r="G5170" s="3" t="str">
        <f>IFERROR(__xludf.DUMMYFUNCTION("GOOGLETRANSLATE(D5170,""ja"",""es"")"),"Auricular")</f>
        <v>Auricular</v>
      </c>
    </row>
    <row r="5171">
      <c r="A5171" s="3">
        <v>581.0</v>
      </c>
      <c r="B5171" s="3" t="s">
        <v>8148</v>
      </c>
      <c r="C5171" s="3" t="s">
        <v>8149</v>
      </c>
      <c r="D5171" s="3" t="s">
        <v>9979</v>
      </c>
      <c r="E5171" s="3" t="s">
        <v>9980</v>
      </c>
      <c r="F5171" s="3" t="s">
        <v>9981</v>
      </c>
      <c r="G5171" s="3" t="str">
        <f>IFERROR(__xludf.DUMMYFUNCTION("GOOGLETRANSLATE(D5171,""ja"",""es"")"),"Orejas")</f>
        <v>Orejas</v>
      </c>
    </row>
    <row r="5172">
      <c r="A5172" s="3">
        <v>582.0</v>
      </c>
      <c r="B5172" s="3" t="s">
        <v>8148</v>
      </c>
      <c r="C5172" s="3" t="s">
        <v>8149</v>
      </c>
      <c r="D5172" s="3" t="s">
        <v>9982</v>
      </c>
      <c r="E5172" s="3" t="s">
        <v>9977</v>
      </c>
      <c r="F5172" s="3" t="s">
        <v>9978</v>
      </c>
      <c r="G5172" s="3" t="str">
        <f>IFERROR(__xludf.DUMMYFUNCTION("GOOGLETRANSLATE(D5172,""ja"",""es"")"),"Auricular")</f>
        <v>Auricular</v>
      </c>
    </row>
    <row r="5173">
      <c r="A5173" s="3">
        <v>583.0</v>
      </c>
      <c r="B5173" s="3" t="s">
        <v>8148</v>
      </c>
      <c r="C5173" s="3" t="s">
        <v>8149</v>
      </c>
      <c r="D5173" s="3" t="s">
        <v>9983</v>
      </c>
      <c r="E5173" s="3" t="s">
        <v>9984</v>
      </c>
      <c r="F5173" s="3" t="s">
        <v>9985</v>
      </c>
      <c r="G5173" s="3" t="str">
        <f>IFERROR(__xludf.DUMMYFUNCTION("GOOGLETRANSLATE(D5173,""ja"",""es"")"),"Tinnitus")</f>
        <v>Tinnitus</v>
      </c>
      <c r="H5173" s="3" t="s">
        <v>9986</v>
      </c>
    </row>
    <row r="5174">
      <c r="A5174" s="3">
        <v>584.0</v>
      </c>
      <c r="B5174" s="3" t="s">
        <v>8148</v>
      </c>
      <c r="C5174" s="3" t="s">
        <v>8149</v>
      </c>
      <c r="D5174" s="3" t="s">
        <v>9987</v>
      </c>
      <c r="E5174" s="3" t="s">
        <v>4188</v>
      </c>
      <c r="F5174" s="3" t="s">
        <v>4187</v>
      </c>
      <c r="G5174" s="3" t="str">
        <f>IFERROR(__xludf.DUMMYFUNCTION("GOOGLETRANSLATE(D5174,""ja"",""es"")"),"Hervido")</f>
        <v>Hervido</v>
      </c>
    </row>
    <row r="5175">
      <c r="A5175" s="3">
        <v>585.0</v>
      </c>
      <c r="B5175" s="3" t="s">
        <v>8148</v>
      </c>
      <c r="C5175" s="3" t="s">
        <v>8149</v>
      </c>
      <c r="D5175" s="3" t="s">
        <v>9988</v>
      </c>
      <c r="E5175" s="3" t="s">
        <v>9989</v>
      </c>
      <c r="F5175" s="3" t="s">
        <v>9990</v>
      </c>
      <c r="G5175" s="3" t="str">
        <f>IFERROR(__xludf.DUMMYFUNCTION("GOOGLETRANSLATE(D5175,""ja"",""es"")"),"Hervido")</f>
        <v>Hervido</v>
      </c>
    </row>
    <row r="5176">
      <c r="A5176" s="3">
        <v>586.0</v>
      </c>
      <c r="B5176" s="3" t="s">
        <v>8148</v>
      </c>
      <c r="C5176" s="3" t="s">
        <v>8149</v>
      </c>
      <c r="D5176" s="3" t="s">
        <v>9991</v>
      </c>
      <c r="E5176" s="3" t="s">
        <v>9992</v>
      </c>
      <c r="F5176" s="3" t="s">
        <v>9993</v>
      </c>
      <c r="G5176" s="3" t="str">
        <f>IFERROR(__xludf.DUMMYFUNCTION("GOOGLETRANSLATE(D5176,""ja"",""es"")"),"Cocinando")</f>
        <v>Cocinando</v>
      </c>
      <c r="H5176" s="3" t="s">
        <v>9994</v>
      </c>
      <c r="I5176" s="3" t="s">
        <v>9995</v>
      </c>
      <c r="J5176" s="3" t="s">
        <v>6268</v>
      </c>
      <c r="K5176" s="3" t="s">
        <v>9996</v>
      </c>
    </row>
    <row r="5177">
      <c r="A5177" s="3">
        <v>587.0</v>
      </c>
      <c r="B5177" s="3" t="s">
        <v>8148</v>
      </c>
      <c r="C5177" s="3" t="s">
        <v>8149</v>
      </c>
      <c r="D5177" s="3" t="s">
        <v>9997</v>
      </c>
      <c r="E5177" s="3" t="s">
        <v>9989</v>
      </c>
      <c r="F5177" s="3" t="s">
        <v>9990</v>
      </c>
      <c r="G5177" s="3" t="str">
        <f>IFERROR(__xludf.DUMMYFUNCTION("GOOGLETRANSLATE(D5177,""ja"",""es"")"),"Hervido")</f>
        <v>Hervido</v>
      </c>
    </row>
    <row r="5178">
      <c r="A5178" s="3">
        <v>588.0</v>
      </c>
      <c r="B5178" s="3" t="s">
        <v>8148</v>
      </c>
      <c r="C5178" s="3" t="s">
        <v>8149</v>
      </c>
      <c r="D5178" s="3" t="s">
        <v>9998</v>
      </c>
      <c r="E5178" s="3" t="s">
        <v>9999</v>
      </c>
      <c r="F5178" s="3" t="s">
        <v>10000</v>
      </c>
      <c r="G5178" s="3" t="str">
        <f>IFERROR(__xludf.DUMMYFUNCTION("GOOGLETRANSLATE(D5178,""ja"",""es"")"),"Camino de hervir")</f>
        <v>Camino de hervir</v>
      </c>
      <c r="H5178" s="3" t="s">
        <v>9996</v>
      </c>
    </row>
    <row r="5179">
      <c r="A5179" s="3">
        <v>589.0</v>
      </c>
      <c r="B5179" s="3" t="s">
        <v>8148</v>
      </c>
      <c r="C5179" s="3" t="s">
        <v>8149</v>
      </c>
      <c r="D5179" s="3" t="s">
        <v>10001</v>
      </c>
      <c r="E5179" s="3" t="s">
        <v>9691</v>
      </c>
      <c r="F5179" s="3" t="s">
        <v>9692</v>
      </c>
      <c r="G5179" s="3" t="str">
        <f>IFERROR(__xludf.DUMMYFUNCTION("GOOGLETRANSLATE(D5179,""ja"",""es"")"),"Disculpa")</f>
        <v>Disculpa</v>
      </c>
      <c r="H5179" s="3" t="s">
        <v>10002</v>
      </c>
    </row>
    <row r="5180">
      <c r="A5180" s="3">
        <v>590.0</v>
      </c>
      <c r="B5180" s="3" t="s">
        <v>8148</v>
      </c>
      <c r="C5180" s="3" t="s">
        <v>8149</v>
      </c>
      <c r="D5180" s="3" t="s">
        <v>10003</v>
      </c>
      <c r="E5180" s="3" t="s">
        <v>8601</v>
      </c>
      <c r="F5180" s="3" t="s">
        <v>8602</v>
      </c>
      <c r="G5180" s="3" t="str">
        <f>IFERROR(__xludf.DUMMYFUNCTION("GOOGLETRANSLATE(D5180,""ja"",""es"")"),"Prestado")</f>
        <v>Prestado</v>
      </c>
      <c r="H5180" s="3" t="s">
        <v>10004</v>
      </c>
      <c r="I5180" s="3" t="s">
        <v>10005</v>
      </c>
      <c r="J5180" s="3" t="s">
        <v>10006</v>
      </c>
      <c r="K5180" s="3" t="s">
        <v>10007</v>
      </c>
      <c r="L5180" s="3" t="s">
        <v>10007</v>
      </c>
    </row>
    <row r="5181">
      <c r="A5181" s="3">
        <v>591.0</v>
      </c>
      <c r="B5181" s="3" t="s">
        <v>8148</v>
      </c>
      <c r="C5181" s="3" t="s">
        <v>8149</v>
      </c>
      <c r="D5181" s="3" t="s">
        <v>10008</v>
      </c>
      <c r="E5181" s="3" t="s">
        <v>10009</v>
      </c>
      <c r="F5181" s="3" t="s">
        <v>10010</v>
      </c>
      <c r="G5181" s="3" t="str">
        <f>IFERROR(__xludf.DUMMYFUNCTION("GOOGLETRANSLATE(D5181,""ja"",""es"")"),"Habitación prestada")</f>
        <v>Habitación prestada</v>
      </c>
    </row>
    <row r="5182">
      <c r="A5182" s="3">
        <v>592.0</v>
      </c>
      <c r="B5182" s="3" t="s">
        <v>8148</v>
      </c>
      <c r="C5182" s="3" t="s">
        <v>8149</v>
      </c>
      <c r="D5182" s="3" t="s">
        <v>10011</v>
      </c>
      <c r="E5182" s="3" t="s">
        <v>10012</v>
      </c>
      <c r="F5182" s="3" t="s">
        <v>10013</v>
      </c>
      <c r="G5182" s="3" t="str">
        <f>IFERROR(__xludf.DUMMYFUNCTION("GOOGLETRANSLATE(D5182,""ja"",""es"")"),"Préstamo")</f>
        <v>Préstamo</v>
      </c>
    </row>
    <row r="5183">
      <c r="A5183" s="3">
        <v>593.0</v>
      </c>
      <c r="B5183" s="3" t="s">
        <v>8148</v>
      </c>
      <c r="C5183" s="3" t="s">
        <v>8149</v>
      </c>
      <c r="D5183" s="3" t="s">
        <v>10014</v>
      </c>
      <c r="E5183" s="3" t="s">
        <v>10015</v>
      </c>
      <c r="F5183" s="3" t="s">
        <v>10016</v>
      </c>
      <c r="G5183" s="3" t="str">
        <f>IFERROR(__xludf.DUMMYFUNCTION("GOOGLETRANSLATE(D5183,""ja"",""es"")"),"débito")</f>
        <v>débito</v>
      </c>
      <c r="H5183" s="3" t="s">
        <v>10017</v>
      </c>
      <c r="I5183" s="3" t="s">
        <v>10018</v>
      </c>
      <c r="J5183" s="3" t="s">
        <v>10019</v>
      </c>
    </row>
    <row r="5184">
      <c r="A5184" s="3">
        <v>594.0</v>
      </c>
      <c r="B5184" s="3" t="s">
        <v>8148</v>
      </c>
      <c r="C5184" s="3" t="s">
        <v>8149</v>
      </c>
      <c r="D5184" s="3" t="s">
        <v>10020</v>
      </c>
      <c r="E5184" s="3" t="s">
        <v>10021</v>
      </c>
      <c r="F5184" s="3" t="s">
        <v>10022</v>
      </c>
      <c r="G5184" s="3" t="str">
        <f>IFERROR(__xludf.DUMMYFUNCTION("GOOGLETRANSLATE(D5184,""ja"",""es"")"),"Nombre prestado")</f>
        <v>Nombre prestado</v>
      </c>
    </row>
    <row r="5185">
      <c r="A5185" s="3">
        <v>595.0</v>
      </c>
      <c r="B5185" s="3" t="s">
        <v>8148</v>
      </c>
      <c r="C5185" s="3" t="s">
        <v>8149</v>
      </c>
      <c r="D5185" s="3" t="s">
        <v>10023</v>
      </c>
      <c r="E5185" s="3" t="s">
        <v>10015</v>
      </c>
      <c r="F5185" s="3" t="s">
        <v>10016</v>
      </c>
      <c r="G5185" s="3" t="str">
        <f>IFERROR(__xludf.DUMMYFUNCTION("GOOGLETRANSLATE(D5185,""ja"",""es"")"),"Deuda")</f>
        <v>Deuda</v>
      </c>
      <c r="H5185" s="3" t="s">
        <v>10017</v>
      </c>
    </row>
    <row r="5186">
      <c r="A5186" s="3">
        <v>596.0</v>
      </c>
      <c r="B5186" s="3" t="s">
        <v>8148</v>
      </c>
      <c r="C5186" s="3" t="s">
        <v>8149</v>
      </c>
      <c r="D5186" s="3" t="s">
        <v>10024</v>
      </c>
      <c r="E5186" s="3" t="s">
        <v>10025</v>
      </c>
      <c r="F5186" s="3" t="s">
        <v>10026</v>
      </c>
      <c r="G5186" s="3" t="str">
        <f>IFERROR(__xludf.DUMMYFUNCTION("GOOGLETRANSLATE(D5186,""ja"",""es"")"),"Abrasador")</f>
        <v>Abrasador</v>
      </c>
    </row>
    <row r="5187">
      <c r="A5187" s="3">
        <v>597.0</v>
      </c>
      <c r="B5187" s="3" t="s">
        <v>8148</v>
      </c>
      <c r="C5187" s="3" t="s">
        <v>8149</v>
      </c>
      <c r="D5187" s="3" t="s">
        <v>10027</v>
      </c>
      <c r="E5187" s="3" t="s">
        <v>10028</v>
      </c>
      <c r="F5187" s="3" t="s">
        <v>10029</v>
      </c>
      <c r="G5187" s="3" t="str">
        <f>IFERROR(__xludf.DUMMYFUNCTION("GOOGLETRANSLATE(D5187,""ja"",""es"")"),"Quemar")</f>
        <v>Quemar</v>
      </c>
    </row>
    <row r="5188">
      <c r="A5188" s="3">
        <v>598.0</v>
      </c>
      <c r="B5188" s="3" t="s">
        <v>8148</v>
      </c>
      <c r="C5188" s="3" t="s">
        <v>8149</v>
      </c>
      <c r="D5188" s="3" t="s">
        <v>10030</v>
      </c>
      <c r="E5188" s="3" t="s">
        <v>10025</v>
      </c>
      <c r="F5188" s="3" t="s">
        <v>10026</v>
      </c>
      <c r="G5188" s="3" t="str">
        <f>IFERROR(__xludf.DUMMYFUNCTION("GOOGLETRANSLATE(D5188,""ja"",""es"")"),"Brillar")</f>
        <v>Brillar</v>
      </c>
    </row>
    <row r="5189">
      <c r="A5189" s="3">
        <v>599.0</v>
      </c>
      <c r="B5189" s="3" t="s">
        <v>8148</v>
      </c>
      <c r="C5189" s="3" t="s">
        <v>8149</v>
      </c>
      <c r="D5189" s="3" t="s">
        <v>10031</v>
      </c>
      <c r="E5189" s="3" t="s">
        <v>10032</v>
      </c>
      <c r="F5189" s="3" t="s">
        <v>10033</v>
      </c>
      <c r="G5189" s="3" t="str">
        <f>IFERROR(__xludf.DUMMYFUNCTION("GOOGLETRANSLATE(D5189,""ja"",""es"")"),"Manera")</f>
        <v>Manera</v>
      </c>
    </row>
    <row r="5190">
      <c r="A5190" s="3">
        <v>600.0</v>
      </c>
      <c r="B5190" s="3" t="s">
        <v>8148</v>
      </c>
      <c r="C5190" s="3" t="s">
        <v>8149</v>
      </c>
      <c r="D5190" s="3" t="s">
        <v>10034</v>
      </c>
      <c r="E5190" s="3" t="s">
        <v>8601</v>
      </c>
      <c r="F5190" s="3" t="s">
        <v>8602</v>
      </c>
      <c r="G5190" s="3" t="str">
        <f>IFERROR(__xludf.DUMMYFUNCTION("GOOGLETRANSLATE(D5190,""ja"",""es"")"),"Caza")</f>
        <v>Caza</v>
      </c>
      <c r="H5190" s="3" t="s">
        <v>1617</v>
      </c>
      <c r="I5190" s="3" t="s">
        <v>1618</v>
      </c>
      <c r="J5190" s="3" t="s">
        <v>1617</v>
      </c>
      <c r="K5190" s="3" t="s">
        <v>1618</v>
      </c>
    </row>
    <row r="5191">
      <c r="A5191" s="3">
        <v>601.0</v>
      </c>
      <c r="B5191" s="3" t="s">
        <v>8148</v>
      </c>
      <c r="C5191" s="3" t="s">
        <v>8149</v>
      </c>
      <c r="D5191" s="3" t="s">
        <v>10035</v>
      </c>
      <c r="E5191" s="3" t="s">
        <v>8601</v>
      </c>
      <c r="F5191" s="3" t="s">
        <v>8602</v>
      </c>
      <c r="G5191" s="3" t="str">
        <f>IFERROR(__xludf.DUMMYFUNCTION("GOOGLETRANSLATE(D5191,""ja"",""es"")"),"caza")</f>
        <v>caza</v>
      </c>
      <c r="H5191" s="3" t="s">
        <v>1617</v>
      </c>
      <c r="I5191" s="3" t="s">
        <v>1618</v>
      </c>
      <c r="J5191" s="3" t="s">
        <v>1617</v>
      </c>
      <c r="K5191" s="3" t="s">
        <v>1618</v>
      </c>
    </row>
    <row r="5192">
      <c r="A5192" s="3">
        <v>602.0</v>
      </c>
      <c r="B5192" s="3" t="s">
        <v>8148</v>
      </c>
      <c r="C5192" s="3" t="s">
        <v>8149</v>
      </c>
      <c r="D5192" s="3" t="s">
        <v>10036</v>
      </c>
      <c r="E5192" s="3" t="s">
        <v>10037</v>
      </c>
      <c r="F5192" s="3" t="s">
        <v>10038</v>
      </c>
      <c r="G5192" s="3" t="str">
        <f>IFERROR(__xludf.DUMMYFUNCTION("GOOGLETRANSLATE(D5192,""ja"",""es"")"),"Perla")</f>
        <v>Perla</v>
      </c>
      <c r="H5192" s="3" t="s">
        <v>10039</v>
      </c>
      <c r="I5192" s="3" t="s">
        <v>10040</v>
      </c>
      <c r="J5192" s="3" t="s">
        <v>10041</v>
      </c>
      <c r="K5192" s="3" t="s">
        <v>10042</v>
      </c>
      <c r="L5192" s="3" t="s">
        <v>10043</v>
      </c>
      <c r="M5192" s="3" t="s">
        <v>10044</v>
      </c>
    </row>
    <row r="5193">
      <c r="A5193" s="3">
        <v>603.0</v>
      </c>
      <c r="B5193" s="3" t="s">
        <v>8148</v>
      </c>
      <c r="C5193" s="3" t="s">
        <v>8149</v>
      </c>
      <c r="D5193" s="3" t="s">
        <v>10045</v>
      </c>
      <c r="E5193" s="3" t="s">
        <v>10046</v>
      </c>
      <c r="F5193" s="3" t="s">
        <v>10047</v>
      </c>
      <c r="G5193" s="3" t="str">
        <f>IFERROR(__xludf.DUMMYFUNCTION("GOOGLETRANSLATE(D5193,""ja"",""es"")"),"Tienda de licores")</f>
        <v>Tienda de licores</v>
      </c>
      <c r="H5193" s="3" t="s">
        <v>10048</v>
      </c>
      <c r="I5193" s="3" t="s">
        <v>10049</v>
      </c>
      <c r="J5193" s="3" t="s">
        <v>10050</v>
      </c>
      <c r="K5193" s="3" t="s">
        <v>10051</v>
      </c>
      <c r="L5193" s="3" t="s">
        <v>10052</v>
      </c>
      <c r="M5193" s="3" t="s">
        <v>10053</v>
      </c>
      <c r="N5193" s="3" t="s">
        <v>10054</v>
      </c>
    </row>
    <row r="5194">
      <c r="A5194" s="3">
        <v>604.0</v>
      </c>
      <c r="B5194" s="3" t="s">
        <v>8148</v>
      </c>
      <c r="C5194" s="3" t="s">
        <v>8149</v>
      </c>
      <c r="D5194" s="3" t="s">
        <v>10055</v>
      </c>
      <c r="E5194" s="3" t="s">
        <v>5408</v>
      </c>
      <c r="F5194" s="3" t="s">
        <v>5409</v>
      </c>
      <c r="G5194" s="3" t="str">
        <f>IFERROR(__xludf.DUMMYFUNCTION("GOOGLETRANSLATE(D5194,""ja"",""es"")"),"Árbol")</f>
        <v>Árbol</v>
      </c>
      <c r="H5194" s="3" t="s">
        <v>10056</v>
      </c>
    </row>
    <row r="5195">
      <c r="A5195" s="3">
        <v>605.0</v>
      </c>
      <c r="B5195" s="3" t="s">
        <v>8148</v>
      </c>
      <c r="C5195" s="3" t="s">
        <v>8149</v>
      </c>
      <c r="D5195" s="3" t="s">
        <v>10057</v>
      </c>
      <c r="E5195" s="3" t="s">
        <v>10058</v>
      </c>
      <c r="F5195" s="3" t="s">
        <v>10059</v>
      </c>
      <c r="G5195" s="3" t="str">
        <f>IFERROR(__xludf.DUMMYFUNCTION("GOOGLETRANSLATE(D5195,""ja"",""es"")"),"Siembra de otoño")</f>
        <v>Siembra de otoño</v>
      </c>
    </row>
    <row r="5196">
      <c r="A5196" s="3">
        <v>606.0</v>
      </c>
      <c r="B5196" s="3" t="s">
        <v>8148</v>
      </c>
      <c r="C5196" s="3" t="s">
        <v>8149</v>
      </c>
      <c r="D5196" s="3" t="s">
        <v>10060</v>
      </c>
      <c r="E5196" s="3" t="s">
        <v>10058</v>
      </c>
      <c r="F5196" s="3" t="s">
        <v>10059</v>
      </c>
      <c r="G5196" s="3" t="str">
        <f>IFERROR(__xludf.DUMMYFUNCTION("GOOGLETRANSLATE(D5196,""ja"",""es"")"),"Siembra de otoño")</f>
        <v>Siembra de otoño</v>
      </c>
    </row>
    <row r="5197">
      <c r="A5197" s="3">
        <v>607.0</v>
      </c>
      <c r="B5197" s="3" t="s">
        <v>8148</v>
      </c>
      <c r="C5197" s="3" t="s">
        <v>8149</v>
      </c>
      <c r="D5197" s="3" t="s">
        <v>10061</v>
      </c>
      <c r="E5197" s="3" t="s">
        <v>10062</v>
      </c>
      <c r="F5197" s="3" t="s">
        <v>10063</v>
      </c>
      <c r="G5197" s="3" t="str">
        <f>IFERROR(__xludf.DUMMYFUNCTION("GOOGLETRANSLATE(D5197,""ja"",""es"")"),"Superpuesto")</f>
        <v>Superpuesto</v>
      </c>
      <c r="H5197" s="3" t="s">
        <v>2737</v>
      </c>
      <c r="I5197" s="3" t="s">
        <v>10064</v>
      </c>
    </row>
    <row r="5198">
      <c r="A5198" s="3">
        <v>608.0</v>
      </c>
      <c r="B5198" s="3" t="s">
        <v>8148</v>
      </c>
      <c r="C5198" s="3" t="s">
        <v>8149</v>
      </c>
      <c r="D5198" s="3" t="s">
        <v>10065</v>
      </c>
      <c r="E5198" s="3" t="s">
        <v>10066</v>
      </c>
      <c r="F5198" s="3" t="s">
        <v>10067</v>
      </c>
      <c r="G5198" s="3" t="str">
        <f>IFERROR(__xludf.DUMMYFUNCTION("GOOGLETRANSLATE(D5198,""ja"",""es"")"),"Anoto")</f>
        <v>Anoto</v>
      </c>
    </row>
    <row r="5199">
      <c r="A5199" s="3">
        <v>609.0</v>
      </c>
      <c r="B5199" s="3" t="s">
        <v>8148</v>
      </c>
      <c r="C5199" s="3" t="s">
        <v>8149</v>
      </c>
      <c r="D5199" s="3" t="s">
        <v>10068</v>
      </c>
      <c r="E5199" s="3" t="s">
        <v>10066</v>
      </c>
      <c r="F5199" s="3" t="s">
        <v>10067</v>
      </c>
      <c r="G5199" s="3" t="str">
        <f>IFERROR(__xludf.DUMMYFUNCTION("GOOGLETRANSLATE(D5199,""ja"",""es"")"),"Forma de escribir")</f>
        <v>Forma de escribir</v>
      </c>
    </row>
    <row r="5200">
      <c r="A5200" s="3">
        <v>610.0</v>
      </c>
      <c r="B5200" s="3" t="s">
        <v>8148</v>
      </c>
      <c r="C5200" s="3" t="s">
        <v>8149</v>
      </c>
      <c r="D5200" s="3" t="s">
        <v>10069</v>
      </c>
      <c r="E5200" s="3" t="s">
        <v>10070</v>
      </c>
      <c r="F5200" s="3" t="s">
        <v>10071</v>
      </c>
      <c r="G5200" s="3" t="str">
        <f>IFERROR(__xludf.DUMMYFUNCTION("GOOGLETRANSLATE(D5200,""ja"",""es"")"),"daño")</f>
        <v>daño</v>
      </c>
      <c r="H5200" s="3" t="s">
        <v>4857</v>
      </c>
      <c r="I5200" s="3" t="s">
        <v>4871</v>
      </c>
      <c r="J5200" s="3" t="s">
        <v>4873</v>
      </c>
      <c r="K5200" s="3" t="s">
        <v>3344</v>
      </c>
    </row>
    <row r="5201">
      <c r="A5201" s="3">
        <v>611.0</v>
      </c>
      <c r="B5201" s="3" t="s">
        <v>8148</v>
      </c>
      <c r="C5201" s="3" t="s">
        <v>8149</v>
      </c>
      <c r="D5201" s="3" t="s">
        <v>10072</v>
      </c>
      <c r="E5201" s="3" t="s">
        <v>10073</v>
      </c>
      <c r="F5201" s="3" t="s">
        <v>10074</v>
      </c>
      <c r="G5201" s="3" t="str">
        <f>IFERROR(__xludf.DUMMYFUNCTION("GOOGLETRANSLATE(D5201,""ja"",""es"")"),"General")</f>
        <v>General</v>
      </c>
      <c r="H5201" s="3" t="s">
        <v>5019</v>
      </c>
      <c r="I5201" s="3" t="s">
        <v>5020</v>
      </c>
      <c r="J5201" s="3" t="s">
        <v>3288</v>
      </c>
      <c r="K5201" s="3" t="s">
        <v>10075</v>
      </c>
      <c r="L5201" s="3" t="s">
        <v>720</v>
      </c>
      <c r="M5201" s="3" t="s">
        <v>10076</v>
      </c>
      <c r="N5201" s="3" t="s">
        <v>3288</v>
      </c>
      <c r="O5201" s="3" t="s">
        <v>3287</v>
      </c>
      <c r="P5201" s="3" t="s">
        <v>5019</v>
      </c>
      <c r="Q5201" s="3" t="s">
        <v>8422</v>
      </c>
      <c r="R5201" s="3" t="s">
        <v>5020</v>
      </c>
      <c r="S5201" s="3" t="s">
        <v>5019</v>
      </c>
      <c r="T5201" s="3" t="s">
        <v>5020</v>
      </c>
      <c r="U5201" s="3" t="s">
        <v>5021</v>
      </c>
      <c r="V5201" s="3" t="s">
        <v>5022</v>
      </c>
      <c r="W5201" s="3" t="s">
        <v>5023</v>
      </c>
    </row>
    <row r="5202">
      <c r="A5202" s="3">
        <v>612.0</v>
      </c>
      <c r="B5202" s="3" t="s">
        <v>8148</v>
      </c>
      <c r="C5202" s="3" t="s">
        <v>8149</v>
      </c>
      <c r="D5202" s="3" t="s">
        <v>10077</v>
      </c>
      <c r="E5202" s="3" t="s">
        <v>10078</v>
      </c>
      <c r="F5202" s="3" t="s">
        <v>10079</v>
      </c>
      <c r="G5202" s="3" t="str">
        <f>IFERROR(__xludf.DUMMYFUNCTION("GOOGLETRANSLATE(D5202,""ja"",""es"")"),"General")</f>
        <v>General</v>
      </c>
    </row>
    <row r="5203">
      <c r="A5203" s="3">
        <v>613.0</v>
      </c>
      <c r="B5203" s="3" t="s">
        <v>8148</v>
      </c>
      <c r="C5203" s="3" t="s">
        <v>8149</v>
      </c>
      <c r="D5203" s="3" t="s">
        <v>10080</v>
      </c>
      <c r="E5203" s="3" t="s">
        <v>1437</v>
      </c>
      <c r="F5203" s="3" t="s">
        <v>1438</v>
      </c>
      <c r="G5203" s="3" t="str">
        <f>IFERROR(__xludf.DUMMYFUNCTION("GOOGLETRANSLATE(D5203,""ja"",""es"")"),"Bambú bambú")</f>
        <v>Bambú bambú</v>
      </c>
    </row>
    <row r="5204">
      <c r="A5204" s="3">
        <v>614.0</v>
      </c>
      <c r="B5204" s="3" t="s">
        <v>8148</v>
      </c>
      <c r="C5204" s="3" t="s">
        <v>8149</v>
      </c>
      <c r="D5204" s="3" t="s">
        <v>10081</v>
      </c>
      <c r="E5204" s="3" t="s">
        <v>9893</v>
      </c>
      <c r="F5204" s="3" t="s">
        <v>9894</v>
      </c>
      <c r="G5204" s="3" t="str">
        <f>IFERROR(__xludf.DUMMYFUNCTION("GOOGLETRANSLATE(D5204,""ja"",""es"")"),"Chillido")</f>
        <v>Chillido</v>
      </c>
    </row>
    <row r="5205">
      <c r="A5205" s="3">
        <v>615.0</v>
      </c>
      <c r="B5205" s="3" t="s">
        <v>8148</v>
      </c>
      <c r="C5205" s="3" t="s">
        <v>8149</v>
      </c>
      <c r="D5205" s="3" t="s">
        <v>10082</v>
      </c>
      <c r="E5205" s="3" t="s">
        <v>10083</v>
      </c>
      <c r="F5205" s="3" t="s">
        <v>10084</v>
      </c>
      <c r="G5205" s="3" t="str">
        <f>IFERROR(__xludf.DUMMYFUNCTION("GOOGLETRANSLATE(D5205,""ja"",""es"")"),"Interrogatorio intenso")</f>
        <v>Interrogatorio intenso</v>
      </c>
    </row>
    <row r="5206">
      <c r="A5206" s="3">
        <v>616.0</v>
      </c>
      <c r="B5206" s="3" t="s">
        <v>8148</v>
      </c>
      <c r="C5206" s="3" t="s">
        <v>8149</v>
      </c>
      <c r="D5206" s="3" t="s">
        <v>10085</v>
      </c>
      <c r="E5206" s="3" t="s">
        <v>10083</v>
      </c>
      <c r="F5206" s="3" t="s">
        <v>10084</v>
      </c>
      <c r="G5206" s="3" t="str">
        <f>IFERROR(__xludf.DUMMYFUNCTION("GOOGLETRANSLATE(D5206,""ja"",""es"")"),"A la parrilla")</f>
        <v>A la parrilla</v>
      </c>
    </row>
    <row r="5207">
      <c r="A5207" s="3">
        <v>617.0</v>
      </c>
      <c r="B5207" s="3" t="s">
        <v>8148</v>
      </c>
      <c r="C5207" s="3" t="s">
        <v>8149</v>
      </c>
      <c r="D5207" s="3" t="s">
        <v>10086</v>
      </c>
      <c r="E5207" s="3" t="s">
        <v>544</v>
      </c>
      <c r="F5207" s="3" t="s">
        <v>543</v>
      </c>
      <c r="G5207" s="3" t="str">
        <f>IFERROR(__xludf.DUMMYFUNCTION("GOOGLETRANSLATE(D5207,""ja"",""es"")"),"Lema moteado")</f>
        <v>Lema moteado</v>
      </c>
    </row>
    <row r="5208">
      <c r="A5208" s="3">
        <v>618.0</v>
      </c>
      <c r="B5208" s="3" t="s">
        <v>8148</v>
      </c>
      <c r="C5208" s="3" t="s">
        <v>8149</v>
      </c>
      <c r="D5208" s="3" t="s">
        <v>10087</v>
      </c>
      <c r="E5208" s="3" t="s">
        <v>10088</v>
      </c>
      <c r="F5208" s="3" t="s">
        <v>10089</v>
      </c>
      <c r="G5208" s="3" t="str">
        <f>IFERROR(__xludf.DUMMYFUNCTION("GOOGLETRANSLATE(D5208,""ja"",""es"")"),"vaina")</f>
        <v>vaina</v>
      </c>
      <c r="H5208" s="3" t="s">
        <v>1266</v>
      </c>
      <c r="I5208" s="3" t="s">
        <v>10090</v>
      </c>
      <c r="J5208" s="3" t="s">
        <v>6934</v>
      </c>
      <c r="K5208" s="3" t="s">
        <v>6934</v>
      </c>
      <c r="L5208" s="3" t="s">
        <v>6291</v>
      </c>
    </row>
    <row r="5209">
      <c r="A5209" s="3">
        <v>619.0</v>
      </c>
      <c r="B5209" s="3" t="s">
        <v>8148</v>
      </c>
      <c r="C5209" s="3" t="s">
        <v>8149</v>
      </c>
      <c r="D5209" s="3" t="s">
        <v>10091</v>
      </c>
      <c r="E5209" s="3" t="s">
        <v>10092</v>
      </c>
      <c r="F5209" s="3" t="s">
        <v>10093</v>
      </c>
      <c r="G5209" s="3" t="str">
        <f>IFERROR(__xludf.DUMMYFUNCTION("GOOGLETRANSLATE(D5209,""ja"",""es"")"),"Primera mitad")</f>
        <v>Primera mitad</v>
      </c>
    </row>
    <row r="5210">
      <c r="A5210" s="3">
        <v>620.0</v>
      </c>
      <c r="B5210" s="3" t="s">
        <v>8148</v>
      </c>
      <c r="C5210" s="3" t="s">
        <v>8149</v>
      </c>
      <c r="D5210" s="3" t="s">
        <v>10094</v>
      </c>
      <c r="E5210" s="3" t="s">
        <v>10095</v>
      </c>
      <c r="F5210" s="3" t="s">
        <v>10096</v>
      </c>
      <c r="G5210" s="3" t="str">
        <f>IFERROR(__xludf.DUMMYFUNCTION("GOOGLETRANSLATE(D5210,""ja"",""es"")"),"Tatami")</f>
        <v>Tatami</v>
      </c>
    </row>
    <row r="5211">
      <c r="A5211" s="3">
        <v>621.0</v>
      </c>
      <c r="B5211" s="3" t="s">
        <v>8148</v>
      </c>
      <c r="C5211" s="3" t="s">
        <v>8149</v>
      </c>
      <c r="D5211" s="3" t="s">
        <v>10097</v>
      </c>
      <c r="E5211" s="3" t="s">
        <v>8359</v>
      </c>
      <c r="F5211" s="3" t="s">
        <v>8360</v>
      </c>
      <c r="G5211" s="3" t="str">
        <f>IFERROR(__xludf.DUMMYFUNCTION("GOOGLETRANSLATE(D5211,""ja"",""es"")"),"Candelero")</f>
        <v>Candelero</v>
      </c>
    </row>
    <row r="5212">
      <c r="A5212" s="3">
        <v>622.0</v>
      </c>
      <c r="B5212" s="3" t="s">
        <v>8148</v>
      </c>
      <c r="C5212" s="3" t="s">
        <v>8149</v>
      </c>
      <c r="D5212" s="3" t="s">
        <v>10098</v>
      </c>
      <c r="E5212" s="3" t="s">
        <v>8693</v>
      </c>
      <c r="F5212" s="3" t="s">
        <v>8694</v>
      </c>
      <c r="G5212" s="3" t="str">
        <f>IFERROR(__xludf.DUMMYFUNCTION("GOOGLETRANSLATE(D5212,""ja"",""es"")"),"Comiendo")</f>
        <v>Comiendo</v>
      </c>
      <c r="H5212" s="3" t="s">
        <v>10099</v>
      </c>
      <c r="I5212" s="3" t="s">
        <v>10100</v>
      </c>
    </row>
    <row r="5213">
      <c r="A5213" s="3">
        <v>623.0</v>
      </c>
      <c r="B5213" s="3" t="s">
        <v>8148</v>
      </c>
      <c r="C5213" s="3" t="s">
        <v>8149</v>
      </c>
      <c r="D5213" s="3" t="s">
        <v>10101</v>
      </c>
      <c r="E5213" s="3" t="s">
        <v>10028</v>
      </c>
      <c r="F5213" s="3" t="s">
        <v>10029</v>
      </c>
      <c r="G5213" s="3" t="str">
        <f>IFERROR(__xludf.DUMMYFUNCTION("GOOGLETRANSLATE(D5213,""ja"",""es"")"),"nuevo")</f>
        <v>nuevo</v>
      </c>
      <c r="H5213" s="3" t="s">
        <v>10102</v>
      </c>
      <c r="I5213" s="3" t="s">
        <v>10102</v>
      </c>
      <c r="J5213" s="3" t="s">
        <v>10103</v>
      </c>
      <c r="K5213" s="3" t="s">
        <v>10102</v>
      </c>
      <c r="L5213" s="3" t="s">
        <v>10104</v>
      </c>
      <c r="M5213" s="3" t="s">
        <v>10104</v>
      </c>
      <c r="N5213" s="3" t="s">
        <v>10102</v>
      </c>
      <c r="O5213" s="3" t="s">
        <v>10105</v>
      </c>
      <c r="P5213" s="3" t="s">
        <v>10102</v>
      </c>
    </row>
    <row r="5214">
      <c r="A5214" s="3">
        <v>624.0</v>
      </c>
      <c r="B5214" s="3" t="s">
        <v>8148</v>
      </c>
      <c r="C5214" s="3" t="s">
        <v>8149</v>
      </c>
      <c r="D5214" s="3" t="s">
        <v>10106</v>
      </c>
      <c r="E5214" s="3" t="s">
        <v>9750</v>
      </c>
      <c r="F5214" s="3" t="s">
        <v>9751</v>
      </c>
      <c r="G5214" s="3" t="str">
        <f>IFERROR(__xludf.DUMMYFUNCTION("GOOGLETRANSLATE(D5214,""ja"",""es"")"),"Nuevo bobinado")</f>
        <v>Nuevo bobinado</v>
      </c>
    </row>
    <row r="5215">
      <c r="A5215" s="3">
        <v>625.0</v>
      </c>
      <c r="B5215" s="3" t="s">
        <v>8148</v>
      </c>
      <c r="C5215" s="3" t="s">
        <v>8149</v>
      </c>
      <c r="D5215" s="3" t="s">
        <v>10107</v>
      </c>
      <c r="E5215" s="3" t="s">
        <v>9753</v>
      </c>
      <c r="F5215" s="3" t="s">
        <v>9754</v>
      </c>
      <c r="G5215" s="3" t="str">
        <f>IFERROR(__xludf.DUMMYFUNCTION("GOOGLETRANSLATE(D5215,""ja"",""es"")"),"Bola nueva")</f>
        <v>Bola nueva</v>
      </c>
    </row>
    <row r="5216">
      <c r="A5216" s="3">
        <v>626.0</v>
      </c>
      <c r="B5216" s="3" t="s">
        <v>8148</v>
      </c>
      <c r="C5216" s="3" t="s">
        <v>8149</v>
      </c>
      <c r="D5216" s="3" t="s">
        <v>10108</v>
      </c>
      <c r="E5216" s="3" t="s">
        <v>8528</v>
      </c>
      <c r="F5216" s="3" t="s">
        <v>8529</v>
      </c>
      <c r="G5216" s="3" t="str">
        <f>IFERROR(__xludf.DUMMYFUNCTION("GOOGLETRANSLATE(D5216,""ja"",""es"")"),"Nuevo árbol")</f>
        <v>Nuevo árbol</v>
      </c>
    </row>
    <row r="5217">
      <c r="A5217" s="3">
        <v>627.0</v>
      </c>
      <c r="B5217" s="3" t="s">
        <v>8148</v>
      </c>
      <c r="C5217" s="3" t="s">
        <v>8149</v>
      </c>
      <c r="D5217" s="3" t="s">
        <v>10109</v>
      </c>
      <c r="E5217" s="3" t="s">
        <v>8783</v>
      </c>
      <c r="F5217" s="3" t="s">
        <v>8784</v>
      </c>
      <c r="G5217" s="3" t="str">
        <f>IFERROR(__xludf.DUMMYFUNCTION("GOOGLETRANSLATE(D5217,""ja"",""es"")"),"Mahara")</f>
        <v>Mahara</v>
      </c>
    </row>
    <row r="5218">
      <c r="A5218" s="3">
        <v>628.0</v>
      </c>
      <c r="B5218" s="3" t="s">
        <v>8148</v>
      </c>
      <c r="C5218" s="3" t="s">
        <v>8149</v>
      </c>
      <c r="D5218" s="3" t="s">
        <v>10110</v>
      </c>
      <c r="E5218" s="3" t="s">
        <v>3274</v>
      </c>
      <c r="F5218" s="3" t="s">
        <v>3275</v>
      </c>
      <c r="G5218" s="3" t="str">
        <f>IFERROR(__xludf.DUMMYFUNCTION("GOOGLETRANSLATE(D5218,""ja"",""es"")"),"Lanzadera")</f>
        <v>Lanzadera</v>
      </c>
    </row>
    <row r="5219">
      <c r="A5219" s="3">
        <v>629.0</v>
      </c>
      <c r="B5219" s="3" t="s">
        <v>8148</v>
      </c>
      <c r="C5219" s="3" t="s">
        <v>8149</v>
      </c>
      <c r="D5219" s="3" t="s">
        <v>10111</v>
      </c>
      <c r="E5219" s="3" t="s">
        <v>10112</v>
      </c>
      <c r="F5219" s="3" t="s">
        <v>10113</v>
      </c>
      <c r="G5219" s="3" t="str">
        <f>IFERROR(__xludf.DUMMYFUNCTION("GOOGLETRANSLATE(D5219,""ja"",""es"")"),"Opuesto")</f>
        <v>Opuesto</v>
      </c>
    </row>
    <row r="5220">
      <c r="A5220" s="3">
        <v>630.0</v>
      </c>
      <c r="B5220" s="3" t="s">
        <v>8148</v>
      </c>
      <c r="C5220" s="3" t="s">
        <v>8149</v>
      </c>
      <c r="D5220" s="3" t="s">
        <v>10114</v>
      </c>
      <c r="E5220" s="3" t="s">
        <v>10112</v>
      </c>
      <c r="F5220" s="3" t="s">
        <v>10113</v>
      </c>
      <c r="G5220" s="3" t="str">
        <f>IFERROR(__xludf.DUMMYFUNCTION("GOOGLETRANSLATE(D5220,""ja"",""es"")"),"Verdaderamente opuesto")</f>
        <v>Verdaderamente opuesto</v>
      </c>
    </row>
    <row r="5221">
      <c r="A5221" s="3">
        <v>631.0</v>
      </c>
      <c r="B5221" s="3" t="s">
        <v>8148</v>
      </c>
      <c r="C5221" s="3" t="s">
        <v>8149</v>
      </c>
      <c r="D5221" s="3" t="s">
        <v>10115</v>
      </c>
      <c r="E5221" s="3" t="s">
        <v>10116</v>
      </c>
      <c r="F5221" s="3" t="s">
        <v>10117</v>
      </c>
      <c r="G5221" s="3" t="str">
        <f>IFERROR(__xludf.DUMMYFUNCTION("GOOGLETRANSLATE(D5221,""ja"",""es"")"),"Jaula")</f>
        <v>Jaula</v>
      </c>
    </row>
    <row r="5222">
      <c r="A5222" s="3">
        <v>632.0</v>
      </c>
      <c r="B5222" s="3" t="s">
        <v>8148</v>
      </c>
      <c r="C5222" s="3" t="s">
        <v>8149</v>
      </c>
      <c r="D5222" s="3" t="s">
        <v>10118</v>
      </c>
      <c r="E5222" s="3" t="s">
        <v>10116</v>
      </c>
      <c r="F5222" s="3" t="s">
        <v>10117</v>
      </c>
      <c r="G5222" s="3" t="str">
        <f>IFERROR(__xludf.DUMMYFUNCTION("GOOGLETRANSLATE(D5222,""ja"",""es"")"),"castaña")</f>
        <v>castaña</v>
      </c>
    </row>
    <row r="5223">
      <c r="A5223" s="3">
        <v>633.0</v>
      </c>
      <c r="B5223" s="3" t="s">
        <v>8148</v>
      </c>
      <c r="C5223" s="3" t="s">
        <v>8149</v>
      </c>
      <c r="D5223" s="3" t="s">
        <v>10119</v>
      </c>
      <c r="E5223" s="3" t="s">
        <v>10120</v>
      </c>
      <c r="F5223" s="3" t="s">
        <v>10121</v>
      </c>
      <c r="G5223" s="3" t="str">
        <f>IFERROR(__xludf.DUMMYFUNCTION("GOOGLETRANSLATE(D5223,""ja"",""es"")"),"Verdad")</f>
        <v>Verdad</v>
      </c>
      <c r="H5223" s="3" t="s">
        <v>1949</v>
      </c>
      <c r="I5223" s="3" t="s">
        <v>9959</v>
      </c>
    </row>
    <row r="5224">
      <c r="A5224" s="3">
        <v>634.0</v>
      </c>
      <c r="B5224" s="3" t="s">
        <v>8148</v>
      </c>
      <c r="C5224" s="3" t="s">
        <v>8149</v>
      </c>
      <c r="D5224" s="3" t="s">
        <v>10122</v>
      </c>
      <c r="E5224" s="3" t="s">
        <v>10123</v>
      </c>
      <c r="F5224" s="3" t="s">
        <v>10124</v>
      </c>
      <c r="G5224" s="3" t="str">
        <f>IFERROR(__xludf.DUMMYFUNCTION("GOOGLETRANSLATE(D5224,""ja"",""es"")"),"hacia el sur")</f>
        <v>hacia el sur</v>
      </c>
      <c r="H5224" s="3" t="s">
        <v>10125</v>
      </c>
      <c r="I5224" s="3" t="s">
        <v>10126</v>
      </c>
      <c r="J5224" s="3" t="s">
        <v>10127</v>
      </c>
      <c r="K5224" s="3" t="s">
        <v>5450</v>
      </c>
    </row>
    <row r="5225">
      <c r="A5225" s="3">
        <v>635.0</v>
      </c>
      <c r="B5225" s="3" t="s">
        <v>8148</v>
      </c>
      <c r="C5225" s="3" t="s">
        <v>8149</v>
      </c>
      <c r="D5225" s="3" t="s">
        <v>10128</v>
      </c>
      <c r="E5225" s="3" t="s">
        <v>10129</v>
      </c>
      <c r="F5225" s="3" t="s">
        <v>10130</v>
      </c>
      <c r="G5225" s="3" t="str">
        <f>IFERROR(__xludf.DUMMYFUNCTION("GOOGLETRANSLATE(D5225,""ja"",""es"")"),"Parte norte")</f>
        <v>Parte norte</v>
      </c>
      <c r="H5225" s="3" t="s">
        <v>10131</v>
      </c>
      <c r="I5225" s="3" t="s">
        <v>10132</v>
      </c>
      <c r="J5225" s="3" t="s">
        <v>10133</v>
      </c>
      <c r="K5225" s="3" t="s">
        <v>4112</v>
      </c>
    </row>
    <row r="5226">
      <c r="A5226" s="3">
        <v>636.0</v>
      </c>
      <c r="B5226" s="3" t="s">
        <v>8148</v>
      </c>
      <c r="C5226" s="3" t="s">
        <v>8149</v>
      </c>
      <c r="D5226" s="3" t="s">
        <v>10134</v>
      </c>
      <c r="E5226" s="3" t="s">
        <v>3503</v>
      </c>
      <c r="F5226" s="3" t="s">
        <v>3504</v>
      </c>
      <c r="G5226" s="3" t="str">
        <f>IFERROR(__xludf.DUMMYFUNCTION("GOOGLETRANSLATE(D5226,""ja"",""es"")"),"Maki")</f>
        <v>Maki</v>
      </c>
    </row>
    <row r="5227">
      <c r="A5227" s="3">
        <v>637.0</v>
      </c>
      <c r="B5227" s="3" t="s">
        <v>8148</v>
      </c>
      <c r="C5227" s="3" t="s">
        <v>8149</v>
      </c>
      <c r="D5227" s="3" t="s">
        <v>10135</v>
      </c>
      <c r="E5227" s="3" t="s">
        <v>8762</v>
      </c>
      <c r="F5227" s="3" t="s">
        <v>8763</v>
      </c>
      <c r="G5227" s="3" t="str">
        <f>IFERROR(__xludf.DUMMYFUNCTION("GOOGLETRANSLATE(D5227,""ja"",""es"")"),"Verdad")</f>
        <v>Verdad</v>
      </c>
    </row>
    <row r="5228">
      <c r="A5228" s="3">
        <v>638.0</v>
      </c>
      <c r="B5228" s="3" t="s">
        <v>8148</v>
      </c>
      <c r="C5228" s="3" t="s">
        <v>8149</v>
      </c>
      <c r="D5228" s="3" t="s">
        <v>10136</v>
      </c>
      <c r="E5228" s="3" t="s">
        <v>10137</v>
      </c>
      <c r="F5228" s="3" t="s">
        <v>10138</v>
      </c>
      <c r="G5228" s="3" t="str">
        <f>IFERROR(__xludf.DUMMYFUNCTION("GOOGLETRANSLATE(D5228,""ja"",""es"")"),"Dios")</f>
        <v>Dios</v>
      </c>
    </row>
    <row r="5229">
      <c r="A5229" s="3">
        <v>639.0</v>
      </c>
      <c r="B5229" s="3" t="s">
        <v>8148</v>
      </c>
      <c r="C5229" s="3" t="s">
        <v>8149</v>
      </c>
      <c r="D5229" s="3" t="s">
        <v>10139</v>
      </c>
      <c r="E5229" s="3" t="s">
        <v>10137</v>
      </c>
      <c r="F5229" s="3" t="s">
        <v>10138</v>
      </c>
      <c r="G5229" s="3" t="str">
        <f>IFERROR(__xludf.DUMMYFUNCTION("GOOGLETRANSLATE(D5229,""ja"",""es"")"),"Dios")</f>
        <v>Dios</v>
      </c>
      <c r="H5229" s="3" t="s">
        <v>10140</v>
      </c>
      <c r="I5229" s="3" t="s">
        <v>10141</v>
      </c>
      <c r="J5229" s="3" t="s">
        <v>10142</v>
      </c>
      <c r="K5229" s="3" t="s">
        <v>10143</v>
      </c>
      <c r="L5229" s="3" t="s">
        <v>10144</v>
      </c>
      <c r="M5229" s="3" t="s">
        <v>10145</v>
      </c>
      <c r="N5229" s="3" t="s">
        <v>10146</v>
      </c>
      <c r="O5229" s="3" t="s">
        <v>10147</v>
      </c>
      <c r="P5229" s="3" t="s">
        <v>10148</v>
      </c>
      <c r="Q5229" s="3" t="s">
        <v>10149</v>
      </c>
      <c r="R5229" s="3" t="s">
        <v>10150</v>
      </c>
      <c r="S5229" s="3" t="s">
        <v>10151</v>
      </c>
      <c r="T5229" s="3" t="s">
        <v>10152</v>
      </c>
      <c r="U5229" s="3" t="s">
        <v>10153</v>
      </c>
    </row>
    <row r="5230">
      <c r="A5230" s="3">
        <v>640.0</v>
      </c>
      <c r="B5230" s="3" t="s">
        <v>8148</v>
      </c>
      <c r="C5230" s="3" t="s">
        <v>8149</v>
      </c>
      <c r="D5230" s="3" t="s">
        <v>10154</v>
      </c>
      <c r="E5230" s="3" t="s">
        <v>10155</v>
      </c>
      <c r="F5230" s="3" t="s">
        <v>10156</v>
      </c>
      <c r="G5230" s="3" t="str">
        <f>IFERROR(__xludf.DUMMYFUNCTION("GOOGLETRANSLATE(D5230,""ja"",""es"")"),"Vestido")</f>
        <v>Vestido</v>
      </c>
      <c r="H5230" s="3" t="s">
        <v>10157</v>
      </c>
      <c r="I5230" s="3" t="s">
        <v>10158</v>
      </c>
      <c r="J5230" s="3" t="s">
        <v>10157</v>
      </c>
      <c r="K5230" s="3" t="s">
        <v>10159</v>
      </c>
      <c r="L5230" s="3" t="s">
        <v>3036</v>
      </c>
      <c r="M5230" s="3" t="s">
        <v>10160</v>
      </c>
      <c r="N5230" s="3" t="s">
        <v>10161</v>
      </c>
      <c r="O5230" s="3" t="s">
        <v>10162</v>
      </c>
      <c r="P5230" s="3" t="s">
        <v>10163</v>
      </c>
    </row>
    <row r="5231">
      <c r="A5231" s="3">
        <v>641.0</v>
      </c>
      <c r="B5231" s="3" t="s">
        <v>8148</v>
      </c>
      <c r="C5231" s="3" t="s">
        <v>8149</v>
      </c>
      <c r="D5231" s="3" t="s">
        <v>10164</v>
      </c>
      <c r="E5231" s="3" t="s">
        <v>10155</v>
      </c>
      <c r="F5231" s="3" t="s">
        <v>10156</v>
      </c>
      <c r="G5231" s="3" t="str">
        <f>IFERROR(__xludf.DUMMYFUNCTION("GOOGLETRANSLATE(D5231,""ja"",""es"")"),"Forma del cuerpo")</f>
        <v>Forma del cuerpo</v>
      </c>
      <c r="H5231" s="3" t="s">
        <v>10160</v>
      </c>
      <c r="I5231" s="3" t="s">
        <v>10161</v>
      </c>
      <c r="J5231" s="3" t="s">
        <v>10162</v>
      </c>
      <c r="K5231" s="3" t="s">
        <v>10163</v>
      </c>
    </row>
    <row r="5232">
      <c r="A5232" s="3">
        <v>642.0</v>
      </c>
      <c r="B5232" s="3" t="s">
        <v>8148</v>
      </c>
      <c r="C5232" s="3" t="s">
        <v>8149</v>
      </c>
      <c r="D5232" s="3" t="s">
        <v>10165</v>
      </c>
      <c r="E5232" s="3" t="s">
        <v>9642</v>
      </c>
      <c r="F5232" s="3" t="s">
        <v>9643</v>
      </c>
      <c r="G5232" s="3" t="str">
        <f>IFERROR(__xludf.DUMMYFUNCTION("GOOGLETRANSLATE(D5232,""ja"",""es"")"),"De lo contrario")</f>
        <v>De lo contrario</v>
      </c>
      <c r="H5232" s="3" t="s">
        <v>549</v>
      </c>
      <c r="I5232" s="3" t="s">
        <v>548</v>
      </c>
      <c r="J5232" s="3" t="s">
        <v>548</v>
      </c>
    </row>
    <row r="5233">
      <c r="A5233" s="3">
        <v>643.0</v>
      </c>
      <c r="B5233" s="3" t="s">
        <v>8148</v>
      </c>
      <c r="C5233" s="3" t="s">
        <v>8149</v>
      </c>
      <c r="D5233" s="3" t="s">
        <v>10166</v>
      </c>
      <c r="E5233" s="3" t="s">
        <v>10167</v>
      </c>
      <c r="F5233" s="3" t="s">
        <v>10168</v>
      </c>
      <c r="G5233" s="3" t="str">
        <f>IFERROR(__xludf.DUMMYFUNCTION("GOOGLETRANSLATE(D5233,""ja"",""es"")"),"aguja")</f>
        <v>aguja</v>
      </c>
      <c r="H5233" s="3" t="s">
        <v>10169</v>
      </c>
      <c r="I5233" s="3" t="s">
        <v>10170</v>
      </c>
      <c r="J5233" s="3" t="s">
        <v>10170</v>
      </c>
    </row>
    <row r="5234">
      <c r="A5234" s="3">
        <v>644.0</v>
      </c>
      <c r="B5234" s="3" t="s">
        <v>8148</v>
      </c>
      <c r="C5234" s="3" t="s">
        <v>8149</v>
      </c>
      <c r="D5234" s="3" t="s">
        <v>10171</v>
      </c>
      <c r="E5234" s="3" t="s">
        <v>10172</v>
      </c>
      <c r="F5234" s="3" t="s">
        <v>10173</v>
      </c>
      <c r="G5234" s="3" t="str">
        <f>IFERROR(__xludf.DUMMYFUNCTION("GOOGLETRANSLATE(D5234,""ja"",""es"")"),"Montaña de agujas")</f>
        <v>Montaña de agujas</v>
      </c>
      <c r="H5234" s="3" t="s">
        <v>10174</v>
      </c>
    </row>
    <row r="5235">
      <c r="A5235" s="3">
        <v>645.0</v>
      </c>
      <c r="B5235" s="3" t="s">
        <v>8148</v>
      </c>
      <c r="C5235" s="3" t="s">
        <v>8149</v>
      </c>
      <c r="D5235" s="3" t="s">
        <v>10175</v>
      </c>
      <c r="E5235" s="3" t="s">
        <v>10176</v>
      </c>
      <c r="F5235" s="3" t="s">
        <v>10177</v>
      </c>
      <c r="G5235" s="3" t="str">
        <f>IFERROR(__xludf.DUMMYFUNCTION("GOOGLETRANSLATE(D5235,""ja"",""es"")"),"Consejo")</f>
        <v>Consejo</v>
      </c>
    </row>
    <row r="5236">
      <c r="A5236" s="3">
        <v>646.0</v>
      </c>
      <c r="B5236" s="3" t="s">
        <v>8148</v>
      </c>
      <c r="C5236" s="3" t="s">
        <v>8149</v>
      </c>
      <c r="D5236" s="3" t="s">
        <v>10178</v>
      </c>
      <c r="E5236" s="3" t="s">
        <v>10179</v>
      </c>
      <c r="F5236" s="3" t="s">
        <v>10180</v>
      </c>
      <c r="G5236" s="3" t="str">
        <f>IFERROR(__xludf.DUMMYFUNCTION("GOOGLETRANSLATE(D5236,""ja"",""es"")"),"Intencionalmente")</f>
        <v>Intencionalmente</v>
      </c>
    </row>
    <row r="5237">
      <c r="A5237" s="3">
        <v>647.0</v>
      </c>
      <c r="B5237" s="3" t="s">
        <v>8148</v>
      </c>
      <c r="C5237" s="3" t="s">
        <v>8149</v>
      </c>
      <c r="D5237" s="3" t="s">
        <v>10181</v>
      </c>
      <c r="E5237" s="3" t="s">
        <v>1345</v>
      </c>
      <c r="F5237" s="3" t="s">
        <v>1346</v>
      </c>
      <c r="G5237" s="3" t="str">
        <f>IFERROR(__xludf.DUMMYFUNCTION("GOOGLETRANSLATE(D5237,""ja"",""es"")"),"A granel")</f>
        <v>A granel</v>
      </c>
      <c r="H5237" s="3" t="s">
        <v>3562</v>
      </c>
    </row>
    <row r="5238">
      <c r="A5238" s="3">
        <v>648.0</v>
      </c>
      <c r="B5238" s="3" t="s">
        <v>8148</v>
      </c>
      <c r="C5238" s="3" t="s">
        <v>8149</v>
      </c>
      <c r="D5238" s="3" t="s">
        <v>10182</v>
      </c>
      <c r="E5238" s="3" t="s">
        <v>10167</v>
      </c>
      <c r="F5238" s="3" t="s">
        <v>10168</v>
      </c>
      <c r="G5238" s="3" t="str">
        <f>IFERROR(__xludf.DUMMYFUNCTION("GOOGLETRANSLATE(D5238,""ja"",""es"")"),"Extremadamente positivo")</f>
        <v>Extremadamente positivo</v>
      </c>
    </row>
    <row r="5239">
      <c r="A5239" s="3">
        <v>649.0</v>
      </c>
      <c r="B5239" s="3" t="s">
        <v>8148</v>
      </c>
      <c r="C5239" s="3" t="s">
        <v>8149</v>
      </c>
      <c r="D5239" s="3" t="s">
        <v>10183</v>
      </c>
      <c r="E5239" s="3" t="s">
        <v>8322</v>
      </c>
      <c r="F5239" s="3" t="s">
        <v>8323</v>
      </c>
      <c r="G5239" s="3" t="str">
        <f>IFERROR(__xludf.DUMMYFUNCTION("GOOGLETRANSLATE(D5239,""ja"",""es"")"),"Consecuencias")</f>
        <v>Consecuencias</v>
      </c>
    </row>
    <row r="5240">
      <c r="A5240" s="3">
        <v>650.0</v>
      </c>
      <c r="B5240" s="3" t="s">
        <v>8148</v>
      </c>
      <c r="C5240" s="3" t="s">
        <v>8149</v>
      </c>
      <c r="D5240" s="3" t="s">
        <v>10184</v>
      </c>
      <c r="E5240" s="3" t="s">
        <v>10073</v>
      </c>
      <c r="F5240" s="3" t="s">
        <v>10074</v>
      </c>
      <c r="G5240" s="3" t="str">
        <f>IFERROR(__xludf.DUMMYFUNCTION("GOOGLETRANSLATE(D5240,""ja"",""es"")"),"Exactamente")</f>
        <v>Exactamente</v>
      </c>
      <c r="H5240" s="3" t="s">
        <v>10185</v>
      </c>
      <c r="I5240" s="3" t="s">
        <v>10186</v>
      </c>
      <c r="J5240" s="3" t="s">
        <v>10187</v>
      </c>
      <c r="K5240" s="3" t="s">
        <v>10188</v>
      </c>
      <c r="L5240" s="3" t="s">
        <v>10189</v>
      </c>
      <c r="M5240" s="3" t="s">
        <v>10190</v>
      </c>
      <c r="N5240" s="3" t="s">
        <v>5019</v>
      </c>
      <c r="O5240" s="3" t="s">
        <v>5020</v>
      </c>
      <c r="P5240" s="3" t="s">
        <v>3288</v>
      </c>
      <c r="Q5240" s="3" t="s">
        <v>10075</v>
      </c>
      <c r="R5240" s="3" t="s">
        <v>720</v>
      </c>
      <c r="S5240" s="3" t="s">
        <v>10076</v>
      </c>
      <c r="T5240" s="3" t="s">
        <v>3288</v>
      </c>
      <c r="U5240" s="3" t="s">
        <v>3287</v>
      </c>
      <c r="V5240" s="3" t="s">
        <v>5019</v>
      </c>
      <c r="W5240" s="3" t="s">
        <v>8422</v>
      </c>
      <c r="X5240" s="3" t="s">
        <v>5020</v>
      </c>
      <c r="Y5240" s="3" t="s">
        <v>5019</v>
      </c>
      <c r="Z5240" s="3" t="s">
        <v>5020</v>
      </c>
      <c r="AA5240" s="3" t="s">
        <v>5021</v>
      </c>
      <c r="AB5240" s="3" t="s">
        <v>5022</v>
      </c>
      <c r="AC5240" s="3" t="s">
        <v>5023</v>
      </c>
    </row>
    <row r="5241">
      <c r="A5241" s="3">
        <v>651.0</v>
      </c>
      <c r="B5241" s="3" t="s">
        <v>8148</v>
      </c>
      <c r="C5241" s="3" t="s">
        <v>8149</v>
      </c>
      <c r="D5241" s="3" t="s">
        <v>10191</v>
      </c>
      <c r="E5241" s="3" t="s">
        <v>8762</v>
      </c>
      <c r="F5241" s="3" t="s">
        <v>8763</v>
      </c>
      <c r="G5241" s="3" t="str">
        <f>IFERROR(__xludf.DUMMYFUNCTION("GOOGLETRANSLATE(D5241,""ja"",""es"")"),"Árbol primario")</f>
        <v>Árbol primario</v>
      </c>
    </row>
    <row r="5242">
      <c r="A5242" s="3">
        <v>652.0</v>
      </c>
      <c r="B5242" s="3" t="s">
        <v>8148</v>
      </c>
      <c r="C5242" s="3" t="s">
        <v>8149</v>
      </c>
      <c r="D5242" s="3" t="s">
        <v>10192</v>
      </c>
      <c r="E5242" s="3" t="s">
        <v>10193</v>
      </c>
      <c r="F5242" s="3" t="s">
        <v>10194</v>
      </c>
      <c r="G5242" s="3" t="str">
        <f>IFERROR(__xludf.DUMMYFUNCTION("GOOGLETRANSLATE(D5242,""ja"",""es"")"),"Claro")</f>
        <v>Claro</v>
      </c>
      <c r="H5242" s="3" t="s">
        <v>10195</v>
      </c>
      <c r="I5242" s="3" t="s">
        <v>8261</v>
      </c>
      <c r="J5242" s="3" t="s">
        <v>10196</v>
      </c>
    </row>
    <row r="5243">
      <c r="A5243" s="3">
        <v>653.0</v>
      </c>
      <c r="B5243" s="3" t="s">
        <v>8148</v>
      </c>
      <c r="C5243" s="3" t="s">
        <v>8149</v>
      </c>
      <c r="D5243" s="3" t="s">
        <v>10197</v>
      </c>
      <c r="E5243" s="3" t="s">
        <v>8550</v>
      </c>
      <c r="F5243" s="3" t="s">
        <v>8551</v>
      </c>
      <c r="G5243" s="3" t="str">
        <f>IFERROR(__xludf.DUMMYFUNCTION("GOOGLETRANSLATE(D5243,""ja"",""es"")"),"Vida")</f>
        <v>Vida</v>
      </c>
    </row>
    <row r="5244">
      <c r="A5244" s="3">
        <v>654.0</v>
      </c>
      <c r="B5244" s="3" t="s">
        <v>8148</v>
      </c>
      <c r="C5244" s="3" t="s">
        <v>8149</v>
      </c>
      <c r="D5244" s="3" t="s">
        <v>10198</v>
      </c>
      <c r="E5244" s="3" t="s">
        <v>10199</v>
      </c>
      <c r="F5244" s="3" t="s">
        <v>10200</v>
      </c>
      <c r="G5244" s="3" t="str">
        <f>IFERROR(__xludf.DUMMYFUNCTION("GOOGLETRANSLATE(D5244,""ja"",""es"")"),"viví")</f>
        <v>viví</v>
      </c>
    </row>
    <row r="5245">
      <c r="A5245" s="3">
        <v>655.0</v>
      </c>
      <c r="B5245" s="3" t="s">
        <v>8148</v>
      </c>
      <c r="C5245" s="3" t="s">
        <v>8149</v>
      </c>
      <c r="D5245" s="3" t="s">
        <v>10201</v>
      </c>
      <c r="E5245" s="3" t="s">
        <v>10202</v>
      </c>
      <c r="F5245" s="3" t="s">
        <v>10203</v>
      </c>
      <c r="G5245" s="3" t="str">
        <f>IFERROR(__xludf.DUMMYFUNCTION("GOOGLETRANSLATE(D5245,""ja"",""es"")"),"Vida")</f>
        <v>Vida</v>
      </c>
    </row>
    <row r="5246">
      <c r="A5246" s="3">
        <v>656.0</v>
      </c>
      <c r="B5246" s="3" t="s">
        <v>8148</v>
      </c>
      <c r="C5246" s="3" t="s">
        <v>8149</v>
      </c>
      <c r="D5246" s="3" t="s">
        <v>10204</v>
      </c>
      <c r="E5246" s="3" t="s">
        <v>10205</v>
      </c>
      <c r="F5246" s="3" t="s">
        <v>10206</v>
      </c>
      <c r="G5246" s="3" t="str">
        <f>IFERROR(__xludf.DUMMYFUNCTION("GOOGLETRANSLATE(D5246,""ja"",""es"")"),"Estilo de vida")</f>
        <v>Estilo de vida</v>
      </c>
      <c r="H5246" s="3" t="s">
        <v>10207</v>
      </c>
      <c r="I5246" s="3" t="s">
        <v>10208</v>
      </c>
      <c r="J5246" s="3" t="s">
        <v>10209</v>
      </c>
      <c r="K5246" s="3" t="s">
        <v>10210</v>
      </c>
    </row>
    <row r="5247">
      <c r="A5247" s="3">
        <v>657.0</v>
      </c>
      <c r="B5247" s="3" t="s">
        <v>8148</v>
      </c>
      <c r="C5247" s="3" t="s">
        <v>8149</v>
      </c>
      <c r="D5247" s="3" t="s">
        <v>10211</v>
      </c>
      <c r="E5247" s="3" t="s">
        <v>10212</v>
      </c>
      <c r="F5247" s="3" t="s">
        <v>10213</v>
      </c>
      <c r="G5247" s="3" t="str">
        <f>IFERROR(__xludf.DUMMYFUNCTION("GOOGLETRANSLATE(D5247,""ja"",""es"")"),"Nativo")</f>
        <v>Nativo</v>
      </c>
    </row>
    <row r="5248">
      <c r="A5248" s="3">
        <v>658.0</v>
      </c>
      <c r="B5248" s="3" t="s">
        <v>8148</v>
      </c>
      <c r="C5248" s="3" t="s">
        <v>8149</v>
      </c>
      <c r="D5248" s="3" t="s">
        <v>10214</v>
      </c>
      <c r="E5248" s="3" t="s">
        <v>10215</v>
      </c>
      <c r="F5248" s="3" t="s">
        <v>10216</v>
      </c>
      <c r="G5248" s="3" t="str">
        <f>IFERROR(__xludf.DUMMYFUNCTION("GOOGLETRANSLATE(D5248,""ja"",""es"")"),"Forma cruda")</f>
        <v>Forma cruda</v>
      </c>
    </row>
    <row r="5249">
      <c r="A5249" s="3">
        <v>659.0</v>
      </c>
      <c r="B5249" s="3" t="s">
        <v>8148</v>
      </c>
      <c r="C5249" s="3" t="s">
        <v>8149</v>
      </c>
      <c r="D5249" s="3" t="s">
        <v>10217</v>
      </c>
      <c r="E5249" s="3" t="s">
        <v>10218</v>
      </c>
      <c r="F5249" s="3" t="s">
        <v>10219</v>
      </c>
      <c r="G5249" s="3" t="str">
        <f>IFERROR(__xludf.DUMMYFUNCTION("GOOGLETRANSLATE(D5249,""ja"",""es"")"),"Madurez")</f>
        <v>Madurez</v>
      </c>
    </row>
    <row r="5250">
      <c r="A5250" s="3">
        <v>660.0</v>
      </c>
      <c r="B5250" s="3" t="s">
        <v>8148</v>
      </c>
      <c r="C5250" s="3" t="s">
        <v>8149</v>
      </c>
      <c r="D5250" s="3" t="s">
        <v>10220</v>
      </c>
      <c r="E5250" s="3" t="s">
        <v>10212</v>
      </c>
      <c r="F5250" s="3" t="s">
        <v>10213</v>
      </c>
      <c r="G5250" s="3" t="str">
        <f>IFERROR(__xludf.DUMMYFUNCTION("GOOGLETRANSLATE(D5250,""ja"",""es"")"),"Medio crudo")</f>
        <v>Medio crudo</v>
      </c>
    </row>
    <row r="5251">
      <c r="A5251" s="3">
        <v>661.0</v>
      </c>
      <c r="B5251" s="3" t="s">
        <v>8148</v>
      </c>
      <c r="C5251" s="3" t="s">
        <v>8149</v>
      </c>
      <c r="D5251" s="3" t="s">
        <v>10221</v>
      </c>
      <c r="E5251" s="3" t="s">
        <v>10222</v>
      </c>
      <c r="F5251" s="3" t="s">
        <v>10223</v>
      </c>
      <c r="G5251" s="3" t="str">
        <f>IFERROR(__xludf.DUMMYFUNCTION("GOOGLETRANSLATE(D5251,""ja"",""es"")"),"Árbol crudo")</f>
        <v>Árbol crudo</v>
      </c>
      <c r="H5251" s="3" t="s">
        <v>10224</v>
      </c>
    </row>
    <row r="5252">
      <c r="A5252" s="3">
        <v>662.0</v>
      </c>
      <c r="B5252" s="3" t="s">
        <v>8148</v>
      </c>
      <c r="C5252" s="3" t="s">
        <v>8149</v>
      </c>
      <c r="D5252" s="3" t="s">
        <v>10225</v>
      </c>
      <c r="E5252" s="3" t="s">
        <v>268</v>
      </c>
      <c r="F5252" s="3" t="s">
        <v>269</v>
      </c>
      <c r="G5252" s="3" t="str">
        <f>IFERROR(__xludf.DUMMYFUNCTION("GOOGLETRANSLATE(D5252,""ja"",""es"")"),"rojo")</f>
        <v>rojo</v>
      </c>
      <c r="H5252" s="3" t="s">
        <v>10226</v>
      </c>
      <c r="I5252" s="3" t="s">
        <v>10227</v>
      </c>
      <c r="J5252" s="3" t="s">
        <v>10228</v>
      </c>
      <c r="K5252" s="3" t="s">
        <v>10229</v>
      </c>
      <c r="L5252" s="3" t="s">
        <v>10228</v>
      </c>
      <c r="M5252" s="3" t="s">
        <v>10230</v>
      </c>
      <c r="N5252" s="3" t="s">
        <v>10231</v>
      </c>
      <c r="O5252" s="3" t="s">
        <v>10232</v>
      </c>
    </row>
    <row r="5253">
      <c r="A5253" s="3">
        <v>663.0</v>
      </c>
      <c r="B5253" s="3" t="s">
        <v>8148</v>
      </c>
      <c r="C5253" s="3" t="s">
        <v>8149</v>
      </c>
      <c r="D5253" s="3" t="s">
        <v>10233</v>
      </c>
      <c r="E5253" s="3" t="s">
        <v>10234</v>
      </c>
      <c r="F5253" s="3" t="s">
        <v>10235</v>
      </c>
      <c r="G5253" s="3" t="str">
        <f>IFERROR(__xludf.DUMMYFUNCTION("GOOGLETRANSLATE(D5253,""ja"",""es"")"),"Enrojecimiento")</f>
        <v>Enrojecimiento</v>
      </c>
      <c r="H5253" s="3" t="s">
        <v>10226</v>
      </c>
      <c r="I5253" s="3" t="s">
        <v>10227</v>
      </c>
    </row>
    <row r="5254">
      <c r="A5254" s="3">
        <v>664.0</v>
      </c>
      <c r="B5254" s="3" t="s">
        <v>8148</v>
      </c>
      <c r="C5254" s="3" t="s">
        <v>8149</v>
      </c>
      <c r="D5254" s="3" t="s">
        <v>10236</v>
      </c>
      <c r="E5254" s="3" t="s">
        <v>8487</v>
      </c>
      <c r="F5254" s="3" t="s">
        <v>8488</v>
      </c>
      <c r="G5254" s="3" t="str">
        <f>IFERROR(__xludf.DUMMYFUNCTION("GOOGLETRANSLATE(D5254,""ja"",""es"")"),"Akabane")</f>
        <v>Akabane</v>
      </c>
    </row>
    <row r="5255">
      <c r="A5255" s="3">
        <v>665.0</v>
      </c>
      <c r="B5255" s="3" t="s">
        <v>8148</v>
      </c>
      <c r="C5255" s="3" t="s">
        <v>8149</v>
      </c>
      <c r="D5255" s="3" t="s">
        <v>10237</v>
      </c>
      <c r="E5255" s="3" t="s">
        <v>8487</v>
      </c>
      <c r="F5255" s="3" t="s">
        <v>8488</v>
      </c>
      <c r="G5255" s="3" t="str">
        <f>IFERROR(__xludf.DUMMYFUNCTION("GOOGLETRANSLATE(D5255,""ja"",""es"")"),"bandera roja")</f>
        <v>bandera roja</v>
      </c>
      <c r="H5255" s="3" t="s">
        <v>10238</v>
      </c>
      <c r="I5255" s="3" t="s">
        <v>10238</v>
      </c>
    </row>
    <row r="5256">
      <c r="A5256" s="3">
        <v>666.0</v>
      </c>
      <c r="B5256" s="3" t="s">
        <v>8148</v>
      </c>
      <c r="C5256" s="3" t="s">
        <v>8149</v>
      </c>
      <c r="D5256" s="3" t="s">
        <v>10239</v>
      </c>
      <c r="E5256" s="3" t="s">
        <v>10234</v>
      </c>
      <c r="F5256" s="3" t="s">
        <v>10235</v>
      </c>
      <c r="G5256" s="3" t="str">
        <f>IFERROR(__xludf.DUMMYFUNCTION("GOOGLETRANSLATE(D5256,""ja"",""es"")"),"Rojo")</f>
        <v>Rojo</v>
      </c>
    </row>
    <row r="5257">
      <c r="A5257" s="3">
        <v>667.0</v>
      </c>
      <c r="B5257" s="3" t="s">
        <v>8148</v>
      </c>
      <c r="C5257" s="3" t="s">
        <v>8149</v>
      </c>
      <c r="D5257" s="3" t="s">
        <v>10240</v>
      </c>
      <c r="E5257" s="3" t="s">
        <v>10241</v>
      </c>
      <c r="F5257" s="3" t="s">
        <v>10242</v>
      </c>
      <c r="G5257" s="3" t="str">
        <f>IFERROR(__xludf.DUMMYFUNCTION("GOOGLETRANSLATE(D5257,""ja"",""es"")"),"nariz roja")</f>
        <v>nariz roja</v>
      </c>
      <c r="H5257" s="3" t="s">
        <v>10243</v>
      </c>
      <c r="I5257" s="3" t="s">
        <v>10244</v>
      </c>
      <c r="J5257" s="3" t="s">
        <v>10245</v>
      </c>
      <c r="K5257" s="3" t="s">
        <v>10246</v>
      </c>
      <c r="L5257" s="3" t="s">
        <v>10247</v>
      </c>
      <c r="M5257" s="3" t="s">
        <v>10248</v>
      </c>
      <c r="N5257" s="3" t="s">
        <v>10249</v>
      </c>
      <c r="O5257" s="3" t="s">
        <v>10250</v>
      </c>
      <c r="P5257" s="3" t="s">
        <v>10251</v>
      </c>
    </row>
    <row r="5258">
      <c r="A5258" s="3">
        <v>668.0</v>
      </c>
      <c r="B5258" s="3" t="s">
        <v>8148</v>
      </c>
      <c r="C5258" s="3" t="s">
        <v>8149</v>
      </c>
      <c r="D5258" s="3" t="s">
        <v>10252</v>
      </c>
      <c r="E5258" s="3" t="s">
        <v>8490</v>
      </c>
      <c r="F5258" s="3" t="s">
        <v>8491</v>
      </c>
      <c r="G5258" s="3" t="str">
        <f>IFERROR(__xludf.DUMMYFUNCTION("GOOGLETRANSLATE(D5258,""ja"",""es"")"),"Estómago rojizo")</f>
        <v>Estómago rojizo</v>
      </c>
      <c r="H5258" s="3" t="s">
        <v>10253</v>
      </c>
    </row>
    <row r="5259">
      <c r="A5259" s="3">
        <v>669.0</v>
      </c>
      <c r="B5259" s="3" t="s">
        <v>8148</v>
      </c>
      <c r="C5259" s="3" t="s">
        <v>8149</v>
      </c>
      <c r="D5259" s="3" t="s">
        <v>10254</v>
      </c>
      <c r="E5259" s="3" t="s">
        <v>10234</v>
      </c>
      <c r="F5259" s="3" t="s">
        <v>10235</v>
      </c>
      <c r="G5259" s="3" t="str">
        <f>IFERROR(__xludf.DUMMYFUNCTION("GOOGLETRANSLATE(D5259,""ja"",""es"")"),"Enrojecimiento")</f>
        <v>Enrojecimiento</v>
      </c>
    </row>
    <row r="5260">
      <c r="A5260" s="3">
        <v>670.0</v>
      </c>
      <c r="B5260" s="3" t="s">
        <v>8148</v>
      </c>
      <c r="C5260" s="3" t="s">
        <v>8149</v>
      </c>
      <c r="D5260" s="3" t="s">
        <v>10255</v>
      </c>
      <c r="E5260" s="3" t="s">
        <v>8619</v>
      </c>
      <c r="F5260" s="3" t="s">
        <v>8620</v>
      </c>
      <c r="G5260" s="3" t="str">
        <f>IFERROR(__xludf.DUMMYFUNCTION("GOOGLETRANSLATE(D5260,""ja"",""es"")"),"Separar")</f>
        <v>Separar</v>
      </c>
    </row>
    <row r="5261">
      <c r="A5261" s="3">
        <v>671.0</v>
      </c>
      <c r="B5261" s="3" t="s">
        <v>8148</v>
      </c>
      <c r="C5261" s="3" t="s">
        <v>8149</v>
      </c>
      <c r="D5261" s="3" t="s">
        <v>10256</v>
      </c>
      <c r="E5261" s="3" t="s">
        <v>10257</v>
      </c>
      <c r="F5261" s="3" t="s">
        <v>10258</v>
      </c>
      <c r="G5261" s="3" t="str">
        <f>IFERROR(__xludf.DUMMYFUNCTION("GOOGLETRANSLATE(D5261,""ja"",""es"")"),"Digitación")</f>
        <v>Digitación</v>
      </c>
    </row>
    <row r="5262">
      <c r="A5262" s="3">
        <v>672.0</v>
      </c>
      <c r="B5262" s="3" t="s">
        <v>8148</v>
      </c>
      <c r="C5262" s="3" t="s">
        <v>8149</v>
      </c>
      <c r="D5262" s="3" t="s">
        <v>10259</v>
      </c>
      <c r="E5262" s="3" t="s">
        <v>10260</v>
      </c>
      <c r="F5262" s="3" t="s">
        <v>10261</v>
      </c>
      <c r="G5262" s="3" t="str">
        <f>IFERROR(__xludf.DUMMYFUNCTION("GOOGLETRANSLATE(D5262,""ja"",""es"")"),"Separar")</f>
        <v>Separar</v>
      </c>
    </row>
    <row r="5263">
      <c r="A5263" s="3">
        <v>673.0</v>
      </c>
      <c r="B5263" s="3" t="s">
        <v>8148</v>
      </c>
      <c r="C5263" s="3" t="s">
        <v>8149</v>
      </c>
      <c r="D5263" s="3" t="s">
        <v>10262</v>
      </c>
      <c r="E5263" s="3" t="s">
        <v>10263</v>
      </c>
      <c r="F5263" s="3" t="s">
        <v>10264</v>
      </c>
      <c r="G5263" s="3" t="str">
        <f>IFERROR(__xludf.DUMMYFUNCTION("GOOGLETRANSLATE(D5263,""ja"",""es"")"),"Palillos")</f>
        <v>Palillos</v>
      </c>
      <c r="H5263" s="3" t="s">
        <v>326</v>
      </c>
      <c r="I5263" s="3" t="s">
        <v>2190</v>
      </c>
    </row>
    <row r="5264">
      <c r="A5264" s="3">
        <v>674.0</v>
      </c>
      <c r="B5264" s="3" t="s">
        <v>8148</v>
      </c>
      <c r="C5264" s="3" t="s">
        <v>8149</v>
      </c>
      <c r="D5264" s="3" t="s">
        <v>10265</v>
      </c>
      <c r="E5264" s="3" t="s">
        <v>10266</v>
      </c>
      <c r="F5264" s="3" t="s">
        <v>10267</v>
      </c>
      <c r="G5264" s="3" t="str">
        <f>IFERROR(__xludf.DUMMYFUNCTION("GOOGLETRANSLATE(D5264,""ja"",""es"")"),"Campo en rodajas")</f>
        <v>Campo en rodajas</v>
      </c>
    </row>
    <row r="5265">
      <c r="A5265" s="3">
        <v>675.0</v>
      </c>
      <c r="B5265" s="3" t="s">
        <v>8148</v>
      </c>
      <c r="C5265" s="3" t="s">
        <v>8149</v>
      </c>
      <c r="D5265" s="3" t="s">
        <v>10268</v>
      </c>
      <c r="E5265" s="3" t="s">
        <v>10269</v>
      </c>
      <c r="F5265" s="3" t="s">
        <v>10270</v>
      </c>
      <c r="G5265" s="3" t="str">
        <f>IFERROR(__xludf.DUMMYFUNCTION("GOOGLETRANSLATE(D5265,""ja"",""es"")"),"Cómo cortar")</f>
        <v>Cómo cortar</v>
      </c>
    </row>
    <row r="5266">
      <c r="A5266" s="3">
        <v>676.0</v>
      </c>
      <c r="B5266" s="3" t="s">
        <v>8148</v>
      </c>
      <c r="C5266" s="3" t="s">
        <v>8149</v>
      </c>
      <c r="D5266" s="3" t="s">
        <v>10271</v>
      </c>
      <c r="E5266" s="3" t="s">
        <v>10263</v>
      </c>
      <c r="F5266" s="3" t="s">
        <v>10264</v>
      </c>
      <c r="G5266" s="3" t="str">
        <f>IFERROR(__xludf.DUMMYFUNCTION("GOOGLETRANSLATE(D5266,""ja"",""es"")"),"Corte")</f>
        <v>Corte</v>
      </c>
      <c r="H5266" s="3" t="s">
        <v>326</v>
      </c>
      <c r="I5266" s="3" t="s">
        <v>2190</v>
      </c>
    </row>
    <row r="5267">
      <c r="A5267" s="3">
        <v>677.0</v>
      </c>
      <c r="B5267" s="3" t="s">
        <v>8148</v>
      </c>
      <c r="C5267" s="3" t="s">
        <v>8149</v>
      </c>
      <c r="D5267" s="3" t="s">
        <v>10272</v>
      </c>
      <c r="E5267" s="3" t="s">
        <v>10257</v>
      </c>
      <c r="F5267" s="3" t="s">
        <v>10258</v>
      </c>
      <c r="G5267" s="3" t="str">
        <f>IFERROR(__xludf.DUMMYFUNCTION("GOOGLETRANSLATE(D5267,""ja"",""es"")"),"Separar")</f>
        <v>Separar</v>
      </c>
      <c r="H5267" s="3" t="s">
        <v>10273</v>
      </c>
    </row>
    <row r="5268">
      <c r="A5268" s="3">
        <v>678.0</v>
      </c>
      <c r="B5268" s="3" t="s">
        <v>8148</v>
      </c>
      <c r="C5268" s="3" t="s">
        <v>8149</v>
      </c>
      <c r="D5268" s="3" t="s">
        <v>10274</v>
      </c>
      <c r="E5268" s="3" t="s">
        <v>10266</v>
      </c>
      <c r="F5268" s="3" t="s">
        <v>10267</v>
      </c>
      <c r="G5268" s="3" t="str">
        <f>IFERROR(__xludf.DUMMYFUNCTION("GOOGLETRANSLATE(D5268,""ja"",""es"")"),"Campo de corte")</f>
        <v>Campo de corte</v>
      </c>
    </row>
    <row r="5269">
      <c r="A5269" s="3">
        <v>679.0</v>
      </c>
      <c r="B5269" s="3" t="s">
        <v>8148</v>
      </c>
      <c r="C5269" s="3" t="s">
        <v>8149</v>
      </c>
      <c r="D5269" s="3" t="s">
        <v>10275</v>
      </c>
      <c r="E5269" s="3" t="s">
        <v>9836</v>
      </c>
      <c r="F5269" s="3" t="s">
        <v>9837</v>
      </c>
      <c r="G5269" s="3" t="str">
        <f>IFERROR(__xludf.DUMMYFUNCTION("GOOGLETRANSLATE(D5269,""ja"",""es"")"),"Adelante")</f>
        <v>Adelante</v>
      </c>
    </row>
    <row r="5270">
      <c r="A5270" s="3">
        <v>680.0</v>
      </c>
      <c r="B5270" s="3" t="s">
        <v>8148</v>
      </c>
      <c r="C5270" s="3" t="s">
        <v>8149</v>
      </c>
      <c r="D5270" s="3" t="s">
        <v>10276</v>
      </c>
      <c r="E5270" s="3" t="s">
        <v>10277</v>
      </c>
      <c r="F5270" s="3" t="s">
        <v>10278</v>
      </c>
      <c r="G5270" s="3" t="str">
        <f>IFERROR(__xludf.DUMMYFUNCTION("GOOGLETRANSLATE(D5270,""ja"",""es"")"),"minero hábil")</f>
        <v>minero hábil</v>
      </c>
    </row>
    <row r="5271">
      <c r="A5271" s="3">
        <v>681.0</v>
      </c>
      <c r="B5271" s="3" t="s">
        <v>8148</v>
      </c>
      <c r="C5271" s="3" t="s">
        <v>8149</v>
      </c>
      <c r="D5271" s="3" t="s">
        <v>10279</v>
      </c>
      <c r="E5271" s="3" t="s">
        <v>10280</v>
      </c>
      <c r="F5271" s="3" t="s">
        <v>10281</v>
      </c>
      <c r="G5271" s="3" t="str">
        <f>IFERROR(__xludf.DUMMYFUNCTION("GOOGLETRANSLATE(D5271,""ja"",""es"")"),"Más temprano")</f>
        <v>Más temprano</v>
      </c>
    </row>
    <row r="5272">
      <c r="A5272" s="3">
        <v>682.0</v>
      </c>
      <c r="B5272" s="3" t="s">
        <v>8148</v>
      </c>
      <c r="C5272" s="3" t="s">
        <v>8149</v>
      </c>
      <c r="D5272" s="3" t="s">
        <v>10282</v>
      </c>
      <c r="E5272" s="3" t="s">
        <v>10283</v>
      </c>
      <c r="F5272" s="3" t="s">
        <v>10284</v>
      </c>
      <c r="G5272" s="3" t="str">
        <f>IFERROR(__xludf.DUMMYFUNCTION("GOOGLETRANSLATE(D5272,""ja"",""es"")"),"Poco profundo")</f>
        <v>Poco profundo</v>
      </c>
      <c r="H5272" s="3" t="s">
        <v>10285</v>
      </c>
      <c r="I5272" s="3" t="s">
        <v>10286</v>
      </c>
      <c r="J5272" s="3" t="s">
        <v>10287</v>
      </c>
      <c r="K5272" s="3" t="s">
        <v>10288</v>
      </c>
      <c r="L5272" s="3" t="s">
        <v>10289</v>
      </c>
      <c r="M5272" s="3" t="s">
        <v>10290</v>
      </c>
      <c r="N5272" s="3" t="s">
        <v>10291</v>
      </c>
      <c r="O5272" s="3" t="s">
        <v>10292</v>
      </c>
      <c r="P5272" s="3" t="s">
        <v>10293</v>
      </c>
    </row>
    <row r="5273">
      <c r="A5273" s="3">
        <v>683.0</v>
      </c>
      <c r="B5273" s="3" t="s">
        <v>8148</v>
      </c>
      <c r="C5273" s="3" t="s">
        <v>8149</v>
      </c>
      <c r="D5273" s="3" t="s">
        <v>10294</v>
      </c>
      <c r="E5273" s="3" t="s">
        <v>10283</v>
      </c>
      <c r="F5273" s="3" t="s">
        <v>10284</v>
      </c>
      <c r="G5273" s="3" t="str">
        <f>IFERROR(__xludf.DUMMYFUNCTION("GOOGLETRANSLATE(D5273,""ja"",""es"")"),"Tumba poco profunda")</f>
        <v>Tumba poco profunda</v>
      </c>
      <c r="H5273" s="3" t="s">
        <v>10285</v>
      </c>
      <c r="I5273" s="3" t="s">
        <v>10286</v>
      </c>
      <c r="J5273" s="3" t="s">
        <v>10287</v>
      </c>
      <c r="K5273" s="3" t="s">
        <v>10288</v>
      </c>
      <c r="L5273" s="3" t="s">
        <v>10289</v>
      </c>
      <c r="M5273" s="3" t="s">
        <v>10290</v>
      </c>
      <c r="N5273" s="3" t="s">
        <v>10291</v>
      </c>
      <c r="O5273" s="3" t="s">
        <v>10292</v>
      </c>
      <c r="P5273" s="3" t="s">
        <v>10293</v>
      </c>
      <c r="Q5273" s="3" t="s">
        <v>10295</v>
      </c>
      <c r="R5273" s="3" t="s">
        <v>10296</v>
      </c>
    </row>
    <row r="5274">
      <c r="A5274" s="3">
        <v>684.0</v>
      </c>
      <c r="B5274" s="3" t="s">
        <v>8148</v>
      </c>
      <c r="C5274" s="3" t="s">
        <v>8149</v>
      </c>
      <c r="D5274" s="3" t="s">
        <v>10297</v>
      </c>
      <c r="E5274" s="3" t="s">
        <v>8494</v>
      </c>
      <c r="F5274" s="3" t="s">
        <v>8495</v>
      </c>
      <c r="G5274" s="3" t="str">
        <f>IFERROR(__xludf.DUMMYFUNCTION("GOOGLETRANSLATE(D5274,""ja"",""es"")"),"Superficialidad")</f>
        <v>Superficialidad</v>
      </c>
      <c r="H5274" s="3" t="s">
        <v>10298</v>
      </c>
      <c r="I5274" s="3" t="s">
        <v>10299</v>
      </c>
      <c r="J5274" s="3" t="s">
        <v>10298</v>
      </c>
      <c r="K5274" s="3" t="s">
        <v>10299</v>
      </c>
    </row>
    <row r="5275">
      <c r="A5275" s="3">
        <v>685.0</v>
      </c>
      <c r="B5275" s="3" t="s">
        <v>8148</v>
      </c>
      <c r="C5275" s="3" t="s">
        <v>8149</v>
      </c>
      <c r="D5275" s="3" t="s">
        <v>10300</v>
      </c>
      <c r="E5275" s="3" t="s">
        <v>10301</v>
      </c>
      <c r="F5275" s="3" t="s">
        <v>10302</v>
      </c>
      <c r="G5275" s="3" t="str">
        <f>IFERROR(__xludf.DUMMYFUNCTION("GOOGLETRANSLATE(D5275,""ja"",""es"")"),"En una fila")</f>
        <v>En una fila</v>
      </c>
    </row>
    <row r="5276">
      <c r="A5276" s="3">
        <v>686.0</v>
      </c>
      <c r="B5276" s="3" t="s">
        <v>8148</v>
      </c>
      <c r="C5276" s="3" t="s">
        <v>8149</v>
      </c>
      <c r="D5276" s="3" t="s">
        <v>10303</v>
      </c>
      <c r="E5276" s="3" t="s">
        <v>9753</v>
      </c>
      <c r="F5276" s="3" t="s">
        <v>9754</v>
      </c>
      <c r="G5276" s="3" t="str">
        <f>IFERROR(__xludf.DUMMYFUNCTION("GOOGLETRANSLATE(D5276,""ja"",""es"")"),"Bola áspera")</f>
        <v>Bola áspera</v>
      </c>
    </row>
    <row r="5277">
      <c r="A5277" s="3">
        <v>687.0</v>
      </c>
      <c r="B5277" s="3" t="s">
        <v>8148</v>
      </c>
      <c r="C5277" s="3" t="s">
        <v>8149</v>
      </c>
      <c r="D5277" s="3" t="s">
        <v>10304</v>
      </c>
      <c r="E5277" s="3" t="s">
        <v>9747</v>
      </c>
      <c r="F5277" s="3" t="s">
        <v>9748</v>
      </c>
      <c r="G5277" s="3" t="str">
        <f>IFERROR(__xludf.DUMMYFUNCTION("GOOGLETRANSLATE(D5277,""ja"",""es"")"),"Reducía")</f>
        <v>Reducía</v>
      </c>
    </row>
    <row r="5278">
      <c r="A5278" s="3">
        <v>688.0</v>
      </c>
      <c r="B5278" s="3" t="s">
        <v>8148</v>
      </c>
      <c r="C5278" s="3" t="s">
        <v>8149</v>
      </c>
      <c r="D5278" s="3" t="s">
        <v>10305</v>
      </c>
      <c r="E5278" s="3" t="s">
        <v>9750</v>
      </c>
      <c r="F5278" s="3" t="s">
        <v>9751</v>
      </c>
      <c r="G5278" s="3" t="str">
        <f>IFERROR(__xludf.DUMMYFUNCTION("GOOGLETRANSLATE(D5278,""ja"",""es"")"),"Siembra crujiente")</f>
        <v>Siembra crujiente</v>
      </c>
    </row>
    <row r="5279">
      <c r="A5279" s="3">
        <v>689.0</v>
      </c>
      <c r="B5279" s="3" t="s">
        <v>8148</v>
      </c>
      <c r="C5279" s="3" t="s">
        <v>8149</v>
      </c>
      <c r="D5279" s="3" t="s">
        <v>10306</v>
      </c>
      <c r="E5279" s="3" t="s">
        <v>10307</v>
      </c>
      <c r="F5279" s="3" t="s">
        <v>10308</v>
      </c>
      <c r="G5279" s="3" t="str">
        <f>IFERROR(__xludf.DUMMYFUNCTION("GOOGLETRANSLATE(D5279,""ja"",""es"")"),"Bruto")</f>
        <v>Bruto</v>
      </c>
      <c r="H5279" s="3" t="s">
        <v>10309</v>
      </c>
      <c r="I5279" s="3" t="s">
        <v>10310</v>
      </c>
      <c r="J5279" s="3" t="s">
        <v>10311</v>
      </c>
      <c r="K5279" s="3" t="s">
        <v>10312</v>
      </c>
      <c r="L5279" s="3" t="s">
        <v>10313</v>
      </c>
      <c r="M5279" s="3" t="s">
        <v>10314</v>
      </c>
      <c r="N5279" s="3" t="s">
        <v>10315</v>
      </c>
      <c r="O5279" s="3" t="s">
        <v>10316</v>
      </c>
    </row>
    <row r="5280">
      <c r="A5280" s="3">
        <v>690.0</v>
      </c>
      <c r="B5280" s="3" t="s">
        <v>8148</v>
      </c>
      <c r="C5280" s="3" t="s">
        <v>8149</v>
      </c>
      <c r="D5280" s="3" t="s">
        <v>10317</v>
      </c>
      <c r="E5280" s="3" t="s">
        <v>8528</v>
      </c>
      <c r="F5280" s="3" t="s">
        <v>8529</v>
      </c>
      <c r="G5280" s="3" t="str">
        <f>IFERROR(__xludf.DUMMYFUNCTION("GOOGLETRANSLATE(D5280,""ja"",""es"")"),"Árboles gruesos")</f>
        <v>Árboles gruesos</v>
      </c>
    </row>
    <row r="5281">
      <c r="A5281" s="3">
        <v>691.0</v>
      </c>
      <c r="B5281" s="3" t="s">
        <v>8148</v>
      </c>
      <c r="C5281" s="3" t="s">
        <v>8149</v>
      </c>
      <c r="D5281" s="3" t="s">
        <v>10318</v>
      </c>
      <c r="E5281" s="3" t="s">
        <v>9762</v>
      </c>
      <c r="F5281" s="3" t="s">
        <v>9763</v>
      </c>
      <c r="G5281" s="3" t="str">
        <f>IFERROR(__xludf.DUMMYFUNCTION("GOOGLETRANSLATE(D5281,""ja"",""es"")"),"Margen bruto")</f>
        <v>Margen bruto</v>
      </c>
    </row>
    <row r="5282">
      <c r="A5282" s="3">
        <v>692.0</v>
      </c>
      <c r="B5282" s="3" t="s">
        <v>8148</v>
      </c>
      <c r="C5282" s="3" t="s">
        <v>8149</v>
      </c>
      <c r="D5282" s="3" t="s">
        <v>10319</v>
      </c>
      <c r="E5282" s="3" t="s">
        <v>10320</v>
      </c>
      <c r="F5282" s="3" t="s">
        <v>10321</v>
      </c>
      <c r="G5282" s="3" t="str">
        <f>IFERROR(__xludf.DUMMYFUNCTION("GOOGLETRANSLATE(D5282,""ja"",""es"")"),"Bola de agitación")</f>
        <v>Bola de agitación</v>
      </c>
    </row>
    <row r="5283">
      <c r="A5283" s="3">
        <v>693.0</v>
      </c>
      <c r="B5283" s="3" t="s">
        <v>8148</v>
      </c>
      <c r="C5283" s="3" t="s">
        <v>8149</v>
      </c>
      <c r="D5283" s="3" t="s">
        <v>10322</v>
      </c>
      <c r="E5283" s="3" t="s">
        <v>10320</v>
      </c>
      <c r="F5283" s="3" t="s">
        <v>10321</v>
      </c>
      <c r="G5283" s="3" t="str">
        <f>IFERROR(__xludf.DUMMYFUNCTION("GOOGLETRANSLATE(D5283,""ja"",""es"")"),"Bola de agitación")</f>
        <v>Bola de agitación</v>
      </c>
    </row>
    <row r="5284">
      <c r="A5284" s="3">
        <v>694.0</v>
      </c>
      <c r="B5284" s="3" t="s">
        <v>8148</v>
      </c>
      <c r="C5284" s="3" t="s">
        <v>8149</v>
      </c>
      <c r="D5284" s="3" t="s">
        <v>10323</v>
      </c>
      <c r="E5284" s="3" t="s">
        <v>10324</v>
      </c>
      <c r="F5284" s="3" t="s">
        <v>10325</v>
      </c>
      <c r="G5284" s="3" t="str">
        <f>IFERROR(__xludf.DUMMYFUNCTION("GOOGLETRANSLATE(D5284,""ja"",""es"")"),"velocidad")</f>
        <v>velocidad</v>
      </c>
      <c r="H5284" s="3" t="s">
        <v>10326</v>
      </c>
    </row>
    <row r="5285">
      <c r="A5285" s="3">
        <v>695.0</v>
      </c>
      <c r="B5285" s="3" t="s">
        <v>8148</v>
      </c>
      <c r="C5285" s="3" t="s">
        <v>8149</v>
      </c>
      <c r="D5285" s="3" t="s">
        <v>10327</v>
      </c>
      <c r="E5285" s="3" t="s">
        <v>10328</v>
      </c>
      <c r="F5285" s="3" t="s">
        <v>10329</v>
      </c>
      <c r="G5285" s="3" t="str">
        <f>IFERROR(__xludf.DUMMYFUNCTION("GOOGLETRANSLATE(D5285,""ja"",""es"")"),"Temprano")</f>
        <v>Temprano</v>
      </c>
    </row>
    <row r="5286">
      <c r="A5286" s="3">
        <v>696.0</v>
      </c>
      <c r="B5286" s="3" t="s">
        <v>8148</v>
      </c>
      <c r="C5286" s="3" t="s">
        <v>8149</v>
      </c>
      <c r="D5286" s="3" t="s">
        <v>10330</v>
      </c>
      <c r="E5286" s="3" t="s">
        <v>10331</v>
      </c>
      <c r="F5286" s="3" t="s">
        <v>10332</v>
      </c>
      <c r="G5286" s="3" t="str">
        <f>IFERROR(__xludf.DUMMYFUNCTION("GOOGLETRANSLATE(D5286,""ja"",""es"")"),"Visión rápida")</f>
        <v>Visión rápida</v>
      </c>
      <c r="H5286" s="3" t="s">
        <v>10333</v>
      </c>
      <c r="I5286" s="3" t="s">
        <v>10334</v>
      </c>
    </row>
    <row r="5287">
      <c r="A5287" s="3">
        <v>697.0</v>
      </c>
      <c r="B5287" s="3" t="s">
        <v>8148</v>
      </c>
      <c r="C5287" s="3" t="s">
        <v>8149</v>
      </c>
      <c r="D5287" s="3" t="s">
        <v>10335</v>
      </c>
      <c r="E5287" s="3" t="s">
        <v>10336</v>
      </c>
      <c r="F5287" s="3" t="s">
        <v>10337</v>
      </c>
      <c r="G5287" s="3" t="str">
        <f>IFERROR(__xludf.DUMMYFUNCTION("GOOGLETRANSLATE(D5287,""ja"",""es"")"),"Orejas")</f>
        <v>Orejas</v>
      </c>
    </row>
    <row r="5288">
      <c r="A5288" s="3">
        <v>698.0</v>
      </c>
      <c r="B5288" s="3" t="s">
        <v>8148</v>
      </c>
      <c r="C5288" s="3" t="s">
        <v>8149</v>
      </c>
      <c r="D5288" s="3" t="s">
        <v>10338</v>
      </c>
      <c r="E5288" s="3" t="s">
        <v>10328</v>
      </c>
      <c r="F5288" s="3" t="s">
        <v>10329</v>
      </c>
      <c r="G5288" s="3" t="str">
        <f>IFERROR(__xludf.DUMMYFUNCTION("GOOGLETRANSLATE(D5288,""ja"",""es"")"),"Siembra temprana")</f>
        <v>Siembra temprana</v>
      </c>
    </row>
    <row r="5289">
      <c r="A5289" s="3">
        <v>699.0</v>
      </c>
      <c r="B5289" s="3" t="s">
        <v>8148</v>
      </c>
      <c r="C5289" s="3" t="s">
        <v>8149</v>
      </c>
      <c r="D5289" s="3" t="s">
        <v>10339</v>
      </c>
      <c r="E5289" s="3" t="s">
        <v>9551</v>
      </c>
      <c r="F5289" s="3" t="s">
        <v>9552</v>
      </c>
      <c r="G5289" s="3" t="str">
        <f>IFERROR(__xludf.DUMMYFUNCTION("GOOGLETRANSLATE(D5289,""ja"",""es"")"),"Flecha temprana")</f>
        <v>Flecha temprana</v>
      </c>
    </row>
    <row r="5290">
      <c r="A5290" s="3">
        <v>700.0</v>
      </c>
      <c r="B5290" s="3" t="s">
        <v>8148</v>
      </c>
      <c r="C5290" s="3" t="s">
        <v>8149</v>
      </c>
      <c r="D5290" s="3" t="s">
        <v>10340</v>
      </c>
      <c r="E5290" s="3" t="s">
        <v>10341</v>
      </c>
      <c r="F5290" s="3" t="s">
        <v>10342</v>
      </c>
      <c r="G5290" s="3" t="str">
        <f>IFERROR(__xludf.DUMMYFUNCTION("GOOGLETRANSLATE(D5290,""ja"",""es"")"),"Punta")</f>
        <v>Punta</v>
      </c>
    </row>
    <row r="5291">
      <c r="A5291" s="3">
        <v>701.0</v>
      </c>
      <c r="B5291" s="3" t="s">
        <v>8148</v>
      </c>
      <c r="C5291" s="3" t="s">
        <v>8149</v>
      </c>
      <c r="D5291" s="3" t="s">
        <v>10343</v>
      </c>
      <c r="E5291" s="3" t="s">
        <v>10344</v>
      </c>
      <c r="F5291" s="3" t="s">
        <v>10345</v>
      </c>
      <c r="G5291" s="3" t="str">
        <f>IFERROR(__xludf.DUMMYFUNCTION("GOOGLETRANSLATE(D5291,""ja"",""es"")"),"Constante")</f>
        <v>Constante</v>
      </c>
      <c r="H5291" s="3" t="s">
        <v>10346</v>
      </c>
      <c r="I5291" s="3" t="s">
        <v>10347</v>
      </c>
      <c r="J5291" s="3" t="s">
        <v>7515</v>
      </c>
    </row>
    <row r="5292">
      <c r="A5292" s="3">
        <v>702.0</v>
      </c>
      <c r="B5292" s="3" t="s">
        <v>8148</v>
      </c>
      <c r="C5292" s="3" t="s">
        <v>8149</v>
      </c>
      <c r="D5292" s="3" t="s">
        <v>10348</v>
      </c>
      <c r="E5292" s="3" t="s">
        <v>10324</v>
      </c>
      <c r="F5292" s="3" t="s">
        <v>10325</v>
      </c>
      <c r="G5292" s="3" t="str">
        <f>IFERROR(__xludf.DUMMYFUNCTION("GOOGLETRANSLATE(D5292,""ja"",""es"")"),"Velocidad")</f>
        <v>Velocidad</v>
      </c>
      <c r="H5292" s="3" t="s">
        <v>10349</v>
      </c>
      <c r="I5292" s="3" t="s">
        <v>10350</v>
      </c>
      <c r="J5292" s="3" t="s">
        <v>9594</v>
      </c>
      <c r="K5292" s="3" t="s">
        <v>7596</v>
      </c>
      <c r="L5292" s="3" t="s">
        <v>10351</v>
      </c>
      <c r="M5292" s="3" t="s">
        <v>10349</v>
      </c>
      <c r="N5292" s="3" t="s">
        <v>10352</v>
      </c>
    </row>
    <row r="5293">
      <c r="A5293" s="3">
        <v>703.0</v>
      </c>
      <c r="B5293" s="3" t="s">
        <v>8148</v>
      </c>
      <c r="C5293" s="3" t="s">
        <v>8149</v>
      </c>
      <c r="D5293" s="3" t="s">
        <v>10353</v>
      </c>
      <c r="E5293" s="3" t="s">
        <v>6296</v>
      </c>
      <c r="F5293" s="3" t="s">
        <v>6297</v>
      </c>
      <c r="G5293" s="3" t="str">
        <f>IFERROR(__xludf.DUMMYFUNCTION("GOOGLETRANSLATE(D5293,""ja"",""es"")"),"Otro hombre")</f>
        <v>Otro hombre</v>
      </c>
    </row>
    <row r="5294">
      <c r="A5294" s="3">
        <v>704.0</v>
      </c>
      <c r="B5294" s="3" t="s">
        <v>8148</v>
      </c>
      <c r="C5294" s="3" t="s">
        <v>8149</v>
      </c>
      <c r="D5294" s="3" t="s">
        <v>10354</v>
      </c>
      <c r="E5294" s="3" t="s">
        <v>10355</v>
      </c>
      <c r="F5294" s="3" t="s">
        <v>10356</v>
      </c>
      <c r="G5294" s="3" t="str">
        <f>IFERROR(__xludf.DUMMYFUNCTION("GOOGLETRANSLATE(D5294,""ja"",""es"")"),"Otra fiesta")</f>
        <v>Otra fiesta</v>
      </c>
    </row>
    <row r="5295">
      <c r="A5295" s="3">
        <v>705.0</v>
      </c>
      <c r="B5295" s="3" t="s">
        <v>8148</v>
      </c>
      <c r="C5295" s="3" t="s">
        <v>8149</v>
      </c>
      <c r="D5295" s="3" t="s">
        <v>10357</v>
      </c>
      <c r="E5295" s="3" t="s">
        <v>10358</v>
      </c>
      <c r="F5295" s="3" t="s">
        <v>10359</v>
      </c>
      <c r="G5295" s="3" t="str">
        <f>IFERROR(__xludf.DUMMYFUNCTION("GOOGLETRANSLATE(D5295,""ja"",""es"")"),"Otro poder")</f>
        <v>Otro poder</v>
      </c>
    </row>
    <row r="5296">
      <c r="A5296" s="3">
        <v>706.0</v>
      </c>
      <c r="B5296" s="3" t="s">
        <v>8148</v>
      </c>
      <c r="C5296" s="3" t="s">
        <v>8149</v>
      </c>
      <c r="D5296" s="3" t="s">
        <v>10360</v>
      </c>
      <c r="E5296" s="3" t="s">
        <v>6191</v>
      </c>
      <c r="F5296" s="3" t="s">
        <v>6190</v>
      </c>
      <c r="G5296" s="3" t="str">
        <f>IFERROR(__xludf.DUMMYFUNCTION("GOOGLETRANSLATE(D5296,""ja"",""es"")"),"Muchos")</f>
        <v>Muchos</v>
      </c>
      <c r="H5296" s="3" t="s">
        <v>9300</v>
      </c>
    </row>
    <row r="5297">
      <c r="A5297" s="3">
        <v>707.0</v>
      </c>
      <c r="B5297" s="3" t="s">
        <v>8148</v>
      </c>
      <c r="C5297" s="3" t="s">
        <v>8149</v>
      </c>
      <c r="D5297" s="3" t="s">
        <v>10361</v>
      </c>
      <c r="E5297" s="3" t="s">
        <v>6430</v>
      </c>
      <c r="F5297" s="3" t="s">
        <v>6431</v>
      </c>
      <c r="G5297" s="3" t="str">
        <f>IFERROR(__xludf.DUMMYFUNCTION("GOOGLETRANSLATE(D5297,""ja"",""es"")"),"Precio polar")</f>
        <v>Precio polar</v>
      </c>
      <c r="H5297" s="3" t="s">
        <v>10362</v>
      </c>
      <c r="I5297" s="3" t="s">
        <v>10363</v>
      </c>
      <c r="J5297" s="3" t="s">
        <v>10362</v>
      </c>
      <c r="K5297" s="3" t="s">
        <v>10363</v>
      </c>
      <c r="L5297" s="3" t="s">
        <v>10364</v>
      </c>
      <c r="M5297" s="3" t="s">
        <v>10365</v>
      </c>
    </row>
    <row r="5298">
      <c r="A5298" s="3">
        <v>708.0</v>
      </c>
      <c r="B5298" s="3" t="s">
        <v>8148</v>
      </c>
      <c r="C5298" s="3" t="s">
        <v>8149</v>
      </c>
      <c r="D5298" s="3" t="s">
        <v>10366</v>
      </c>
      <c r="E5298" s="3" t="s">
        <v>6430</v>
      </c>
      <c r="F5298" s="3" t="s">
        <v>6431</v>
      </c>
      <c r="G5298" s="3" t="str">
        <f>IFERROR(__xludf.DUMMYFUNCTION("GOOGLETRANSLATE(D5298,""ja"",""es"")"),"Número")</f>
        <v>Número</v>
      </c>
    </row>
    <row r="5299">
      <c r="A5299" s="3">
        <v>709.0</v>
      </c>
      <c r="B5299" s="3" t="s">
        <v>8148</v>
      </c>
      <c r="C5299" s="3" t="s">
        <v>8149</v>
      </c>
      <c r="D5299" s="3" t="s">
        <v>10367</v>
      </c>
      <c r="E5299" s="3" t="s">
        <v>10368</v>
      </c>
      <c r="F5299" s="3" t="s">
        <v>10369</v>
      </c>
      <c r="G5299" s="3" t="str">
        <f>IFERROR(__xludf.DUMMYFUNCTION("GOOGLETRANSLATE(D5299,""ja"",""es"")"),"Diverso")</f>
        <v>Diverso</v>
      </c>
    </row>
    <row r="5300">
      <c r="A5300" s="3">
        <v>710.0</v>
      </c>
      <c r="B5300" s="3" t="s">
        <v>8148</v>
      </c>
      <c r="C5300" s="3" t="s">
        <v>8149</v>
      </c>
      <c r="D5300" s="3" t="s">
        <v>10370</v>
      </c>
      <c r="E5300" s="3" t="s">
        <v>8306</v>
      </c>
      <c r="F5300" s="3" t="s">
        <v>8307</v>
      </c>
      <c r="G5300" s="3" t="str">
        <f>IFERROR(__xludf.DUMMYFUNCTION("GOOGLETRANSLATE(D5300,""ja"",""es"")"),"Polyala")</f>
        <v>Polyala</v>
      </c>
    </row>
    <row r="5301">
      <c r="A5301" s="3">
        <v>711.0</v>
      </c>
      <c r="B5301" s="3" t="s">
        <v>8148</v>
      </c>
      <c r="C5301" s="3" t="s">
        <v>8149</v>
      </c>
      <c r="D5301" s="3" t="s">
        <v>10371</v>
      </c>
      <c r="E5301" s="3" t="s">
        <v>8306</v>
      </c>
      <c r="F5301" s="3" t="s">
        <v>8307</v>
      </c>
      <c r="G5301" s="3" t="str">
        <f>IFERROR(__xludf.DUMMYFUNCTION("GOOGLETRANSLATE(D5301,""ja"",""es"")"),"Pez boca")</f>
        <v>Pez boca</v>
      </c>
    </row>
    <row r="5302">
      <c r="A5302" s="3">
        <v>712.0</v>
      </c>
      <c r="B5302" s="3" t="s">
        <v>8148</v>
      </c>
      <c r="C5302" s="3" t="s">
        <v>8149</v>
      </c>
      <c r="D5302" s="3" t="s">
        <v>10372</v>
      </c>
      <c r="E5302" s="3" t="s">
        <v>6430</v>
      </c>
      <c r="F5302" s="3" t="s">
        <v>6431</v>
      </c>
      <c r="G5302" s="3" t="str">
        <f>IFERROR(__xludf.DUMMYFUNCTION("GOOGLETRANSLATE(D5302,""ja"",""es"")"),"halcón")</f>
        <v>halcón</v>
      </c>
      <c r="H5302" s="3" t="s">
        <v>8660</v>
      </c>
      <c r="I5302" s="3" t="s">
        <v>10373</v>
      </c>
    </row>
    <row r="5303">
      <c r="A5303" s="3">
        <v>713.0</v>
      </c>
      <c r="B5303" s="3" t="s">
        <v>8148</v>
      </c>
      <c r="C5303" s="3" t="s">
        <v>8149</v>
      </c>
      <c r="D5303" s="3" t="s">
        <v>10374</v>
      </c>
      <c r="E5303" s="3" t="s">
        <v>8303</v>
      </c>
      <c r="F5303" s="3" t="s">
        <v>8304</v>
      </c>
      <c r="G5303" s="3" t="str">
        <f>IFERROR(__xludf.DUMMYFUNCTION("GOOGLETRANSLATE(D5303,""ja"",""es"")"),"Halcones")</f>
        <v>Halcones</v>
      </c>
    </row>
    <row r="5304">
      <c r="A5304" s="3">
        <v>714.0</v>
      </c>
      <c r="B5304" s="3" t="s">
        <v>8148</v>
      </c>
      <c r="C5304" s="3" t="s">
        <v>8149</v>
      </c>
      <c r="D5304" s="3" t="s">
        <v>10375</v>
      </c>
      <c r="E5304" s="3" t="s">
        <v>10368</v>
      </c>
      <c r="F5304" s="3" t="s">
        <v>10369</v>
      </c>
      <c r="G5304" s="3" t="str">
        <f>IFERROR(__xludf.DUMMYFUNCTION("GOOGLETRANSLATE(D5304,""ja"",""es"")"),"cascada")</f>
        <v>cascada</v>
      </c>
      <c r="H5304" s="3" t="s">
        <v>10376</v>
      </c>
      <c r="I5304" s="3" t="s">
        <v>10377</v>
      </c>
    </row>
    <row r="5305">
      <c r="A5305" s="3">
        <v>715.0</v>
      </c>
      <c r="B5305" s="3" t="s">
        <v>8148</v>
      </c>
      <c r="C5305" s="3" t="s">
        <v>8149</v>
      </c>
      <c r="D5305" s="3" t="s">
        <v>10378</v>
      </c>
      <c r="E5305" s="3" t="s">
        <v>10368</v>
      </c>
      <c r="F5305" s="3" t="s">
        <v>10369</v>
      </c>
      <c r="G5305" s="3" t="str">
        <f>IFERROR(__xludf.DUMMYFUNCTION("GOOGLETRANSLATE(D5305,""ja"",""es"")"),"cascada")</f>
        <v>cascada</v>
      </c>
      <c r="H5305" s="3" t="s">
        <v>10376</v>
      </c>
      <c r="I5305" s="3" t="s">
        <v>10377</v>
      </c>
    </row>
    <row r="5306">
      <c r="A5306" s="3">
        <v>716.0</v>
      </c>
      <c r="B5306" s="3" t="s">
        <v>8148</v>
      </c>
      <c r="C5306" s="3" t="s">
        <v>8149</v>
      </c>
      <c r="D5306" s="3" t="s">
        <v>10379</v>
      </c>
      <c r="E5306" s="3" t="s">
        <v>6342</v>
      </c>
      <c r="F5306" s="3" t="s">
        <v>6343</v>
      </c>
      <c r="G5306" s="3" t="str">
        <f>IFERROR(__xludf.DUMMYFUNCTION("GOOGLETRANSLATE(D5306,""ja"",""es"")"),"estante")</f>
        <v>estante</v>
      </c>
      <c r="H5306" s="3" t="s">
        <v>10380</v>
      </c>
    </row>
    <row r="5307">
      <c r="A5307" s="3">
        <v>717.0</v>
      </c>
      <c r="B5307" s="3" t="s">
        <v>8148</v>
      </c>
      <c r="C5307" s="3" t="s">
        <v>8149</v>
      </c>
      <c r="D5307" s="3" t="s">
        <v>10381</v>
      </c>
      <c r="E5307" s="3" t="s">
        <v>9562</v>
      </c>
      <c r="F5307" s="3" t="s">
        <v>9563</v>
      </c>
      <c r="G5307" s="3" t="str">
        <f>IFERROR(__xludf.DUMMYFUNCTION("GOOGLETRANSLATE(D5307,""ja"",""es"")"),"Valle")</f>
        <v>Valle</v>
      </c>
      <c r="H5307" s="3" t="s">
        <v>10382</v>
      </c>
      <c r="I5307" s="3" t="s">
        <v>9564</v>
      </c>
      <c r="J5307" s="3" t="s">
        <v>9565</v>
      </c>
    </row>
    <row r="5308">
      <c r="A5308" s="3">
        <v>718.0</v>
      </c>
      <c r="B5308" s="3" t="s">
        <v>8148</v>
      </c>
      <c r="C5308" s="3" t="s">
        <v>8149</v>
      </c>
      <c r="D5308" s="3" t="s">
        <v>10383</v>
      </c>
      <c r="E5308" s="3" t="s">
        <v>8306</v>
      </c>
      <c r="F5308" s="3" t="s">
        <v>8307</v>
      </c>
      <c r="G5308" s="3" t="str">
        <f>IFERROR(__xludf.DUMMYFUNCTION("GOOGLETRANSLATE(D5308,""ja"",""es"")"),"bacalao")</f>
        <v>bacalao</v>
      </c>
      <c r="H5308" s="3" t="s">
        <v>10384</v>
      </c>
      <c r="I5308" s="3" t="s">
        <v>10385</v>
      </c>
      <c r="J5308" s="3" t="s">
        <v>10386</v>
      </c>
      <c r="K5308" s="3" t="s">
        <v>10385</v>
      </c>
      <c r="L5308" s="3" t="s">
        <v>8667</v>
      </c>
      <c r="M5308" s="3" t="s">
        <v>8668</v>
      </c>
    </row>
    <row r="5309">
      <c r="A5309" s="3">
        <v>719.0</v>
      </c>
      <c r="B5309" s="3" t="s">
        <v>8148</v>
      </c>
      <c r="C5309" s="3" t="s">
        <v>8149</v>
      </c>
      <c r="D5309" s="3" t="s">
        <v>10387</v>
      </c>
      <c r="E5309" s="3" t="s">
        <v>4188</v>
      </c>
      <c r="F5309" s="3" t="s">
        <v>4187</v>
      </c>
      <c r="G5309" s="3" t="str">
        <f>IFERROR(__xludf.DUMMYFUNCTION("GOOGLETRANSLATE(D5309,""ja"",""es"")"),"Linternas")</f>
        <v>Linternas</v>
      </c>
    </row>
    <row r="5310">
      <c r="A5310" s="3">
        <v>720.0</v>
      </c>
      <c r="B5310" s="3" t="s">
        <v>8148</v>
      </c>
      <c r="C5310" s="3" t="s">
        <v>8149</v>
      </c>
      <c r="D5310" s="3" t="s">
        <v>10388</v>
      </c>
      <c r="E5310" s="3" t="s">
        <v>10389</v>
      </c>
      <c r="F5310" s="3" t="s">
        <v>10390</v>
      </c>
      <c r="G5310" s="3" t="str">
        <f>IFERROR(__xludf.DUMMYFUNCTION("GOOGLETRANSLATE(D5310,""ja"",""es"")"),"Consejo")</f>
        <v>Consejo</v>
      </c>
      <c r="H5310" s="3" t="s">
        <v>10391</v>
      </c>
    </row>
    <row r="5311">
      <c r="A5311" s="3">
        <v>721.0</v>
      </c>
      <c r="B5311" s="3" t="s">
        <v>8148</v>
      </c>
      <c r="C5311" s="3" t="s">
        <v>8149</v>
      </c>
      <c r="D5311" s="3" t="s">
        <v>10392</v>
      </c>
      <c r="E5311" s="3" t="s">
        <v>10393</v>
      </c>
      <c r="F5311" s="3" t="s">
        <v>10394</v>
      </c>
      <c r="G5311" s="3" t="str">
        <f>IFERROR(__xludf.DUMMYFUNCTION("GOOGLETRANSLATE(D5311,""ja"",""es"")"),"Consejo")</f>
        <v>Consejo</v>
      </c>
    </row>
    <row r="5312">
      <c r="A5312" s="3">
        <v>722.0</v>
      </c>
      <c r="B5312" s="3" t="s">
        <v>8148</v>
      </c>
      <c r="C5312" s="3" t="s">
        <v>8149</v>
      </c>
      <c r="D5312" s="3" t="s">
        <v>10395</v>
      </c>
      <c r="E5312" s="3" t="s">
        <v>10396</v>
      </c>
      <c r="F5312" s="3" t="s">
        <v>10397</v>
      </c>
      <c r="G5312" s="3" t="str">
        <f>IFERROR(__xludf.DUMMYFUNCTION("GOOGLETRANSLATE(D5312,""ja"",""es"")"),"Calor")</f>
        <v>Calor</v>
      </c>
      <c r="H5312" s="3" t="s">
        <v>9021</v>
      </c>
      <c r="I5312" s="3" t="s">
        <v>9029</v>
      </c>
      <c r="J5312" s="3" t="s">
        <v>9026</v>
      </c>
      <c r="K5312" s="3" t="s">
        <v>10398</v>
      </c>
      <c r="L5312" s="3" t="s">
        <v>9029</v>
      </c>
      <c r="M5312" s="3" t="s">
        <v>9022</v>
      </c>
      <c r="N5312" s="3" t="s">
        <v>9023</v>
      </c>
      <c r="O5312" s="3" t="s">
        <v>9024</v>
      </c>
      <c r="P5312" s="3" t="s">
        <v>9025</v>
      </c>
      <c r="Q5312" s="3" t="s">
        <v>8912</v>
      </c>
      <c r="R5312" s="3" t="s">
        <v>9026</v>
      </c>
      <c r="S5312" s="3" t="s">
        <v>9027</v>
      </c>
      <c r="T5312" s="3" t="s">
        <v>9028</v>
      </c>
      <c r="U5312" s="3" t="s">
        <v>9027</v>
      </c>
      <c r="V5312" s="3" t="s">
        <v>9029</v>
      </c>
    </row>
    <row r="5313">
      <c r="A5313" s="3">
        <v>723.0</v>
      </c>
      <c r="B5313" s="3" t="s">
        <v>8148</v>
      </c>
      <c r="C5313" s="3" t="s">
        <v>8149</v>
      </c>
      <c r="D5313" s="3" t="s">
        <v>10399</v>
      </c>
      <c r="E5313" s="3" t="s">
        <v>9019</v>
      </c>
      <c r="F5313" s="3" t="s">
        <v>9020</v>
      </c>
      <c r="G5313" s="3" t="str">
        <f>IFERROR(__xludf.DUMMYFUNCTION("GOOGLETRANSLATE(D5313,""ja"",""es"")"),"Calor")</f>
        <v>Calor</v>
      </c>
      <c r="H5313" s="3" t="s">
        <v>9021</v>
      </c>
      <c r="I5313" s="3" t="s">
        <v>9022</v>
      </c>
      <c r="J5313" s="3" t="s">
        <v>9023</v>
      </c>
      <c r="K5313" s="3" t="s">
        <v>9024</v>
      </c>
      <c r="L5313" s="3" t="s">
        <v>9025</v>
      </c>
      <c r="M5313" s="3" t="s">
        <v>8912</v>
      </c>
      <c r="N5313" s="3" t="s">
        <v>9026</v>
      </c>
      <c r="O5313" s="3" t="s">
        <v>9027</v>
      </c>
      <c r="P5313" s="3" t="s">
        <v>9028</v>
      </c>
      <c r="Q5313" s="3" t="s">
        <v>9027</v>
      </c>
      <c r="R5313" s="3" t="s">
        <v>9029</v>
      </c>
    </row>
    <row r="5314">
      <c r="A5314" s="3">
        <v>724.0</v>
      </c>
      <c r="B5314" s="3" t="s">
        <v>8148</v>
      </c>
      <c r="C5314" s="3" t="s">
        <v>8149</v>
      </c>
      <c r="D5314" s="3" t="s">
        <v>10400</v>
      </c>
      <c r="E5314" s="3" t="s">
        <v>10401</v>
      </c>
      <c r="F5314" s="3" t="s">
        <v>10402</v>
      </c>
      <c r="G5314" s="3" t="str">
        <f>IFERROR(__xludf.DUMMYFUNCTION("GOOGLETRANSLATE(D5314,""ja"",""es"")"),"Como usar")</f>
        <v>Como usar</v>
      </c>
    </row>
    <row r="5315">
      <c r="A5315" s="3">
        <v>725.0</v>
      </c>
      <c r="B5315" s="3" t="s">
        <v>8148</v>
      </c>
      <c r="C5315" s="3" t="s">
        <v>8149</v>
      </c>
      <c r="D5315" s="3" t="s">
        <v>10403</v>
      </c>
      <c r="E5315" s="3" t="s">
        <v>10404</v>
      </c>
      <c r="F5315" s="3" t="s">
        <v>10405</v>
      </c>
      <c r="G5315" s="3" t="str">
        <f>IFERROR(__xludf.DUMMYFUNCTION("GOOGLETRANSLATE(D5315,""ja"",""es"")"),"Bastante")</f>
        <v>Bastante</v>
      </c>
      <c r="H5315" s="3" t="s">
        <v>9094</v>
      </c>
      <c r="I5315" s="3" t="s">
        <v>9095</v>
      </c>
      <c r="J5315" s="3" t="s">
        <v>9096</v>
      </c>
      <c r="K5315" s="3" t="s">
        <v>9097</v>
      </c>
      <c r="L5315" s="3" t="s">
        <v>9101</v>
      </c>
      <c r="M5315" s="3" t="s">
        <v>9102</v>
      </c>
      <c r="N5315" s="3" t="s">
        <v>9103</v>
      </c>
      <c r="O5315" s="3" t="s">
        <v>9104</v>
      </c>
      <c r="P5315" s="3" t="s">
        <v>9105</v>
      </c>
      <c r="Q5315" s="3" t="s">
        <v>9106</v>
      </c>
      <c r="R5315" s="3" t="s">
        <v>9107</v>
      </c>
      <c r="S5315" s="3" t="s">
        <v>9108</v>
      </c>
      <c r="T5315" s="3" t="s">
        <v>10406</v>
      </c>
      <c r="U5315" s="3" t="s">
        <v>10407</v>
      </c>
    </row>
    <row r="5316">
      <c r="A5316" s="3">
        <v>726.0</v>
      </c>
      <c r="B5316" s="3" t="s">
        <v>8148</v>
      </c>
      <c r="C5316" s="3" t="s">
        <v>8149</v>
      </c>
      <c r="D5316" s="3" t="s">
        <v>10408</v>
      </c>
      <c r="E5316" s="3" t="s">
        <v>8497</v>
      </c>
      <c r="F5316" s="3" t="s">
        <v>8498</v>
      </c>
      <c r="G5316" s="3" t="str">
        <f>IFERROR(__xludf.DUMMYFUNCTION("GOOGLETRANSLATE(D5316,""ja"",""es"")"),"Medio")</f>
        <v>Medio</v>
      </c>
    </row>
    <row r="5317">
      <c r="A5317" s="3">
        <v>727.0</v>
      </c>
      <c r="B5317" s="3" t="s">
        <v>8148</v>
      </c>
      <c r="C5317" s="3" t="s">
        <v>8149</v>
      </c>
      <c r="D5317" s="3" t="s">
        <v>10409</v>
      </c>
      <c r="E5317" s="3" t="s">
        <v>10410</v>
      </c>
      <c r="F5317" s="3" t="s">
        <v>10411</v>
      </c>
      <c r="G5317" s="3" t="str">
        <f>IFERROR(__xludf.DUMMYFUNCTION("GOOGLETRANSLATE(D5317,""ja"",""es"")"),"En el interior")</f>
        <v>En el interior</v>
      </c>
    </row>
    <row r="5318">
      <c r="A5318" s="3">
        <v>728.0</v>
      </c>
      <c r="B5318" s="3" t="s">
        <v>8148</v>
      </c>
      <c r="C5318" s="3" t="s">
        <v>8149</v>
      </c>
      <c r="D5318" s="3" t="s">
        <v>10412</v>
      </c>
      <c r="E5318" s="3" t="s">
        <v>8497</v>
      </c>
      <c r="F5318" s="3" t="s">
        <v>8498</v>
      </c>
      <c r="G5318" s="3" t="str">
        <f>IFERROR(__xludf.DUMMYFUNCTION("GOOGLETRANSLATE(D5318,""ja"",""es"")"),"En el interior")</f>
        <v>En el interior</v>
      </c>
    </row>
    <row r="5319">
      <c r="A5319" s="3">
        <v>729.0</v>
      </c>
      <c r="B5319" s="3" t="s">
        <v>8148</v>
      </c>
      <c r="C5319" s="3" t="s">
        <v>8149</v>
      </c>
      <c r="D5319" s="3" t="s">
        <v>10413</v>
      </c>
      <c r="E5319" s="3" t="s">
        <v>10414</v>
      </c>
      <c r="F5319" s="3" t="s">
        <v>10415</v>
      </c>
      <c r="G5319" s="3" t="str">
        <f>IFERROR(__xludf.DUMMYFUNCTION("GOOGLETRANSLATE(D5319,""ja"",""es"")"),"en el interior")</f>
        <v>en el interior</v>
      </c>
      <c r="H5319" s="3" t="s">
        <v>2692</v>
      </c>
      <c r="I5319" s="3" t="s">
        <v>10416</v>
      </c>
      <c r="J5319" s="3" t="s">
        <v>10417</v>
      </c>
      <c r="K5319" s="3" t="s">
        <v>5912</v>
      </c>
      <c r="L5319" s="3" t="s">
        <v>10418</v>
      </c>
      <c r="M5319" s="3" t="s">
        <v>10419</v>
      </c>
      <c r="N5319" s="3" t="s">
        <v>8915</v>
      </c>
      <c r="O5319" s="3" t="s">
        <v>10418</v>
      </c>
    </row>
    <row r="5320">
      <c r="A5320" s="3">
        <v>730.0</v>
      </c>
      <c r="B5320" s="3" t="s">
        <v>8148</v>
      </c>
      <c r="C5320" s="3" t="s">
        <v>8149</v>
      </c>
      <c r="D5320" s="3" t="s">
        <v>10420</v>
      </c>
      <c r="E5320" s="3" t="s">
        <v>10404</v>
      </c>
      <c r="F5320" s="3" t="s">
        <v>10405</v>
      </c>
      <c r="G5320" s="3" t="str">
        <f>IFERROR(__xludf.DUMMYFUNCTION("GOOGLETRANSLATE(D5320,""ja"",""es"")"),"En el medio")</f>
        <v>En el medio</v>
      </c>
      <c r="H5320" s="3" t="s">
        <v>9094</v>
      </c>
      <c r="I5320" s="3" t="s">
        <v>9095</v>
      </c>
      <c r="J5320" s="3" t="s">
        <v>9096</v>
      </c>
      <c r="K5320" s="3" t="s">
        <v>9097</v>
      </c>
      <c r="L5320" s="3" t="s">
        <v>9101</v>
      </c>
      <c r="M5320" s="3" t="s">
        <v>9102</v>
      </c>
      <c r="N5320" s="3" t="s">
        <v>9103</v>
      </c>
      <c r="O5320" s="3" t="s">
        <v>9104</v>
      </c>
      <c r="P5320" s="3" t="s">
        <v>9105</v>
      </c>
      <c r="Q5320" s="3" t="s">
        <v>9106</v>
      </c>
      <c r="R5320" s="3" t="s">
        <v>9107</v>
      </c>
      <c r="S5320" s="3" t="s">
        <v>9108</v>
      </c>
      <c r="T5320" s="3" t="s">
        <v>10406</v>
      </c>
      <c r="U5320" s="3" t="s">
        <v>10407</v>
      </c>
    </row>
    <row r="5321">
      <c r="A5321" s="3">
        <v>731.0</v>
      </c>
      <c r="B5321" s="3" t="s">
        <v>8148</v>
      </c>
      <c r="C5321" s="3" t="s">
        <v>8149</v>
      </c>
      <c r="D5321" s="3" t="s">
        <v>10421</v>
      </c>
      <c r="E5321" s="3" t="s">
        <v>10414</v>
      </c>
      <c r="F5321" s="3" t="s">
        <v>10415</v>
      </c>
      <c r="G5321" s="3" t="str">
        <f>IFERROR(__xludf.DUMMYFUNCTION("GOOGLETRANSLATE(D5321,""ja"",""es"")"),"Sabor interior")</f>
        <v>Sabor interior</v>
      </c>
      <c r="H5321" s="3" t="s">
        <v>2692</v>
      </c>
      <c r="I5321" s="3" t="s">
        <v>5912</v>
      </c>
      <c r="J5321" s="3" t="s">
        <v>10418</v>
      </c>
      <c r="K5321" s="3" t="s">
        <v>10419</v>
      </c>
      <c r="L5321" s="3" t="s">
        <v>8915</v>
      </c>
      <c r="M5321" s="3" t="s">
        <v>10418</v>
      </c>
    </row>
    <row r="5322">
      <c r="A5322" s="3">
        <v>732.0</v>
      </c>
      <c r="B5322" s="3" t="s">
        <v>8148</v>
      </c>
      <c r="C5322" s="3" t="s">
        <v>8149</v>
      </c>
      <c r="D5322" s="3" t="s">
        <v>10422</v>
      </c>
      <c r="E5322" s="3" t="s">
        <v>10423</v>
      </c>
      <c r="F5322" s="3" t="s">
        <v>10424</v>
      </c>
      <c r="G5322" s="3" t="str">
        <f>IFERROR(__xludf.DUMMYFUNCTION("GOOGLETRANSLATE(D5322,""ja"",""es"")"),"MAYA DE MAJO MALA")</f>
        <v>MAYA DE MAJO MALA</v>
      </c>
    </row>
    <row r="5323">
      <c r="A5323" s="3">
        <v>733.0</v>
      </c>
      <c r="B5323" s="3" t="s">
        <v>8148</v>
      </c>
      <c r="C5323" s="3" t="s">
        <v>8149</v>
      </c>
      <c r="D5323" s="3" t="s">
        <v>10425</v>
      </c>
      <c r="E5323" s="3" t="s">
        <v>10426</v>
      </c>
      <c r="F5323" s="3" t="s">
        <v>10427</v>
      </c>
      <c r="G5323" s="3" t="str">
        <f>IFERROR(__xludf.DUMMYFUNCTION("GOOGLETRANSLATE(D5323,""ja"",""es"")"),"Dinastía")</f>
        <v>Dinastía</v>
      </c>
    </row>
    <row r="5324">
      <c r="A5324" s="3">
        <v>734.0</v>
      </c>
      <c r="B5324" s="3" t="s">
        <v>8148</v>
      </c>
      <c r="C5324" s="3" t="s">
        <v>8149</v>
      </c>
      <c r="D5324" s="3" t="s">
        <v>10428</v>
      </c>
      <c r="E5324" s="3" t="s">
        <v>10429</v>
      </c>
      <c r="F5324" s="3" t="s">
        <v>10430</v>
      </c>
      <c r="G5324" s="3" t="str">
        <f>IFERROR(__xludf.DUMMYFUNCTION("GOOGLETRANSLATE(D5324,""ja"",""es"")"),"Hambriento")</f>
        <v>Hambriento</v>
      </c>
    </row>
    <row r="5325">
      <c r="A5325" s="3">
        <v>735.0</v>
      </c>
      <c r="B5325" s="3" t="s">
        <v>8148</v>
      </c>
      <c r="C5325" s="3" t="s">
        <v>8149</v>
      </c>
      <c r="D5325" s="3" t="s">
        <v>10431</v>
      </c>
      <c r="E5325" s="3" t="s">
        <v>10423</v>
      </c>
      <c r="F5325" s="3" t="s">
        <v>10424</v>
      </c>
      <c r="G5325" s="3" t="str">
        <f>IFERROR(__xludf.DUMMYFUNCTION("GOOGLETRANSLATE(D5325,""ja"",""es"")"),"Mapa de la mañana")</f>
        <v>Mapa de la mañana</v>
      </c>
    </row>
    <row r="5326">
      <c r="A5326" s="3">
        <v>736.0</v>
      </c>
      <c r="B5326" s="3" t="s">
        <v>8148</v>
      </c>
      <c r="C5326" s="3" t="s">
        <v>8149</v>
      </c>
      <c r="D5326" s="3" t="s">
        <v>10432</v>
      </c>
      <c r="E5326" s="3" t="s">
        <v>7142</v>
      </c>
      <c r="F5326" s="3" t="s">
        <v>2525</v>
      </c>
      <c r="G5326" s="3" t="str">
        <f>IFERROR(__xludf.DUMMYFUNCTION("GOOGLETRANSLATE(D5326,""ja"",""es"")"),"Escuchando")</f>
        <v>Escuchando</v>
      </c>
    </row>
    <row r="5327">
      <c r="A5327" s="3">
        <v>737.0</v>
      </c>
      <c r="B5327" s="3" t="s">
        <v>8148</v>
      </c>
      <c r="C5327" s="3" t="s">
        <v>8149</v>
      </c>
      <c r="D5327" s="3" t="s">
        <v>10433</v>
      </c>
      <c r="E5327" s="3" t="s">
        <v>10434</v>
      </c>
      <c r="F5327" s="3" t="s">
        <v>10435</v>
      </c>
      <c r="G5327" s="3" t="str">
        <f>IFERROR(__xludf.DUMMYFUNCTION("GOOGLETRANSLATE(D5327,""ja"",""es"")"),"Oído de escucha")</f>
        <v>Oído de escucha</v>
      </c>
    </row>
    <row r="5328">
      <c r="A5328" s="3">
        <v>738.0</v>
      </c>
      <c r="B5328" s="3" t="s">
        <v>8148</v>
      </c>
      <c r="C5328" s="3" t="s">
        <v>8149</v>
      </c>
      <c r="D5328" s="3" t="s">
        <v>10436</v>
      </c>
      <c r="E5328" s="3" t="s">
        <v>10434</v>
      </c>
      <c r="F5328" s="3" t="s">
        <v>10435</v>
      </c>
      <c r="G5328" s="3" t="str">
        <f>IFERROR(__xludf.DUMMYFUNCTION("GOOGLETRANSLATE(D5328,""ja"",""es"")"),"Ganancias")</f>
        <v>Ganancias</v>
      </c>
    </row>
    <row r="5329">
      <c r="A5329" s="3">
        <v>739.0</v>
      </c>
      <c r="B5329" s="3" t="s">
        <v>8148</v>
      </c>
      <c r="C5329" s="3" t="s">
        <v>8149</v>
      </c>
      <c r="D5329" s="3" t="s">
        <v>10437</v>
      </c>
      <c r="E5329" s="3" t="s">
        <v>10438</v>
      </c>
      <c r="F5329" s="3" t="s">
        <v>10439</v>
      </c>
      <c r="G5329" s="3" t="str">
        <f>IFERROR(__xludf.DUMMYFUNCTION("GOOGLETRANSLATE(D5329,""ja"",""es"")"),"Progreso")</f>
        <v>Progreso</v>
      </c>
    </row>
    <row r="5330">
      <c r="A5330" s="3">
        <v>740.0</v>
      </c>
      <c r="B5330" s="3" t="s">
        <v>8148</v>
      </c>
      <c r="C5330" s="3" t="s">
        <v>8149</v>
      </c>
      <c r="D5330" s="3" t="s">
        <v>10440</v>
      </c>
      <c r="E5330" s="3" t="s">
        <v>10070</v>
      </c>
      <c r="F5330" s="3" t="s">
        <v>10071</v>
      </c>
      <c r="G5330" s="3" t="str">
        <f>IFERROR(__xludf.DUMMYFUNCTION("GOOGLETRANSLATE(D5330,""ja"",""es"")"),"dolor")</f>
        <v>dolor</v>
      </c>
      <c r="H5330" s="3" t="s">
        <v>10441</v>
      </c>
      <c r="I5330" s="3" t="s">
        <v>10442</v>
      </c>
      <c r="J5330" s="3" t="s">
        <v>10443</v>
      </c>
      <c r="K5330" s="3" t="s">
        <v>4857</v>
      </c>
      <c r="L5330" s="3" t="s">
        <v>4867</v>
      </c>
      <c r="M5330" s="3" t="s">
        <v>4868</v>
      </c>
      <c r="N5330" s="3" t="s">
        <v>4869</v>
      </c>
      <c r="O5330" s="3" t="s">
        <v>4870</v>
      </c>
      <c r="P5330" s="3" t="s">
        <v>10444</v>
      </c>
      <c r="Q5330" s="3" t="s">
        <v>3344</v>
      </c>
      <c r="R5330" s="3" t="s">
        <v>4857</v>
      </c>
      <c r="S5330" s="3" t="s">
        <v>4871</v>
      </c>
      <c r="T5330" s="3" t="s">
        <v>4873</v>
      </c>
      <c r="U5330" s="3" t="s">
        <v>3344</v>
      </c>
      <c r="V5330" s="3" t="s">
        <v>10445</v>
      </c>
      <c r="W5330" s="3" t="s">
        <v>10446</v>
      </c>
      <c r="X5330" s="3" t="s">
        <v>10443</v>
      </c>
      <c r="Y5330" s="3" t="s">
        <v>4870</v>
      </c>
      <c r="Z5330" s="3" t="s">
        <v>10447</v>
      </c>
      <c r="AA5330" s="3" t="s">
        <v>4857</v>
      </c>
      <c r="AB5330" s="3" t="s">
        <v>10448</v>
      </c>
      <c r="AC5330" s="3" t="s">
        <v>4878</v>
      </c>
      <c r="AD5330" s="3" t="s">
        <v>4879</v>
      </c>
      <c r="AE5330" s="3" t="s">
        <v>9025</v>
      </c>
      <c r="AF5330" s="3" t="s">
        <v>10449</v>
      </c>
      <c r="AG5330" s="3" t="s">
        <v>10450</v>
      </c>
    </row>
    <row r="5331">
      <c r="A5331" s="3">
        <v>741.0</v>
      </c>
      <c r="B5331" s="3" t="s">
        <v>8148</v>
      </c>
      <c r="C5331" s="3" t="s">
        <v>8149</v>
      </c>
      <c r="D5331" s="3" t="s">
        <v>10451</v>
      </c>
      <c r="E5331" s="3" t="s">
        <v>10452</v>
      </c>
      <c r="F5331" s="3" t="s">
        <v>10453</v>
      </c>
      <c r="G5331" s="3" t="str">
        <f>IFERROR(__xludf.DUMMYFUNCTION("GOOGLETRANSLATE(D5331,""ja"",""es"")"),"Arcilla")</f>
        <v>Arcilla</v>
      </c>
      <c r="H5331" s="3" t="s">
        <v>10454</v>
      </c>
      <c r="I5331" s="3" t="s">
        <v>10455</v>
      </c>
    </row>
    <row r="5332">
      <c r="A5332" s="3">
        <v>742.0</v>
      </c>
      <c r="B5332" s="3" t="s">
        <v>8148</v>
      </c>
      <c r="C5332" s="3" t="s">
        <v>8149</v>
      </c>
      <c r="D5332" s="3" t="s">
        <v>10456</v>
      </c>
      <c r="E5332" s="3" t="s">
        <v>9532</v>
      </c>
      <c r="F5332" s="3" t="s">
        <v>9533</v>
      </c>
      <c r="G5332" s="3" t="str">
        <f>IFERROR(__xludf.DUMMYFUNCTION("GOOGLETRANSLATE(D5332,""ja"",""es"")"),"Adecuadamente")</f>
        <v>Adecuadamente</v>
      </c>
    </row>
    <row r="5333">
      <c r="A5333" s="3">
        <v>743.0</v>
      </c>
      <c r="B5333" s="3" t="s">
        <v>8148</v>
      </c>
      <c r="C5333" s="3" t="s">
        <v>8149</v>
      </c>
      <c r="D5333" s="3" t="s">
        <v>10457</v>
      </c>
      <c r="E5333" s="3" t="s">
        <v>10458</v>
      </c>
      <c r="F5333" s="3" t="s">
        <v>10459</v>
      </c>
      <c r="G5333" s="3" t="str">
        <f>IFERROR(__xludf.DUMMYFUNCTION("GOOGLETRANSLATE(D5333,""ja"",""es"")"),"Frente de la tienda")</f>
        <v>Frente de la tienda</v>
      </c>
    </row>
    <row r="5334">
      <c r="A5334" s="3">
        <v>744.0</v>
      </c>
      <c r="B5334" s="3" t="s">
        <v>8148</v>
      </c>
      <c r="C5334" s="3" t="s">
        <v>8149</v>
      </c>
      <c r="D5334" s="3" t="s">
        <v>10460</v>
      </c>
      <c r="E5334" s="3" t="s">
        <v>6191</v>
      </c>
      <c r="F5334" s="3" t="s">
        <v>6190</v>
      </c>
      <c r="G5334" s="3" t="str">
        <f>IFERROR(__xludf.DUMMYFUNCTION("GOOGLETRANSLATE(D5334,""ja"",""es"")"),"Campo de arroz")</f>
        <v>Campo de arroz</v>
      </c>
      <c r="H5334" s="3" t="s">
        <v>10461</v>
      </c>
      <c r="I5334" s="3" t="s">
        <v>10462</v>
      </c>
      <c r="J5334" s="3" t="s">
        <v>10463</v>
      </c>
    </row>
    <row r="5335">
      <c r="A5335" s="3">
        <v>745.0</v>
      </c>
      <c r="B5335" s="3" t="s">
        <v>8148</v>
      </c>
      <c r="C5335" s="3" t="s">
        <v>8149</v>
      </c>
      <c r="D5335" s="3" t="s">
        <v>10464</v>
      </c>
      <c r="E5335" s="3" t="s">
        <v>10465</v>
      </c>
      <c r="F5335" s="3" t="s">
        <v>10466</v>
      </c>
      <c r="G5335" s="3" t="str">
        <f>IFERROR(__xludf.DUMMYFUNCTION("GOOGLETRANSLATE(D5335,""ja"",""es"")"),"Campo")</f>
        <v>Campo</v>
      </c>
      <c r="H5335" s="3" t="s">
        <v>10467</v>
      </c>
      <c r="I5335" s="3" t="s">
        <v>10468</v>
      </c>
    </row>
    <row r="5336">
      <c r="A5336" s="3">
        <v>746.0</v>
      </c>
      <c r="B5336" s="3" t="s">
        <v>8148</v>
      </c>
      <c r="C5336" s="3" t="s">
        <v>8149</v>
      </c>
      <c r="D5336" s="3" t="s">
        <v>10469</v>
      </c>
      <c r="E5336" s="3" t="s">
        <v>10470</v>
      </c>
      <c r="F5336" s="3" t="s">
        <v>10471</v>
      </c>
      <c r="G5336" s="3" t="str">
        <f>IFERROR(__xludf.DUMMYFUNCTION("GOOGLETRANSLATE(D5336,""ja"",""es"")"),"Entre el campo")</f>
        <v>Entre el campo</v>
      </c>
    </row>
    <row r="5337">
      <c r="A5337" s="3">
        <v>747.0</v>
      </c>
      <c r="B5337" s="3" t="s">
        <v>8148</v>
      </c>
      <c r="C5337" s="3" t="s">
        <v>8149</v>
      </c>
      <c r="D5337" s="3" t="s">
        <v>10472</v>
      </c>
      <c r="E5337" s="3" t="s">
        <v>10473</v>
      </c>
      <c r="F5337" s="3" t="s">
        <v>10474</v>
      </c>
      <c r="G5337" s="3" t="str">
        <f>IFERROR(__xludf.DUMMYFUNCTION("GOOGLETRANSLATE(D5337,""ja"",""es"")"),"Acento rural")</f>
        <v>Acento rural</v>
      </c>
    </row>
    <row r="5338">
      <c r="A5338" s="3">
        <v>748.0</v>
      </c>
      <c r="B5338" s="3" t="s">
        <v>8148</v>
      </c>
      <c r="C5338" s="3" t="s">
        <v>8149</v>
      </c>
      <c r="D5338" s="3" t="s">
        <v>10475</v>
      </c>
      <c r="E5338" s="3" t="s">
        <v>10452</v>
      </c>
      <c r="F5338" s="3" t="s">
        <v>10453</v>
      </c>
      <c r="G5338" s="3" t="str">
        <f>IFERROR(__xludf.DUMMYFUNCTION("GOOGLETRANSLATE(D5338,""ja"",""es"")"),"enfado")</f>
        <v>enfado</v>
      </c>
      <c r="H5338" s="3" t="s">
        <v>10476</v>
      </c>
      <c r="I5338" s="3" t="s">
        <v>10477</v>
      </c>
      <c r="J5338" s="3" t="s">
        <v>10478</v>
      </c>
      <c r="K5338" s="3" t="s">
        <v>8900</v>
      </c>
      <c r="L5338" s="3" t="s">
        <v>10477</v>
      </c>
      <c r="M5338" s="3" t="s">
        <v>10479</v>
      </c>
      <c r="N5338" s="3" t="s">
        <v>10478</v>
      </c>
      <c r="O5338" s="3" t="s">
        <v>10480</v>
      </c>
      <c r="P5338" s="3" t="s">
        <v>10481</v>
      </c>
    </row>
    <row r="5339">
      <c r="A5339" s="3">
        <v>749.0</v>
      </c>
      <c r="B5339" s="3" t="s">
        <v>8148</v>
      </c>
      <c r="C5339" s="3" t="s">
        <v>8149</v>
      </c>
      <c r="D5339" s="3" t="s">
        <v>10482</v>
      </c>
      <c r="E5339" s="3" t="s">
        <v>9434</v>
      </c>
      <c r="F5339" s="3" t="s">
        <v>9435</v>
      </c>
      <c r="G5339" s="3" t="str">
        <f>IFERROR(__xludf.DUMMYFUNCTION("GOOGLETRANSLATE(D5339,""ja"",""es"")"),"Vencer")</f>
        <v>Vencer</v>
      </c>
    </row>
    <row r="5340">
      <c r="A5340" s="3">
        <v>750.0</v>
      </c>
      <c r="B5340" s="3" t="s">
        <v>8148</v>
      </c>
      <c r="C5340" s="3" t="s">
        <v>8149</v>
      </c>
      <c r="D5340" s="3" t="s">
        <v>10483</v>
      </c>
      <c r="E5340" s="3" t="s">
        <v>9441</v>
      </c>
      <c r="F5340" s="3" t="s">
        <v>9442</v>
      </c>
      <c r="G5340" s="3" t="str">
        <f>IFERROR(__xludf.DUMMYFUNCTION("GOOGLETRANSLATE(D5340,""ja"",""es"")"),"Al revés")</f>
        <v>Al revés</v>
      </c>
    </row>
    <row r="5341">
      <c r="A5341" s="3">
        <v>751.0</v>
      </c>
      <c r="B5341" s="3" t="s">
        <v>8148</v>
      </c>
      <c r="C5341" s="3" t="s">
        <v>8149</v>
      </c>
      <c r="D5341" s="3" t="s">
        <v>10484</v>
      </c>
      <c r="E5341" s="3" t="s">
        <v>9441</v>
      </c>
      <c r="F5341" s="3" t="s">
        <v>9442</v>
      </c>
      <c r="G5341" s="3" t="str">
        <f>IFERROR(__xludf.DUMMYFUNCTION("GOOGLETRANSLATE(D5341,""ja"",""es"")"),"Abandonado")</f>
        <v>Abandonado</v>
      </c>
    </row>
    <row r="5342">
      <c r="A5342" s="3">
        <v>752.0</v>
      </c>
      <c r="B5342" s="3" t="s">
        <v>8148</v>
      </c>
      <c r="C5342" s="3" t="s">
        <v>8149</v>
      </c>
      <c r="D5342" s="3" t="s">
        <v>10485</v>
      </c>
      <c r="E5342" s="3" t="s">
        <v>8248</v>
      </c>
      <c r="F5342" s="3" t="s">
        <v>8249</v>
      </c>
      <c r="G5342" s="3" t="str">
        <f>IFERROR(__xludf.DUMMYFUNCTION("GOOGLETRANSLATE(D5342,""ja"",""es"")"),"Sombrilla")</f>
        <v>Sombrilla</v>
      </c>
    </row>
    <row r="5343">
      <c r="A5343" s="3">
        <v>753.0</v>
      </c>
      <c r="B5343" s="3" t="s">
        <v>8148</v>
      </c>
      <c r="C5343" s="3" t="s">
        <v>8149</v>
      </c>
      <c r="D5343" s="3" t="s">
        <v>10486</v>
      </c>
      <c r="E5343" s="3" t="s">
        <v>10487</v>
      </c>
      <c r="F5343" s="3" t="s">
        <v>10488</v>
      </c>
      <c r="G5343" s="3" t="str">
        <f>IFERROR(__xludf.DUMMYFUNCTION("GOOGLETRANSLATE(D5343,""ja"",""es"")"),"Rodante")</f>
        <v>Rodante</v>
      </c>
    </row>
    <row r="5344">
      <c r="A5344" s="3">
        <v>754.0</v>
      </c>
      <c r="B5344" s="3" t="s">
        <v>8148</v>
      </c>
      <c r="C5344" s="3" t="s">
        <v>8149</v>
      </c>
      <c r="D5344" s="3" t="s">
        <v>10489</v>
      </c>
      <c r="E5344" s="3" t="s">
        <v>10490</v>
      </c>
      <c r="F5344" s="3" t="s">
        <v>10491</v>
      </c>
      <c r="G5344" s="3" t="str">
        <f>IFERROR(__xludf.DUMMYFUNCTION("GOOGLETRANSLATE(D5344,""ja"",""es"")"),"Luz")</f>
        <v>Luz</v>
      </c>
      <c r="H5344" s="3" t="s">
        <v>9653</v>
      </c>
    </row>
    <row r="5345">
      <c r="A5345" s="3">
        <v>755.0</v>
      </c>
      <c r="B5345" s="3" t="s">
        <v>8148</v>
      </c>
      <c r="C5345" s="3" t="s">
        <v>8149</v>
      </c>
      <c r="D5345" s="3" t="s">
        <v>10492</v>
      </c>
      <c r="E5345" s="3" t="s">
        <v>10490</v>
      </c>
      <c r="F5345" s="3" t="s">
        <v>10491</v>
      </c>
      <c r="G5345" s="3" t="str">
        <f>IFERROR(__xludf.DUMMYFUNCTION("GOOGLETRANSLATE(D5345,""ja"",""es"")"),"luz")</f>
        <v>luz</v>
      </c>
      <c r="H5345" s="3" t="s">
        <v>10493</v>
      </c>
      <c r="I5345" s="3" t="s">
        <v>9653</v>
      </c>
    </row>
    <row r="5346">
      <c r="A5346" s="3">
        <v>756.0</v>
      </c>
      <c r="B5346" s="3" t="s">
        <v>8148</v>
      </c>
      <c r="C5346" s="3" t="s">
        <v>8149</v>
      </c>
      <c r="D5346" s="3" t="s">
        <v>10494</v>
      </c>
      <c r="E5346" s="3" t="s">
        <v>8497</v>
      </c>
      <c r="F5346" s="3" t="s">
        <v>8498</v>
      </c>
      <c r="G5346" s="3" t="str">
        <f>IFERROR(__xludf.DUMMYFUNCTION("GOOGLETRANSLATE(D5346,""ja"",""es"")"),"Pegar")</f>
        <v>Pegar</v>
      </c>
      <c r="H5346" s="3" t="s">
        <v>2121</v>
      </c>
    </row>
    <row r="5347">
      <c r="A5347" s="3">
        <v>757.0</v>
      </c>
      <c r="B5347" s="3" t="s">
        <v>8148</v>
      </c>
      <c r="C5347" s="3" t="s">
        <v>8149</v>
      </c>
      <c r="D5347" s="3" t="s">
        <v>10495</v>
      </c>
      <c r="E5347" s="3" t="s">
        <v>10496</v>
      </c>
      <c r="F5347" s="3" t="s">
        <v>10497</v>
      </c>
      <c r="G5347" s="3" t="str">
        <f>IFERROR(__xludf.DUMMYFUNCTION("GOOGLETRANSLATE(D5347,""ja"",""es"")"),"Golpes")</f>
        <v>Golpes</v>
      </c>
    </row>
    <row r="5348">
      <c r="A5348" s="3">
        <v>758.0</v>
      </c>
      <c r="B5348" s="3" t="s">
        <v>8148</v>
      </c>
      <c r="C5348" s="3" t="s">
        <v>8149</v>
      </c>
      <c r="D5348" s="3" t="s">
        <v>10498</v>
      </c>
      <c r="E5348" s="3" t="s">
        <v>10073</v>
      </c>
      <c r="F5348" s="3" t="s">
        <v>10074</v>
      </c>
      <c r="G5348" s="3" t="str">
        <f>IFERROR(__xludf.DUMMYFUNCTION("GOOGLETRANSLATE(D5348,""ja"",""es"")"),"Hasta aquí")</f>
        <v>Hasta aquí</v>
      </c>
      <c r="H5348" s="3" t="s">
        <v>5019</v>
      </c>
      <c r="I5348" s="3" t="s">
        <v>5020</v>
      </c>
      <c r="J5348" s="3" t="s">
        <v>3288</v>
      </c>
      <c r="K5348" s="3" t="s">
        <v>3288</v>
      </c>
      <c r="L5348" s="3" t="s">
        <v>3287</v>
      </c>
    </row>
    <row r="5349">
      <c r="A5349" s="3">
        <v>759.0</v>
      </c>
      <c r="B5349" s="3" t="s">
        <v>8148</v>
      </c>
      <c r="C5349" s="3" t="s">
        <v>8149</v>
      </c>
      <c r="D5349" s="3" t="s">
        <v>10499</v>
      </c>
      <c r="E5349" s="3" t="s">
        <v>8497</v>
      </c>
      <c r="F5349" s="3" t="s">
        <v>8498</v>
      </c>
      <c r="G5349" s="3" t="str">
        <f>IFERROR(__xludf.DUMMYFUNCTION("GOOGLETRANSLATE(D5349,""ja"",""es"")"),"Pegar")</f>
        <v>Pegar</v>
      </c>
      <c r="H5349" s="3" t="s">
        <v>2121</v>
      </c>
    </row>
    <row r="5350">
      <c r="A5350" s="3">
        <v>760.0</v>
      </c>
      <c r="B5350" s="3" t="s">
        <v>8148</v>
      </c>
      <c r="C5350" s="3" t="s">
        <v>8149</v>
      </c>
      <c r="D5350" s="3" t="s">
        <v>10500</v>
      </c>
      <c r="E5350" s="3" t="s">
        <v>10496</v>
      </c>
      <c r="F5350" s="3" t="s">
        <v>10497</v>
      </c>
      <c r="G5350" s="3" t="str">
        <f>IFERROR(__xludf.DUMMYFUNCTION("GOOGLETRANSLATE(D5350,""ja"",""es"")"),"Golpes")</f>
        <v>Golpes</v>
      </c>
    </row>
    <row r="5351">
      <c r="A5351" s="3">
        <v>761.0</v>
      </c>
      <c r="B5351" s="3" t="s">
        <v>8148</v>
      </c>
      <c r="C5351" s="3" t="s">
        <v>8149</v>
      </c>
      <c r="D5351" s="3" t="s">
        <v>10501</v>
      </c>
      <c r="E5351" s="3" t="s">
        <v>10502</v>
      </c>
      <c r="F5351" s="3" t="s">
        <v>10503</v>
      </c>
      <c r="G5351" s="3" t="str">
        <f>IFERROR(__xludf.DUMMYFUNCTION("GOOGLETRANSLATE(D5351,""ja"",""es"")"),"Temblor")</f>
        <v>Temblor</v>
      </c>
    </row>
    <row r="5352">
      <c r="A5352" s="3">
        <v>762.0</v>
      </c>
      <c r="B5352" s="3" t="s">
        <v>8148</v>
      </c>
      <c r="C5352" s="3" t="s">
        <v>8149</v>
      </c>
      <c r="D5352" s="3" t="s">
        <v>10504</v>
      </c>
      <c r="E5352" s="3" t="s">
        <v>10505</v>
      </c>
      <c r="F5352" s="3" t="s">
        <v>10506</v>
      </c>
      <c r="G5352" s="3" t="str">
        <f>IFERROR(__xludf.DUMMYFUNCTION("GOOGLETRANSLATE(D5352,""ja"",""es"")"),"De la cabeza")</f>
        <v>De la cabeza</v>
      </c>
    </row>
    <row r="5353">
      <c r="A5353" s="3">
        <v>763.0</v>
      </c>
      <c r="B5353" s="3" t="s">
        <v>8148</v>
      </c>
      <c r="C5353" s="3" t="s">
        <v>8149</v>
      </c>
      <c r="D5353" s="3" t="s">
        <v>10507</v>
      </c>
      <c r="E5353" s="3" t="s">
        <v>10508</v>
      </c>
      <c r="F5353" s="3" t="s">
        <v>10509</v>
      </c>
      <c r="G5353" s="3" t="str">
        <f>IFERROR(__xludf.DUMMYFUNCTION("GOOGLETRANSLATE(D5353,""ja"",""es"")"),"Manera")</f>
        <v>Manera</v>
      </c>
      <c r="H5353" s="3" t="s">
        <v>10510</v>
      </c>
      <c r="I5353" s="3" t="s">
        <v>10511</v>
      </c>
      <c r="J5353" s="3" t="s">
        <v>8475</v>
      </c>
      <c r="K5353" s="3" t="s">
        <v>10512</v>
      </c>
      <c r="L5353" s="3" t="s">
        <v>10513</v>
      </c>
      <c r="M5353" s="3" t="s">
        <v>10514</v>
      </c>
      <c r="N5353" s="3" t="s">
        <v>699</v>
      </c>
      <c r="O5353" s="3" t="s">
        <v>10515</v>
      </c>
      <c r="P5353" s="3" t="s">
        <v>10516</v>
      </c>
      <c r="Q5353" s="3" t="s">
        <v>10517</v>
      </c>
      <c r="R5353" s="3" t="s">
        <v>10518</v>
      </c>
      <c r="S5353" s="3" t="s">
        <v>10519</v>
      </c>
      <c r="T5353" s="3" t="s">
        <v>10520</v>
      </c>
    </row>
    <row r="5354">
      <c r="A5354" s="3">
        <v>764.0</v>
      </c>
      <c r="B5354" s="3" t="s">
        <v>8148</v>
      </c>
      <c r="C5354" s="3" t="s">
        <v>8149</v>
      </c>
      <c r="D5354" s="3" t="s">
        <v>10521</v>
      </c>
      <c r="E5354" s="3" t="s">
        <v>8319</v>
      </c>
      <c r="F5354" s="3" t="s">
        <v>8320</v>
      </c>
      <c r="G5354" s="3" t="str">
        <f>IFERROR(__xludf.DUMMYFUNCTION("GOOGLETRANSLATE(D5354,""ja"",""es"")"),"Arrozal")</f>
        <v>Arrozal</v>
      </c>
      <c r="H5354" s="3" t="s">
        <v>10522</v>
      </c>
      <c r="I5354" s="3" t="s">
        <v>10523</v>
      </c>
      <c r="J5354" s="3" t="s">
        <v>10524</v>
      </c>
      <c r="K5354" s="3" t="s">
        <v>1679</v>
      </c>
      <c r="L5354" s="3" t="s">
        <v>1680</v>
      </c>
      <c r="M5354" s="3" t="s">
        <v>10522</v>
      </c>
      <c r="N5354" s="3" t="s">
        <v>10525</v>
      </c>
      <c r="O5354" s="3" t="s">
        <v>10526</v>
      </c>
    </row>
    <row r="5355">
      <c r="A5355" s="3">
        <v>765.0</v>
      </c>
      <c r="B5355" s="3" t="s">
        <v>8148</v>
      </c>
      <c r="C5355" s="3" t="s">
        <v>8149</v>
      </c>
      <c r="D5355" s="3" t="s">
        <v>10527</v>
      </c>
      <c r="E5355" s="3" t="s">
        <v>10528</v>
      </c>
      <c r="F5355" s="3" t="s">
        <v>10529</v>
      </c>
      <c r="G5355" s="3" t="str">
        <f>IFERROR(__xludf.DUMMYFUNCTION("GOOGLETRANSLATE(D5355,""ja"",""es"")"),"Sur")</f>
        <v>Sur</v>
      </c>
      <c r="H5355" s="3" t="s">
        <v>10125</v>
      </c>
      <c r="I5355" s="3" t="s">
        <v>10126</v>
      </c>
      <c r="J5355" s="3" t="s">
        <v>10127</v>
      </c>
      <c r="K5355" s="3" t="s">
        <v>5450</v>
      </c>
    </row>
    <row r="5356">
      <c r="A5356" s="3">
        <v>766.0</v>
      </c>
      <c r="B5356" s="3" t="s">
        <v>8148</v>
      </c>
      <c r="C5356" s="3" t="s">
        <v>8149</v>
      </c>
      <c r="D5356" s="3" t="s">
        <v>10530</v>
      </c>
      <c r="E5356" s="3" t="s">
        <v>10531</v>
      </c>
      <c r="F5356" s="3" t="s">
        <v>10532</v>
      </c>
      <c r="G5356" s="3" t="str">
        <f>IFERROR(__xludf.DUMMYFUNCTION("GOOGLETRANSLATE(D5356,""ja"",""es"")"),"Dificultad")</f>
        <v>Dificultad</v>
      </c>
    </row>
    <row r="5357">
      <c r="A5357" s="3">
        <v>767.0</v>
      </c>
      <c r="B5357" s="3" t="s">
        <v>8148</v>
      </c>
      <c r="C5357" s="3" t="s">
        <v>8149</v>
      </c>
      <c r="D5357" s="3" t="s">
        <v>10533</v>
      </c>
      <c r="E5357" s="3" t="s">
        <v>10534</v>
      </c>
      <c r="F5357" s="3" t="s">
        <v>10535</v>
      </c>
      <c r="G5357" s="3" t="str">
        <f>IFERROR(__xludf.DUMMYFUNCTION("GOOGLETRANSLATE(D5357,""ja"",""es"")"),"Precio dual")</f>
        <v>Precio dual</v>
      </c>
      <c r="H5357" s="3" t="s">
        <v>10536</v>
      </c>
      <c r="I5357" s="3" t="s">
        <v>6229</v>
      </c>
      <c r="J5357" s="3" t="s">
        <v>10536</v>
      </c>
      <c r="K5357" s="3" t="s">
        <v>10537</v>
      </c>
    </row>
    <row r="5358">
      <c r="A5358" s="3">
        <v>768.0</v>
      </c>
      <c r="B5358" s="3" t="s">
        <v>8148</v>
      </c>
      <c r="C5358" s="3" t="s">
        <v>8149</v>
      </c>
      <c r="D5358" s="3" t="s">
        <v>10538</v>
      </c>
      <c r="E5358" s="3" t="s">
        <v>10539</v>
      </c>
      <c r="F5358" s="3" t="s">
        <v>10540</v>
      </c>
      <c r="G5358" s="3" t="str">
        <f>IFERROR(__xludf.DUMMYFUNCTION("GOOGLETRANSLATE(D5358,""ja"",""es"")"),"Fase II")</f>
        <v>Fase II</v>
      </c>
    </row>
    <row r="5359">
      <c r="A5359" s="3">
        <v>769.0</v>
      </c>
      <c r="B5359" s="3" t="s">
        <v>8148</v>
      </c>
      <c r="C5359" s="3" t="s">
        <v>8149</v>
      </c>
      <c r="D5359" s="3" t="s">
        <v>10541</v>
      </c>
      <c r="E5359" s="3" t="s">
        <v>10542</v>
      </c>
      <c r="F5359" s="3" t="s">
        <v>10543</v>
      </c>
      <c r="G5359" s="3" t="str">
        <f>IFERROR(__xludf.DUMMYFUNCTION("GOOGLETRANSLATE(D5359,""ja"",""es"")"),"Dos sirvientes")</f>
        <v>Dos sirvientes</v>
      </c>
    </row>
    <row r="5360">
      <c r="A5360" s="3">
        <v>770.0</v>
      </c>
      <c r="B5360" s="3" t="s">
        <v>8148</v>
      </c>
      <c r="C5360" s="3" t="s">
        <v>8149</v>
      </c>
      <c r="D5360" s="3" t="s">
        <v>10544</v>
      </c>
      <c r="E5360" s="3" t="s">
        <v>10545</v>
      </c>
      <c r="F5360" s="3" t="s">
        <v>10546</v>
      </c>
      <c r="G5360" s="3" t="str">
        <f>IFERROR(__xludf.DUMMYFUNCTION("GOOGLETRANSLATE(D5360,""ja"",""es"")"),"ingresar")</f>
        <v>ingresar</v>
      </c>
      <c r="H5360" s="3" t="s">
        <v>10547</v>
      </c>
      <c r="I5360" s="3" t="s">
        <v>10548</v>
      </c>
      <c r="J5360" s="3" t="s">
        <v>10549</v>
      </c>
      <c r="K5360" s="3" t="s">
        <v>10550</v>
      </c>
      <c r="L5360" s="3" t="s">
        <v>10551</v>
      </c>
      <c r="M5360" s="3" t="s">
        <v>10547</v>
      </c>
      <c r="N5360" s="3" t="s">
        <v>10552</v>
      </c>
      <c r="O5360" s="3" t="s">
        <v>10553</v>
      </c>
      <c r="P5360" s="3" t="s">
        <v>10549</v>
      </c>
      <c r="Q5360" s="3" t="s">
        <v>10554</v>
      </c>
      <c r="R5360" s="3" t="s">
        <v>2208</v>
      </c>
      <c r="S5360" s="3" t="s">
        <v>2209</v>
      </c>
      <c r="T5360" s="3" t="s">
        <v>2207</v>
      </c>
      <c r="U5360" s="3" t="s">
        <v>10555</v>
      </c>
      <c r="V5360" s="3" t="s">
        <v>10556</v>
      </c>
    </row>
    <row r="5361">
      <c r="A5361" s="3">
        <v>771.0</v>
      </c>
      <c r="B5361" s="3" t="s">
        <v>8148</v>
      </c>
      <c r="C5361" s="3" t="s">
        <v>8149</v>
      </c>
      <c r="D5361" s="3" t="s">
        <v>10557</v>
      </c>
      <c r="E5361" s="3" t="s">
        <v>10558</v>
      </c>
      <c r="F5361" s="3" t="s">
        <v>10559</v>
      </c>
      <c r="G5361" s="3" t="str">
        <f>IFERROR(__xludf.DUMMYFUNCTION("GOOGLETRANSLATE(D5361,""ja"",""es"")"),"Envío")</f>
        <v>Envío</v>
      </c>
    </row>
    <row r="5362">
      <c r="A5362" s="3">
        <v>772.0</v>
      </c>
      <c r="B5362" s="3" t="s">
        <v>8148</v>
      </c>
      <c r="C5362" s="3" t="s">
        <v>8149</v>
      </c>
      <c r="D5362" s="3" t="s">
        <v>10560</v>
      </c>
      <c r="E5362" s="3" t="s">
        <v>10561</v>
      </c>
      <c r="F5362" s="3" t="s">
        <v>10562</v>
      </c>
      <c r="G5362" s="3" t="str">
        <f>IFERROR(__xludf.DUMMYFUNCTION("GOOGLETRANSLATE(D5362,""ja"",""es"")"),"Ondas")</f>
        <v>Ondas</v>
      </c>
    </row>
    <row r="5363">
      <c r="A5363" s="3">
        <v>773.0</v>
      </c>
      <c r="B5363" s="3" t="s">
        <v>8148</v>
      </c>
      <c r="C5363" s="3" t="s">
        <v>8149</v>
      </c>
      <c r="D5363" s="3" t="s">
        <v>10563</v>
      </c>
      <c r="E5363" s="3" t="s">
        <v>10564</v>
      </c>
      <c r="F5363" s="3" t="s">
        <v>10565</v>
      </c>
      <c r="G5363" s="3" t="str">
        <f>IFERROR(__xludf.DUMMYFUNCTION("GOOGLETRANSLATE(D5363,""ja"",""es"")"),"Playa")</f>
        <v>Playa</v>
      </c>
    </row>
    <row r="5364">
      <c r="A5364" s="3">
        <v>774.0</v>
      </c>
      <c r="B5364" s="3" t="s">
        <v>8148</v>
      </c>
      <c r="C5364" s="3" t="s">
        <v>8149</v>
      </c>
      <c r="D5364" s="3" t="s">
        <v>10566</v>
      </c>
      <c r="E5364" s="3" t="s">
        <v>10564</v>
      </c>
      <c r="F5364" s="3" t="s">
        <v>10565</v>
      </c>
      <c r="G5364" s="3" t="str">
        <f>IFERROR(__xludf.DUMMYFUNCTION("GOOGLETRANSLATE(D5364,""ja"",""es"")"),"Entrando en la playa")</f>
        <v>Entrando en la playa</v>
      </c>
    </row>
    <row r="5365">
      <c r="A5365" s="3">
        <v>775.0</v>
      </c>
      <c r="B5365" s="3" t="s">
        <v>8148</v>
      </c>
      <c r="C5365" s="3" t="s">
        <v>8149</v>
      </c>
      <c r="D5365" s="3" t="s">
        <v>10567</v>
      </c>
      <c r="E5365" s="3" t="s">
        <v>10568</v>
      </c>
      <c r="F5365" s="3" t="s">
        <v>10569</v>
      </c>
      <c r="G5365" s="3" t="str">
        <f>IFERROR(__xludf.DUMMYFUNCTION("GOOGLETRANSLATE(D5365,""ja"",""es"")"),"Cómo")</f>
        <v>Cómo</v>
      </c>
    </row>
    <row r="5366">
      <c r="A5366" s="3">
        <v>776.0</v>
      </c>
      <c r="B5366" s="3" t="s">
        <v>8148</v>
      </c>
      <c r="C5366" s="3" t="s">
        <v>8149</v>
      </c>
      <c r="D5366" s="3" t="s">
        <v>10570</v>
      </c>
      <c r="E5366" s="3" t="s">
        <v>10571</v>
      </c>
      <c r="F5366" s="3" t="s">
        <v>10572</v>
      </c>
      <c r="G5366" s="3" t="str">
        <f>IFERROR(__xludf.DUMMYFUNCTION("GOOGLETRANSLATE(D5366,""ja"",""es"")"),"preocupaciones")</f>
        <v>preocupaciones</v>
      </c>
      <c r="H5366" s="3" t="s">
        <v>6272</v>
      </c>
      <c r="I5366" s="3" t="s">
        <v>3336</v>
      </c>
      <c r="J5366" s="3" t="s">
        <v>4873</v>
      </c>
      <c r="K5366" s="3" t="s">
        <v>3344</v>
      </c>
      <c r="L5366" s="3" t="s">
        <v>4880</v>
      </c>
      <c r="M5366" s="3" t="s">
        <v>10573</v>
      </c>
      <c r="N5366" s="3" t="s">
        <v>10574</v>
      </c>
      <c r="O5366" s="3" t="s">
        <v>4872</v>
      </c>
      <c r="P5366" s="3" t="s">
        <v>3344</v>
      </c>
      <c r="Q5366" s="3" t="s">
        <v>4873</v>
      </c>
    </row>
    <row r="5367">
      <c r="A5367" s="3">
        <v>777.0</v>
      </c>
      <c r="B5367" s="3" t="s">
        <v>8148</v>
      </c>
      <c r="C5367" s="3" t="s">
        <v>8149</v>
      </c>
      <c r="D5367" s="3" t="s">
        <v>10575</v>
      </c>
      <c r="E5367" s="3" t="s">
        <v>10576</v>
      </c>
      <c r="F5367" s="3" t="s">
        <v>10577</v>
      </c>
      <c r="G5367" s="3" t="str">
        <f>IFERROR(__xludf.DUMMYFUNCTION("GOOGLETRANSLATE(D5367,""ja"",""es"")"),"granero")</f>
        <v>granero</v>
      </c>
      <c r="H5367" s="3" t="s">
        <v>10578</v>
      </c>
      <c r="I5367" s="3" t="s">
        <v>10579</v>
      </c>
      <c r="J5367" s="3" t="s">
        <v>10580</v>
      </c>
      <c r="K5367" s="3" t="s">
        <v>10581</v>
      </c>
    </row>
    <row r="5368">
      <c r="A5368" s="3">
        <v>778.0</v>
      </c>
      <c r="B5368" s="3" t="s">
        <v>8148</v>
      </c>
      <c r="C5368" s="3" t="s">
        <v>8149</v>
      </c>
      <c r="D5368" s="3" t="s">
        <v>10582</v>
      </c>
      <c r="E5368" s="3" t="s">
        <v>7566</v>
      </c>
      <c r="F5368" s="3" t="s">
        <v>7565</v>
      </c>
      <c r="G5368" s="3" t="str">
        <f>IFERROR(__xludf.DUMMYFUNCTION("GOOGLETRANSLATE(D5368,""ja"",""es"")"),"Naoma")</f>
        <v>Naoma</v>
      </c>
    </row>
    <row r="5369">
      <c r="A5369" s="3">
        <v>779.0</v>
      </c>
      <c r="B5369" s="3" t="s">
        <v>8148</v>
      </c>
      <c r="C5369" s="3" t="s">
        <v>8149</v>
      </c>
      <c r="D5369" s="3" t="s">
        <v>10583</v>
      </c>
      <c r="E5369" s="3" t="s">
        <v>10584</v>
      </c>
      <c r="F5369" s="3" t="s">
        <v>10585</v>
      </c>
      <c r="G5369" s="3" t="str">
        <f>IFERROR(__xludf.DUMMYFUNCTION("GOOGLETRANSLATE(D5369,""ja"",""es"")"),"Galería")</f>
        <v>Galería</v>
      </c>
    </row>
    <row r="5370">
      <c r="A5370" s="3">
        <v>780.0</v>
      </c>
      <c r="B5370" s="3" t="s">
        <v>8148</v>
      </c>
      <c r="C5370" s="3" t="s">
        <v>8149</v>
      </c>
      <c r="D5370" s="3" t="s">
        <v>10586</v>
      </c>
      <c r="E5370" s="3" t="s">
        <v>8349</v>
      </c>
      <c r="F5370" s="3" t="s">
        <v>93</v>
      </c>
      <c r="G5370" s="3" t="str">
        <f>IFERROR(__xludf.DUMMYFUNCTION("GOOGLETRANSLATE(D5370,""ja"",""es"")"),"Extensión")</f>
        <v>Extensión</v>
      </c>
    </row>
    <row r="5371">
      <c r="A5371" s="3">
        <v>781.0</v>
      </c>
      <c r="B5371" s="3" t="s">
        <v>8148</v>
      </c>
      <c r="C5371" s="3" t="s">
        <v>8149</v>
      </c>
      <c r="D5371" s="3" t="s">
        <v>10587</v>
      </c>
      <c r="E5371" s="3" t="s">
        <v>10588</v>
      </c>
      <c r="F5371" s="3" t="s">
        <v>10589</v>
      </c>
      <c r="G5371" s="3" t="str">
        <f>IFERROR(__xludf.DUMMYFUNCTION("GOOGLETRANSLATE(D5371,""ja"",""es"")"),"Flota")</f>
        <v>Flota</v>
      </c>
      <c r="H5371" s="3" t="s">
        <v>10590</v>
      </c>
      <c r="I5371" s="3" t="s">
        <v>10591</v>
      </c>
      <c r="J5371" s="3" t="s">
        <v>10592</v>
      </c>
      <c r="K5371" s="3" t="s">
        <v>10593</v>
      </c>
      <c r="L5371" s="3" t="s">
        <v>10594</v>
      </c>
    </row>
    <row r="5372">
      <c r="A5372" s="3">
        <v>782.0</v>
      </c>
      <c r="B5372" s="3" t="s">
        <v>8148</v>
      </c>
      <c r="C5372" s="3" t="s">
        <v>8149</v>
      </c>
      <c r="D5372" s="3" t="s">
        <v>10595</v>
      </c>
      <c r="E5372" s="3" t="s">
        <v>10596</v>
      </c>
      <c r="F5372" s="3" t="s">
        <v>10597</v>
      </c>
      <c r="G5372" s="3" t="str">
        <f>IFERROR(__xludf.DUMMYFUNCTION("GOOGLETRANSLATE(D5372,""ja"",""es"")"),"Paraíso")</f>
        <v>Paraíso</v>
      </c>
    </row>
    <row r="5373">
      <c r="A5373" s="3">
        <v>783.0</v>
      </c>
      <c r="B5373" s="3" t="s">
        <v>8148</v>
      </c>
      <c r="C5373" s="3" t="s">
        <v>8149</v>
      </c>
      <c r="D5373" s="3" t="s">
        <v>10598</v>
      </c>
      <c r="E5373" s="3" t="s">
        <v>10599</v>
      </c>
      <c r="F5373" s="3" t="s">
        <v>10600</v>
      </c>
      <c r="G5373" s="3" t="str">
        <f>IFERROR(__xludf.DUMMYFUNCTION("GOOGLETRANSLATE(D5373,""ja"",""es"")"),"En las olas")</f>
        <v>En las olas</v>
      </c>
    </row>
    <row r="5374">
      <c r="A5374" s="3">
        <v>784.0</v>
      </c>
      <c r="B5374" s="3" t="s">
        <v>8148</v>
      </c>
      <c r="C5374" s="3" t="s">
        <v>8149</v>
      </c>
      <c r="D5374" s="3" t="s">
        <v>10601</v>
      </c>
      <c r="E5374" s="3" t="s">
        <v>10596</v>
      </c>
      <c r="F5374" s="3" t="s">
        <v>10597</v>
      </c>
      <c r="G5374" s="3" t="str">
        <f>IFERROR(__xludf.DUMMYFUNCTION("GOOGLETRANSLATE(D5374,""ja"",""es"")"),"Ave marina")</f>
        <v>Ave marina</v>
      </c>
    </row>
    <row r="5375">
      <c r="A5375" s="3">
        <v>785.0</v>
      </c>
      <c r="B5375" s="3" t="s">
        <v>8148</v>
      </c>
      <c r="C5375" s="3" t="s">
        <v>8149</v>
      </c>
      <c r="D5375" s="3" t="s">
        <v>10602</v>
      </c>
      <c r="E5375" s="3" t="s">
        <v>8349</v>
      </c>
      <c r="F5375" s="3" t="s">
        <v>93</v>
      </c>
      <c r="G5375" s="3" t="str">
        <f>IFERROR(__xludf.DUMMYFUNCTION("GOOGLETRANSLATE(D5375,""ja"",""es"")"),"Facción")</f>
        <v>Facción</v>
      </c>
      <c r="H5375" s="3" t="s">
        <v>10603</v>
      </c>
      <c r="I5375" s="3" t="s">
        <v>10604</v>
      </c>
      <c r="J5375" s="3" t="s">
        <v>10605</v>
      </c>
      <c r="K5375" s="3" t="s">
        <v>10606</v>
      </c>
      <c r="L5375" s="3" t="s">
        <v>4331</v>
      </c>
      <c r="M5375" s="3" t="s">
        <v>10607</v>
      </c>
      <c r="N5375" s="3" t="s">
        <v>10608</v>
      </c>
    </row>
    <row r="5376">
      <c r="A5376" s="3">
        <v>786.0</v>
      </c>
      <c r="B5376" s="3" t="s">
        <v>8148</v>
      </c>
      <c r="C5376" s="3" t="s">
        <v>8149</v>
      </c>
      <c r="D5376" s="3" t="s">
        <v>10609</v>
      </c>
      <c r="E5376" s="3" t="s">
        <v>8349</v>
      </c>
      <c r="F5376" s="3" t="s">
        <v>93</v>
      </c>
      <c r="G5376" s="3" t="str">
        <f>IFERROR(__xludf.DUMMYFUNCTION("GOOGLETRANSLATE(D5376,""ja"",""es"")"),"Rotura")</f>
        <v>Rotura</v>
      </c>
    </row>
    <row r="5377">
      <c r="A5377" s="3">
        <v>787.0</v>
      </c>
      <c r="B5377" s="3" t="s">
        <v>8148</v>
      </c>
      <c r="C5377" s="3" t="s">
        <v>8149</v>
      </c>
      <c r="D5377" s="3" t="s">
        <v>10610</v>
      </c>
      <c r="E5377" s="3" t="s">
        <v>10438</v>
      </c>
      <c r="F5377" s="3" t="s">
        <v>10439</v>
      </c>
      <c r="G5377" s="3" t="str">
        <f>IFERROR(__xludf.DUMMYFUNCTION("GOOGLETRANSLATE(D5377,""ja"",""es"")"),"Desvestido")</f>
        <v>Desvestido</v>
      </c>
    </row>
    <row r="5378">
      <c r="A5378" s="3">
        <v>788.0</v>
      </c>
      <c r="B5378" s="3" t="s">
        <v>8148</v>
      </c>
      <c r="C5378" s="3" t="s">
        <v>8149</v>
      </c>
      <c r="D5378" s="3" t="s">
        <v>10611</v>
      </c>
      <c r="E5378" s="3" t="s">
        <v>10588</v>
      </c>
      <c r="F5378" s="3" t="s">
        <v>10589</v>
      </c>
      <c r="G5378" s="3" t="str">
        <f>IFERROR(__xludf.DUMMYFUNCTION("GOOGLETRANSLATE(D5378,""ja"",""es"")"),"destrucción")</f>
        <v>destrucción</v>
      </c>
      <c r="H5378" s="3" t="s">
        <v>10612</v>
      </c>
      <c r="I5378" s="3" t="s">
        <v>10613</v>
      </c>
      <c r="J5378" s="3" t="s">
        <v>10614</v>
      </c>
      <c r="K5378" s="3" t="s">
        <v>10615</v>
      </c>
      <c r="L5378" s="3" t="s">
        <v>10616</v>
      </c>
      <c r="M5378" s="3" t="s">
        <v>10617</v>
      </c>
      <c r="N5378" s="3" t="s">
        <v>10618</v>
      </c>
      <c r="O5378" s="3" t="s">
        <v>10619</v>
      </c>
      <c r="P5378" s="3" t="s">
        <v>10620</v>
      </c>
      <c r="Q5378" s="3" t="s">
        <v>10621</v>
      </c>
    </row>
    <row r="5379">
      <c r="A5379" s="3">
        <v>789.0</v>
      </c>
      <c r="B5379" s="3" t="s">
        <v>8148</v>
      </c>
      <c r="C5379" s="3" t="s">
        <v>8149</v>
      </c>
      <c r="D5379" s="3" t="s">
        <v>10622</v>
      </c>
      <c r="E5379" s="3" t="s">
        <v>8687</v>
      </c>
      <c r="F5379" s="3" t="s">
        <v>8688</v>
      </c>
      <c r="G5379" s="3" t="str">
        <f>IFERROR(__xludf.DUMMYFUNCTION("GOOGLETRANSLATE(D5379,""ja"",""es"")"),"Demonio")</f>
        <v>Demonio</v>
      </c>
    </row>
    <row r="5380">
      <c r="A5380" s="3">
        <v>790.0</v>
      </c>
      <c r="B5380" s="3" t="s">
        <v>8148</v>
      </c>
      <c r="C5380" s="3" t="s">
        <v>8149</v>
      </c>
      <c r="D5380" s="3" t="s">
        <v>10623</v>
      </c>
      <c r="E5380" s="3" t="s">
        <v>10624</v>
      </c>
      <c r="F5380" s="3" t="s">
        <v>10625</v>
      </c>
      <c r="G5380" s="3" t="str">
        <f>IFERROR(__xludf.DUMMYFUNCTION("GOOGLETRANSLATE(D5380,""ja"",""es"")"),"Flecha rota")</f>
        <v>Flecha rota</v>
      </c>
    </row>
    <row r="5381">
      <c r="A5381" s="3">
        <v>791.0</v>
      </c>
      <c r="B5381" s="3" t="s">
        <v>8148</v>
      </c>
      <c r="C5381" s="3" t="s">
        <v>8149</v>
      </c>
      <c r="D5381" s="3" t="s">
        <v>10626</v>
      </c>
      <c r="E5381" s="3" t="s">
        <v>10588</v>
      </c>
      <c r="F5381" s="3" t="s">
        <v>10589</v>
      </c>
      <c r="G5381" s="3" t="str">
        <f>IFERROR(__xludf.DUMMYFUNCTION("GOOGLETRANSLATE(D5381,""ja"",""es"")"),"Destrucción")</f>
        <v>Destrucción</v>
      </c>
      <c r="H5381" s="3" t="s">
        <v>10612</v>
      </c>
      <c r="I5381" s="3" t="s">
        <v>10613</v>
      </c>
      <c r="J5381" s="3" t="s">
        <v>10614</v>
      </c>
      <c r="K5381" s="3" t="s">
        <v>10615</v>
      </c>
      <c r="L5381" s="3" t="s">
        <v>10616</v>
      </c>
      <c r="M5381" s="3" t="s">
        <v>10617</v>
      </c>
      <c r="N5381" s="3" t="s">
        <v>10618</v>
      </c>
      <c r="O5381" s="3" t="s">
        <v>10619</v>
      </c>
      <c r="P5381" s="3" t="s">
        <v>10620</v>
      </c>
      <c r="Q5381" s="3" t="s">
        <v>10621</v>
      </c>
    </row>
    <row r="5382">
      <c r="A5382" s="3">
        <v>792.0</v>
      </c>
      <c r="B5382" s="3" t="s">
        <v>8148</v>
      </c>
      <c r="C5382" s="3" t="s">
        <v>8149</v>
      </c>
      <c r="D5382" s="3" t="s">
        <v>10627</v>
      </c>
      <c r="E5382" s="3" t="s">
        <v>9567</v>
      </c>
      <c r="F5382" s="3" t="s">
        <v>9568</v>
      </c>
      <c r="G5382" s="3" t="str">
        <f>IFERROR(__xludf.DUMMYFUNCTION("GOOGLETRANSLATE(D5382,""ja"",""es"")"),"Peso")</f>
        <v>Peso</v>
      </c>
      <c r="H5382" s="3" t="s">
        <v>10628</v>
      </c>
      <c r="I5382" s="3" t="s">
        <v>10629</v>
      </c>
      <c r="J5382" s="3" t="s">
        <v>10630</v>
      </c>
    </row>
    <row r="5383">
      <c r="A5383" s="3">
        <v>793.0</v>
      </c>
      <c r="B5383" s="3" t="s">
        <v>8148</v>
      </c>
      <c r="C5383" s="3" t="s">
        <v>8149</v>
      </c>
      <c r="D5383" s="3" t="s">
        <v>10631</v>
      </c>
      <c r="E5383" s="3" t="s">
        <v>8771</v>
      </c>
      <c r="F5383" s="3" t="s">
        <v>8772</v>
      </c>
      <c r="G5383" s="3" t="str">
        <f>IFERROR(__xludf.DUMMYFUNCTION("GOOGLETRANSLATE(D5383,""ja"",""es"")"),"Máximo")</f>
        <v>Máximo</v>
      </c>
    </row>
    <row r="5384">
      <c r="A5384" s="3">
        <v>794.0</v>
      </c>
      <c r="B5384" s="3" t="s">
        <v>8148</v>
      </c>
      <c r="C5384" s="3" t="s">
        <v>8149</v>
      </c>
      <c r="D5384" s="3" t="s">
        <v>10632</v>
      </c>
      <c r="E5384" s="3" t="s">
        <v>10633</v>
      </c>
      <c r="F5384" s="3" t="s">
        <v>10634</v>
      </c>
      <c r="G5384" s="3" t="str">
        <f>IFERROR(__xludf.DUMMYFUNCTION("GOOGLETRANSLATE(D5384,""ja"",""es"")"),"Parrilla")</f>
        <v>Parrilla</v>
      </c>
    </row>
    <row r="5385">
      <c r="A5385" s="3">
        <v>795.0</v>
      </c>
      <c r="B5385" s="3" t="s">
        <v>8148</v>
      </c>
      <c r="C5385" s="3" t="s">
        <v>8149</v>
      </c>
      <c r="D5385" s="3" t="s">
        <v>10635</v>
      </c>
      <c r="E5385" s="3" t="s">
        <v>10633</v>
      </c>
      <c r="F5385" s="3" t="s">
        <v>10634</v>
      </c>
      <c r="G5385" s="3" t="str">
        <f>IFERROR(__xludf.DUMMYFUNCTION("GOOGLETRANSLATE(D5385,""ja"",""es"")"),"Campos a la parrilla")</f>
        <v>Campos a la parrilla</v>
      </c>
    </row>
    <row r="5386">
      <c r="A5386" s="3">
        <v>796.0</v>
      </c>
      <c r="B5386" s="3" t="s">
        <v>8148</v>
      </c>
      <c r="C5386" s="3" t="s">
        <v>8149</v>
      </c>
      <c r="D5386" s="3" t="s">
        <v>10636</v>
      </c>
      <c r="E5386" s="3" t="s">
        <v>10637</v>
      </c>
      <c r="F5386" s="3" t="s">
        <v>10638</v>
      </c>
      <c r="G5386" s="3" t="str">
        <f>IFERROR(__xludf.DUMMYFUNCTION("GOOGLETRANSLATE(D5386,""ja"",""es"")"),"Hakushaku Qion")</f>
        <v>Hakushaku Qion</v>
      </c>
    </row>
    <row r="5387">
      <c r="A5387" s="3">
        <v>797.0</v>
      </c>
      <c r="B5387" s="3" t="s">
        <v>8148</v>
      </c>
      <c r="C5387" s="3" t="s">
        <v>8149</v>
      </c>
      <c r="D5387" s="3" t="s">
        <v>10639</v>
      </c>
      <c r="E5387" s="3" t="s">
        <v>8678</v>
      </c>
      <c r="F5387" s="3" t="s">
        <v>8679</v>
      </c>
      <c r="G5387" s="3" t="str">
        <f>IFERROR(__xludf.DUMMYFUNCTION("GOOGLETRANSLATE(D5387,""ja"",""es"")"),"pelo")</f>
        <v>pelo</v>
      </c>
      <c r="H5387" s="3" t="s">
        <v>10640</v>
      </c>
      <c r="I5387" s="3" t="s">
        <v>10641</v>
      </c>
      <c r="J5387" s="3" t="s">
        <v>10642</v>
      </c>
      <c r="K5387" s="3" t="s">
        <v>10643</v>
      </c>
      <c r="L5387" s="3" t="s">
        <v>10644</v>
      </c>
      <c r="M5387" s="3" t="s">
        <v>10640</v>
      </c>
      <c r="N5387" s="3" t="s">
        <v>10645</v>
      </c>
    </row>
    <row r="5388">
      <c r="A5388" s="3">
        <v>798.0</v>
      </c>
      <c r="B5388" s="3" t="s">
        <v>8148</v>
      </c>
      <c r="C5388" s="3" t="s">
        <v>8149</v>
      </c>
      <c r="D5388" s="3" t="s">
        <v>10646</v>
      </c>
      <c r="E5388" s="3" t="s">
        <v>8494</v>
      </c>
      <c r="F5388" s="3" t="s">
        <v>8495</v>
      </c>
      <c r="G5388" s="3" t="str">
        <f>IFERROR(__xludf.DUMMYFUNCTION("GOOGLETRANSLATE(D5388,""ja"",""es"")"),"Almeja")</f>
        <v>Almeja</v>
      </c>
    </row>
    <row r="5389">
      <c r="A5389" s="3">
        <v>799.0</v>
      </c>
      <c r="B5389" s="3" t="s">
        <v>8148</v>
      </c>
      <c r="C5389" s="3" t="s">
        <v>8149</v>
      </c>
      <c r="D5389" s="3" t="s">
        <v>10647</v>
      </c>
      <c r="E5389" s="3" t="s">
        <v>10648</v>
      </c>
      <c r="F5389" s="3" t="s">
        <v>10649</v>
      </c>
      <c r="G5389" s="3" t="str">
        <f>IFERROR(__xludf.DUMMYFUNCTION("GOOGLETRANSLATE(D5389,""ja"",""es"")"),"Junta")</f>
        <v>Junta</v>
      </c>
      <c r="H5389" s="3" t="s">
        <v>5648</v>
      </c>
      <c r="I5389" s="3" t="s">
        <v>5746</v>
      </c>
      <c r="J5389" s="3" t="s">
        <v>5648</v>
      </c>
      <c r="K5389" s="3" t="s">
        <v>10650</v>
      </c>
    </row>
    <row r="5390">
      <c r="A5390" s="3">
        <v>800.0</v>
      </c>
      <c r="B5390" s="3" t="s">
        <v>8148</v>
      </c>
      <c r="C5390" s="3" t="s">
        <v>8149</v>
      </c>
      <c r="D5390" s="3" t="s">
        <v>10651</v>
      </c>
      <c r="E5390" s="3" t="s">
        <v>10652</v>
      </c>
      <c r="F5390" s="3" t="s">
        <v>10653</v>
      </c>
      <c r="G5390" s="3" t="str">
        <f>IFERROR(__xludf.DUMMYFUNCTION("GOOGLETRANSLATE(D5390,""ja"",""es"")"),"Granero")</f>
        <v>Granero</v>
      </c>
    </row>
    <row r="5391">
      <c r="A5391" s="3">
        <v>801.0</v>
      </c>
      <c r="B5391" s="3" t="s">
        <v>8148</v>
      </c>
      <c r="C5391" s="3" t="s">
        <v>8149</v>
      </c>
      <c r="D5391" s="3" t="s">
        <v>10654</v>
      </c>
      <c r="E5391" s="3" t="s">
        <v>8789</v>
      </c>
      <c r="F5391" s="3" t="s">
        <v>8790</v>
      </c>
      <c r="G5391" s="3" t="str">
        <f>IFERROR(__xludf.DUMMYFUNCTION("GOOGLETRANSLATE(D5391,""ja"",""es"")"),"Prestado arroz")</f>
        <v>Prestado arroz</v>
      </c>
    </row>
    <row r="5392">
      <c r="A5392" s="3">
        <v>802.0</v>
      </c>
      <c r="B5392" s="3" t="s">
        <v>8148</v>
      </c>
      <c r="C5392" s="3" t="s">
        <v>8149</v>
      </c>
      <c r="D5392" s="3" t="s">
        <v>10655</v>
      </c>
      <c r="E5392" s="3" t="s">
        <v>10656</v>
      </c>
      <c r="F5392" s="3" t="s">
        <v>10657</v>
      </c>
      <c r="G5392" s="3" t="str">
        <f>IFERROR(__xludf.DUMMYFUNCTION("GOOGLETRANSLATE(D5392,""ja"",""es"")"),"O no")</f>
        <v>O no</v>
      </c>
    </row>
    <row r="5393">
      <c r="A5393" s="3">
        <v>803.0</v>
      </c>
      <c r="B5393" s="3" t="s">
        <v>8148</v>
      </c>
      <c r="C5393" s="3" t="s">
        <v>8149</v>
      </c>
      <c r="D5393" s="3" t="s">
        <v>10658</v>
      </c>
      <c r="E5393" s="3" t="s">
        <v>10659</v>
      </c>
      <c r="F5393" s="3" t="s">
        <v>10660</v>
      </c>
      <c r="G5393" s="3" t="str">
        <f>IFERROR(__xludf.DUMMYFUNCTION("GOOGLETRANSLATE(D5393,""ja"",""es"")"),"No")</f>
        <v>No</v>
      </c>
      <c r="H5393" s="3" t="s">
        <v>10661</v>
      </c>
    </row>
    <row r="5394">
      <c r="A5394" s="3">
        <v>804.0</v>
      </c>
      <c r="B5394" s="3" t="s">
        <v>8148</v>
      </c>
      <c r="C5394" s="3" t="s">
        <v>8149</v>
      </c>
      <c r="D5394" s="3" t="s">
        <v>10662</v>
      </c>
      <c r="E5394" s="3" t="s">
        <v>10663</v>
      </c>
      <c r="F5394" s="3" t="s">
        <v>10664</v>
      </c>
      <c r="G5394" s="3" t="str">
        <f>IFERROR(__xludf.DUMMYFUNCTION("GOOGLETRANSLATE(D5394,""ja"",""es"")"),"Disparo")</f>
        <v>Disparo</v>
      </c>
    </row>
    <row r="5395">
      <c r="A5395" s="3">
        <v>805.0</v>
      </c>
      <c r="B5395" s="3" t="s">
        <v>8148</v>
      </c>
      <c r="C5395" s="3" t="s">
        <v>8149</v>
      </c>
      <c r="D5395" s="3" t="s">
        <v>10665</v>
      </c>
      <c r="E5395" s="3" t="s">
        <v>9129</v>
      </c>
      <c r="F5395" s="3" t="s">
        <v>9130</v>
      </c>
      <c r="G5395" s="3" t="str">
        <f>IFERROR(__xludf.DUMMYFUNCTION("GOOGLETRANSLATE(D5395,""ja"",""es"")"),"nariz")</f>
        <v>nariz</v>
      </c>
      <c r="H5395" s="3" t="s">
        <v>10666</v>
      </c>
      <c r="I5395" s="3" t="s">
        <v>10667</v>
      </c>
      <c r="J5395" s="3" t="s">
        <v>10668</v>
      </c>
      <c r="K5395" s="3" t="s">
        <v>10669</v>
      </c>
      <c r="L5395" s="3" t="s">
        <v>10670</v>
      </c>
      <c r="M5395" s="3" t="s">
        <v>10671</v>
      </c>
      <c r="N5395" s="3" t="s">
        <v>10672</v>
      </c>
      <c r="O5395" s="3" t="s">
        <v>10673</v>
      </c>
      <c r="P5395" s="3" t="s">
        <v>10674</v>
      </c>
      <c r="Q5395" s="3" t="s">
        <v>10675</v>
      </c>
      <c r="R5395" s="3" t="s">
        <v>10666</v>
      </c>
      <c r="S5395" s="3" t="s">
        <v>10666</v>
      </c>
    </row>
    <row r="5396">
      <c r="A5396" s="3">
        <v>806.0</v>
      </c>
      <c r="B5396" s="3" t="s">
        <v>8148</v>
      </c>
      <c r="C5396" s="3" t="s">
        <v>8149</v>
      </c>
      <c r="D5396" s="3" t="s">
        <v>10676</v>
      </c>
      <c r="E5396" s="3" t="s">
        <v>10677</v>
      </c>
      <c r="F5396" s="3" t="s">
        <v>10678</v>
      </c>
      <c r="G5396" s="3" t="str">
        <f>IFERROR(__xludf.DUMMYFUNCTION("GOOGLETRANSLATE(D5396,""ja"",""es"")"),"Fosa nasal")</f>
        <v>Fosa nasal</v>
      </c>
    </row>
    <row r="5397">
      <c r="A5397" s="3">
        <v>807.0</v>
      </c>
      <c r="B5397" s="3" t="s">
        <v>8148</v>
      </c>
      <c r="C5397" s="3" t="s">
        <v>8149</v>
      </c>
      <c r="D5397" s="3" t="s">
        <v>10679</v>
      </c>
      <c r="E5397" s="3" t="s">
        <v>10680</v>
      </c>
      <c r="F5397" s="3" t="s">
        <v>10681</v>
      </c>
      <c r="G5397" s="3" t="str">
        <f>IFERROR(__xludf.DUMMYFUNCTION("GOOGLETRANSLATE(D5397,""ja"",""es"")"),"Fosa nasal")</f>
        <v>Fosa nasal</v>
      </c>
    </row>
    <row r="5398">
      <c r="A5398" s="3">
        <v>808.0</v>
      </c>
      <c r="B5398" s="3" t="s">
        <v>8148</v>
      </c>
      <c r="C5398" s="3" t="s">
        <v>8149</v>
      </c>
      <c r="D5398" s="3" t="s">
        <v>10682</v>
      </c>
      <c r="E5398" s="3" t="s">
        <v>10683</v>
      </c>
      <c r="F5398" s="3" t="s">
        <v>10684</v>
      </c>
      <c r="G5398" s="3" t="str">
        <f>IFERROR(__xludf.DUMMYFUNCTION("GOOGLETRANSLATE(D5398,""ja"",""es"")"),"Lengua")</f>
        <v>Lengua</v>
      </c>
    </row>
    <row r="5399">
      <c r="A5399" s="3">
        <v>809.0</v>
      </c>
      <c r="B5399" s="3" t="s">
        <v>8148</v>
      </c>
      <c r="C5399" s="3" t="s">
        <v>8149</v>
      </c>
      <c r="D5399" s="3" t="s">
        <v>10685</v>
      </c>
      <c r="E5399" s="3" t="s">
        <v>10393</v>
      </c>
      <c r="F5399" s="3" t="s">
        <v>10394</v>
      </c>
      <c r="G5399" s="3" t="str">
        <f>IFERROR(__xludf.DUMMYFUNCTION("GOOGLETRANSLATE(D5399,""ja"",""es"")"),"Punta de la nariz")</f>
        <v>Punta de la nariz</v>
      </c>
    </row>
    <row r="5400">
      <c r="A5400" s="3">
        <v>810.0</v>
      </c>
      <c r="B5400" s="3" t="s">
        <v>8148</v>
      </c>
      <c r="C5400" s="3" t="s">
        <v>8149</v>
      </c>
      <c r="D5400" s="3" t="s">
        <v>10686</v>
      </c>
      <c r="E5400" s="3" t="s">
        <v>9691</v>
      </c>
      <c r="F5400" s="3" t="s">
        <v>9692</v>
      </c>
      <c r="G5400" s="3" t="str">
        <f>IFERROR(__xludf.DUMMYFUNCTION("GOOGLETRANSLATE(D5400,""ja"",""es"")"),"Freination")</f>
        <v>Freination</v>
      </c>
      <c r="H5400" s="3" t="s">
        <v>9693</v>
      </c>
      <c r="I5400" s="3" t="s">
        <v>9171</v>
      </c>
      <c r="J5400" s="3" t="s">
        <v>9694</v>
      </c>
      <c r="K5400" s="3" t="s">
        <v>9170</v>
      </c>
      <c r="L5400" s="3" t="s">
        <v>9171</v>
      </c>
    </row>
    <row r="5401">
      <c r="A5401" s="3">
        <v>811.0</v>
      </c>
      <c r="B5401" s="3" t="s">
        <v>8148</v>
      </c>
      <c r="C5401" s="3" t="s">
        <v>8149</v>
      </c>
      <c r="D5401" s="3" t="s">
        <v>10687</v>
      </c>
      <c r="E5401" s="3" t="s">
        <v>9691</v>
      </c>
      <c r="F5401" s="3" t="s">
        <v>9692</v>
      </c>
      <c r="G5401" s="3" t="str">
        <f>IFERROR(__xludf.DUMMYFUNCTION("GOOGLETRANSLATE(D5401,""ja"",""es"")"),"Temblor")</f>
        <v>Temblor</v>
      </c>
      <c r="H5401" s="3" t="s">
        <v>9693</v>
      </c>
      <c r="I5401" s="3" t="s">
        <v>9171</v>
      </c>
      <c r="J5401" s="3" t="s">
        <v>9694</v>
      </c>
      <c r="K5401" s="3" t="s">
        <v>9170</v>
      </c>
      <c r="L5401" s="3" t="s">
        <v>9171</v>
      </c>
      <c r="M5401" s="3" t="s">
        <v>9171</v>
      </c>
      <c r="N5401" s="3" t="s">
        <v>9172</v>
      </c>
    </row>
    <row r="5402">
      <c r="A5402" s="3">
        <v>812.0</v>
      </c>
      <c r="B5402" s="3" t="s">
        <v>8148</v>
      </c>
      <c r="C5402" s="3" t="s">
        <v>8149</v>
      </c>
      <c r="D5402" s="3" t="s">
        <v>10688</v>
      </c>
      <c r="E5402" s="3" t="s">
        <v>10452</v>
      </c>
      <c r="F5402" s="3" t="s">
        <v>10453</v>
      </c>
      <c r="G5402" s="3" t="str">
        <f>IFERROR(__xludf.DUMMYFUNCTION("GOOGLETRANSLATE(D5402,""ja"",""es"")"),"Ancla")</f>
        <v>Ancla</v>
      </c>
      <c r="H5402" s="3" t="s">
        <v>10454</v>
      </c>
      <c r="I5402" s="3" t="s">
        <v>10455</v>
      </c>
    </row>
    <row r="5403">
      <c r="A5403" s="3">
        <v>813.0</v>
      </c>
      <c r="B5403" s="3" t="s">
        <v>8148</v>
      </c>
      <c r="C5403" s="3" t="s">
        <v>8149</v>
      </c>
      <c r="D5403" s="3" t="s">
        <v>10689</v>
      </c>
      <c r="E5403" s="3" t="s">
        <v>8687</v>
      </c>
      <c r="F5403" s="3" t="s">
        <v>8688</v>
      </c>
      <c r="G5403" s="3" t="str">
        <f>IFERROR(__xludf.DUMMYFUNCTION("GOOGLETRANSLATE(D5403,""ja"",""es"")"),"playa")</f>
        <v>playa</v>
      </c>
    </row>
    <row r="5404">
      <c r="A5404" s="3">
        <v>814.0</v>
      </c>
      <c r="B5404" s="3" t="s">
        <v>8148</v>
      </c>
      <c r="C5404" s="3" t="s">
        <v>8149</v>
      </c>
      <c r="D5404" s="3" t="s">
        <v>10690</v>
      </c>
      <c r="E5404" s="3" t="s">
        <v>8690</v>
      </c>
      <c r="F5404" s="3" t="s">
        <v>8691</v>
      </c>
      <c r="G5404" s="3" t="str">
        <f>IFERROR(__xludf.DUMMYFUNCTION("GOOGLETRANSLATE(D5404,""ja"",""es"")"),"Playa")</f>
        <v>Playa</v>
      </c>
    </row>
    <row r="5405">
      <c r="A5405" s="3">
        <v>815.0</v>
      </c>
      <c r="B5405" s="3" t="s">
        <v>8148</v>
      </c>
      <c r="C5405" s="3" t="s">
        <v>8149</v>
      </c>
      <c r="D5405" s="3" t="s">
        <v>10691</v>
      </c>
      <c r="E5405" s="3" t="s">
        <v>10692</v>
      </c>
      <c r="F5405" s="3" t="s">
        <v>10693</v>
      </c>
      <c r="G5405" s="3" t="str">
        <f>IFERROR(__xludf.DUMMYFUNCTION("GOOGLETRANSLATE(D5405,""ja"",""es"")"),"Playa a la parrilla")</f>
        <v>Playa a la parrilla</v>
      </c>
    </row>
    <row r="5406">
      <c r="A5406" s="3">
        <v>816.0</v>
      </c>
      <c r="B5406" s="3" t="s">
        <v>8148</v>
      </c>
      <c r="C5406" s="3" t="s">
        <v>8149</v>
      </c>
      <c r="D5406" s="3" t="s">
        <v>10694</v>
      </c>
      <c r="E5406" s="3" t="s">
        <v>3609</v>
      </c>
      <c r="F5406" s="3" t="s">
        <v>3610</v>
      </c>
      <c r="G5406" s="3" t="str">
        <f>IFERROR(__xludf.DUMMYFUNCTION("GOOGLETRANSLATE(D5406,""ja"",""es"")"),"Restauracion")</f>
        <v>Restauracion</v>
      </c>
      <c r="H5406" s="3" t="s">
        <v>10695</v>
      </c>
      <c r="I5406" s="3" t="s">
        <v>10696</v>
      </c>
      <c r="J5406" s="3" t="s">
        <v>10697</v>
      </c>
      <c r="K5406" s="3" t="s">
        <v>10698</v>
      </c>
    </row>
    <row r="5407">
      <c r="A5407" s="3">
        <v>817.0</v>
      </c>
      <c r="B5407" s="3" t="s">
        <v>8148</v>
      </c>
      <c r="C5407" s="3" t="s">
        <v>8149</v>
      </c>
      <c r="D5407" s="3" t="s">
        <v>10699</v>
      </c>
      <c r="E5407" s="3" t="s">
        <v>10700</v>
      </c>
      <c r="F5407" s="3" t="s">
        <v>10701</v>
      </c>
      <c r="G5407" s="3" t="str">
        <f>IFERROR(__xludf.DUMMYFUNCTION("GOOGLETRANSLATE(D5407,""ja"",""es"")"),"estómago")</f>
        <v>estómago</v>
      </c>
      <c r="H5407" s="3" t="s">
        <v>10702</v>
      </c>
      <c r="I5407" s="3" t="s">
        <v>8912</v>
      </c>
      <c r="J5407" s="3" t="s">
        <v>8927</v>
      </c>
      <c r="K5407" s="3" t="s">
        <v>6660</v>
      </c>
      <c r="L5407" s="3" t="s">
        <v>8928</v>
      </c>
      <c r="M5407" s="3" t="s">
        <v>8950</v>
      </c>
      <c r="N5407" s="3" t="s">
        <v>8951</v>
      </c>
      <c r="O5407" s="3" t="s">
        <v>8952</v>
      </c>
      <c r="P5407" s="3" t="s">
        <v>8953</v>
      </c>
      <c r="Q5407" s="3" t="s">
        <v>10703</v>
      </c>
      <c r="R5407" s="3" t="s">
        <v>10704</v>
      </c>
      <c r="S5407" s="3" t="s">
        <v>8950</v>
      </c>
      <c r="T5407" s="3" t="s">
        <v>10702</v>
      </c>
      <c r="U5407" s="3" t="s">
        <v>8912</v>
      </c>
      <c r="V5407" s="3" t="s">
        <v>3395</v>
      </c>
    </row>
    <row r="5408">
      <c r="A5408" s="3">
        <v>818.0</v>
      </c>
      <c r="B5408" s="3" t="s">
        <v>8148</v>
      </c>
      <c r="C5408" s="3" t="s">
        <v>8149</v>
      </c>
      <c r="D5408" s="3" t="s">
        <v>10705</v>
      </c>
      <c r="E5408" s="3" t="s">
        <v>10706</v>
      </c>
      <c r="F5408" s="3" t="s">
        <v>10707</v>
      </c>
      <c r="G5408" s="3" t="str">
        <f>IFERROR(__xludf.DUMMYFUNCTION("GOOGLETRANSLATE(D5408,""ja"",""es"")"),"banda de estómago")</f>
        <v>banda de estómago</v>
      </c>
    </row>
    <row r="5409">
      <c r="A5409" s="3">
        <v>819.0</v>
      </c>
      <c r="B5409" s="3" t="s">
        <v>8148</v>
      </c>
      <c r="C5409" s="3" t="s">
        <v>8149</v>
      </c>
      <c r="D5409" s="3" t="s">
        <v>10708</v>
      </c>
      <c r="E5409" s="3" t="s">
        <v>8700</v>
      </c>
      <c r="F5409" s="3" t="s">
        <v>8701</v>
      </c>
      <c r="G5409" s="3" t="str">
        <f>IFERROR(__xludf.DUMMYFUNCTION("GOOGLETRANSLATE(D5409,""ja"",""es"")"),"Cuerpo")</f>
        <v>Cuerpo</v>
      </c>
    </row>
    <row r="5410">
      <c r="A5410" s="3">
        <v>820.0</v>
      </c>
      <c r="B5410" s="3" t="s">
        <v>8148</v>
      </c>
      <c r="C5410" s="3" t="s">
        <v>8149</v>
      </c>
      <c r="D5410" s="3" t="s">
        <v>10709</v>
      </c>
      <c r="E5410" s="3" t="s">
        <v>10710</v>
      </c>
      <c r="F5410" s="3" t="s">
        <v>10711</v>
      </c>
      <c r="G5410" s="3" t="str">
        <f>IFERROR(__xludf.DUMMYFUNCTION("GOOGLETRANSLATE(D5410,""ja"",""es"")"),"Hambriento")</f>
        <v>Hambriento</v>
      </c>
      <c r="H5410" s="3" t="s">
        <v>10711</v>
      </c>
      <c r="I5410" s="3" t="s">
        <v>10712</v>
      </c>
      <c r="J5410" s="3" t="s">
        <v>10713</v>
      </c>
      <c r="K5410" s="3" t="s">
        <v>10714</v>
      </c>
    </row>
    <row r="5411">
      <c r="A5411" s="3">
        <v>821.0</v>
      </c>
      <c r="B5411" s="3" t="s">
        <v>8148</v>
      </c>
      <c r="C5411" s="3" t="s">
        <v>8149</v>
      </c>
      <c r="D5411" s="3" t="s">
        <v>10715</v>
      </c>
      <c r="E5411" s="3" t="s">
        <v>10710</v>
      </c>
      <c r="F5411" s="3" t="s">
        <v>10711</v>
      </c>
      <c r="G5411" s="3" t="str">
        <f>IFERROR(__xludf.DUMMYFUNCTION("GOOGLETRANSLATE(D5411,""ja"",""es"")"),"Hambriento")</f>
        <v>Hambriento</v>
      </c>
      <c r="H5411" s="3" t="s">
        <v>10711</v>
      </c>
      <c r="I5411" s="3" t="s">
        <v>10712</v>
      </c>
      <c r="J5411" s="3" t="s">
        <v>10713</v>
      </c>
      <c r="K5411" s="3" t="s">
        <v>10714</v>
      </c>
    </row>
    <row r="5412">
      <c r="A5412" s="3">
        <v>822.0</v>
      </c>
      <c r="B5412" s="3" t="s">
        <v>8148</v>
      </c>
      <c r="C5412" s="3" t="s">
        <v>8149</v>
      </c>
      <c r="D5412" s="3" t="s">
        <v>10716</v>
      </c>
      <c r="E5412" s="3" t="s">
        <v>7142</v>
      </c>
      <c r="F5412" s="3" t="s">
        <v>2525</v>
      </c>
      <c r="G5412" s="3" t="str">
        <f>IFERROR(__xludf.DUMMYFUNCTION("GOOGLETRANSLATE(D5412,""ja"",""es"")"),"escuchar")</f>
        <v>escuchar</v>
      </c>
      <c r="H5412" s="3" t="s">
        <v>10717</v>
      </c>
      <c r="I5412" s="3" t="s">
        <v>10718</v>
      </c>
    </row>
    <row r="5413">
      <c r="A5413" s="3">
        <v>823.0</v>
      </c>
      <c r="B5413" s="3" t="s">
        <v>8148</v>
      </c>
      <c r="C5413" s="3" t="s">
        <v>8149</v>
      </c>
      <c r="D5413" s="3" t="s">
        <v>10719</v>
      </c>
      <c r="E5413" s="3" t="s">
        <v>10434</v>
      </c>
      <c r="F5413" s="3" t="s">
        <v>10435</v>
      </c>
      <c r="G5413" s="3" t="str">
        <f>IFERROR(__xludf.DUMMYFUNCTION("GOOGLETRANSLATE(D5413,""ja"",""es"")"),"Audiencia")</f>
        <v>Audiencia</v>
      </c>
    </row>
    <row r="5414">
      <c r="A5414" s="3">
        <v>824.0</v>
      </c>
      <c r="B5414" s="3" t="s">
        <v>8148</v>
      </c>
      <c r="C5414" s="3" t="s">
        <v>8149</v>
      </c>
      <c r="D5414" s="3" t="s">
        <v>10720</v>
      </c>
      <c r="E5414" s="3" t="s">
        <v>10721</v>
      </c>
      <c r="F5414" s="3" t="s">
        <v>10722</v>
      </c>
      <c r="G5414" s="3" t="str">
        <f>IFERROR(__xludf.DUMMYFUNCTION("GOOGLETRANSLATE(D5414,""ja"",""es"")"),"Forma de audición")</f>
        <v>Forma de audición</v>
      </c>
      <c r="H5414" s="3" t="s">
        <v>10723</v>
      </c>
      <c r="I5414" s="3" t="s">
        <v>10724</v>
      </c>
      <c r="J5414" s="3" t="s">
        <v>10725</v>
      </c>
      <c r="K5414" s="3" t="s">
        <v>10726</v>
      </c>
    </row>
    <row r="5415">
      <c r="A5415" s="3">
        <v>825.0</v>
      </c>
      <c r="B5415" s="3" t="s">
        <v>8148</v>
      </c>
      <c r="C5415" s="3" t="s">
        <v>8149</v>
      </c>
      <c r="D5415" s="3" t="s">
        <v>10727</v>
      </c>
      <c r="E5415" s="3" t="s">
        <v>10434</v>
      </c>
      <c r="F5415" s="3" t="s">
        <v>10435</v>
      </c>
      <c r="G5415" s="3" t="str">
        <f>IFERROR(__xludf.DUMMYFUNCTION("GOOGLETRANSLATE(D5415,""ja"",""es"")"),"Mis oidos")</f>
        <v>Mis oidos</v>
      </c>
    </row>
    <row r="5416">
      <c r="A5416" s="3">
        <v>826.0</v>
      </c>
      <c r="B5416" s="3" t="s">
        <v>8148</v>
      </c>
      <c r="C5416" s="3" t="s">
        <v>8149</v>
      </c>
      <c r="D5416" s="3" t="s">
        <v>10728</v>
      </c>
      <c r="E5416" s="3" t="s">
        <v>10729</v>
      </c>
      <c r="F5416" s="3" t="s">
        <v>10730</v>
      </c>
      <c r="G5416" s="3" t="str">
        <f>IFERROR(__xludf.DUMMYFUNCTION("GOOGLETRANSLATE(D5416,""ja"",""es"")"),"común")</f>
        <v>común</v>
      </c>
      <c r="H5416" s="3" t="s">
        <v>1499</v>
      </c>
      <c r="I5416" s="3" t="s">
        <v>2894</v>
      </c>
      <c r="J5416" s="3" t="s">
        <v>10731</v>
      </c>
      <c r="K5416" s="3" t="s">
        <v>9871</v>
      </c>
    </row>
    <row r="5417">
      <c r="A5417" s="3">
        <v>827.0</v>
      </c>
      <c r="B5417" s="3" t="s">
        <v>8148</v>
      </c>
      <c r="C5417" s="3" t="s">
        <v>8149</v>
      </c>
      <c r="D5417" s="3" t="s">
        <v>10732</v>
      </c>
      <c r="E5417" s="3" t="s">
        <v>8316</v>
      </c>
      <c r="F5417" s="3" t="s">
        <v>8317</v>
      </c>
      <c r="G5417" s="3" t="str">
        <f>IFERROR(__xludf.DUMMYFUNCTION("GOOGLETRANSLATE(D5417,""ja"",""es"")"),"Igualmente")</f>
        <v>Igualmente</v>
      </c>
      <c r="H5417" s="3" t="s">
        <v>10731</v>
      </c>
      <c r="I5417" s="3" t="s">
        <v>9871</v>
      </c>
    </row>
    <row r="5418">
      <c r="A5418" s="3">
        <v>828.0</v>
      </c>
      <c r="B5418" s="3" t="s">
        <v>8148</v>
      </c>
      <c r="C5418" s="3" t="s">
        <v>8149</v>
      </c>
      <c r="D5418" s="3" t="s">
        <v>10733</v>
      </c>
      <c r="E5418" s="3" t="s">
        <v>10729</v>
      </c>
      <c r="F5418" s="3" t="s">
        <v>10730</v>
      </c>
      <c r="G5418" s="3" t="str">
        <f>IFERROR(__xludf.DUMMYFUNCTION("GOOGLETRANSLATE(D5418,""ja"",""es"")"),"Parálisis")</f>
        <v>Parálisis</v>
      </c>
      <c r="H5418" s="3" t="s">
        <v>10731</v>
      </c>
      <c r="I5418" s="3" t="s">
        <v>9871</v>
      </c>
    </row>
    <row r="5419">
      <c r="A5419" s="3">
        <v>829.0</v>
      </c>
      <c r="B5419" s="3" t="s">
        <v>8148</v>
      </c>
      <c r="C5419" s="3" t="s">
        <v>8149</v>
      </c>
      <c r="D5419" s="3" t="s">
        <v>10734</v>
      </c>
      <c r="E5419" s="3" t="s">
        <v>8316</v>
      </c>
      <c r="F5419" s="3" t="s">
        <v>8317</v>
      </c>
      <c r="G5419" s="3" t="str">
        <f>IFERROR(__xludf.DUMMYFUNCTION("GOOGLETRANSLATE(D5419,""ja"",""es"")"),"Promedio")</f>
        <v>Promedio</v>
      </c>
      <c r="H5419" s="3" t="s">
        <v>10731</v>
      </c>
      <c r="I5419" s="3" t="s">
        <v>9871</v>
      </c>
    </row>
    <row r="5420">
      <c r="A5420" s="3">
        <v>830.0</v>
      </c>
      <c r="B5420" s="3" t="s">
        <v>8148</v>
      </c>
      <c r="C5420" s="3" t="s">
        <v>8149</v>
      </c>
      <c r="D5420" s="3" t="s">
        <v>10735</v>
      </c>
      <c r="E5420" s="3" t="s">
        <v>10736</v>
      </c>
      <c r="F5420" s="3" t="s">
        <v>10737</v>
      </c>
      <c r="G5420" s="3" t="str">
        <f>IFERROR(__xludf.DUMMYFUNCTION("GOOGLETRANSLATE(D5420,""ja"",""es"")"),"Hilera de árboles")</f>
        <v>Hilera de árboles</v>
      </c>
    </row>
    <row r="5421">
      <c r="A5421" s="3">
        <v>831.0</v>
      </c>
      <c r="B5421" s="3" t="s">
        <v>8148</v>
      </c>
      <c r="C5421" s="3" t="s">
        <v>8149</v>
      </c>
      <c r="D5421" s="3" t="s">
        <v>10738</v>
      </c>
      <c r="E5421" s="3" t="s">
        <v>10736</v>
      </c>
      <c r="F5421" s="3" t="s">
        <v>10737</v>
      </c>
      <c r="G5421" s="3" t="str">
        <f>IFERROR(__xludf.DUMMYFUNCTION("GOOGLETRANSLATE(D5421,""ja"",""es"")"),"Árbol aleatorio")</f>
        <v>Árbol aleatorio</v>
      </c>
    </row>
    <row r="5422">
      <c r="A5422" s="3">
        <v>832.0</v>
      </c>
      <c r="B5422" s="3" t="s">
        <v>8148</v>
      </c>
      <c r="C5422" s="3" t="s">
        <v>8149</v>
      </c>
      <c r="D5422" s="3" t="s">
        <v>10739</v>
      </c>
      <c r="E5422" s="3" t="s">
        <v>8316</v>
      </c>
      <c r="F5422" s="3" t="s">
        <v>8317</v>
      </c>
      <c r="G5422" s="3" t="str">
        <f>IFERROR(__xludf.DUMMYFUNCTION("GOOGLETRANSLATE(D5422,""ja"",""es"")"),"Promedio")</f>
        <v>Promedio</v>
      </c>
      <c r="H5422" s="3" t="s">
        <v>10731</v>
      </c>
      <c r="I5422" s="3" t="s">
        <v>9871</v>
      </c>
    </row>
    <row r="5423">
      <c r="A5423" s="3">
        <v>833.0</v>
      </c>
      <c r="B5423" s="3" t="s">
        <v>8148</v>
      </c>
      <c r="C5423" s="3" t="s">
        <v>8149</v>
      </c>
      <c r="D5423" s="3" t="s">
        <v>10740</v>
      </c>
      <c r="E5423" s="3" t="s">
        <v>10736</v>
      </c>
      <c r="F5423" s="3" t="s">
        <v>10737</v>
      </c>
      <c r="G5423" s="3" t="str">
        <f>IFERROR(__xludf.DUMMYFUNCTION("GOOGLETRANSLATE(D5423,""ja"",""es"")"),"Hilera de árboles")</f>
        <v>Hilera de árboles</v>
      </c>
    </row>
    <row r="5424">
      <c r="A5424" s="3">
        <v>834.0</v>
      </c>
      <c r="B5424" s="3" t="s">
        <v>8148</v>
      </c>
      <c r="C5424" s="3" t="s">
        <v>8149</v>
      </c>
      <c r="D5424" s="3" t="s">
        <v>10741</v>
      </c>
      <c r="E5424" s="3" t="s">
        <v>10742</v>
      </c>
      <c r="F5424" s="3" t="s">
        <v>10743</v>
      </c>
      <c r="G5424" s="3" t="str">
        <f>IFERROR(__xludf.DUMMYFUNCTION("GOOGLETRANSLATE(D5424,""ja"",""es"")"),"un lado")</f>
        <v>un lado</v>
      </c>
    </row>
    <row r="5425">
      <c r="A5425" s="3">
        <v>835.0</v>
      </c>
      <c r="B5425" s="3" t="s">
        <v>8148</v>
      </c>
      <c r="C5425" s="3" t="s">
        <v>8149</v>
      </c>
      <c r="D5425" s="3" t="s">
        <v>10744</v>
      </c>
      <c r="E5425" s="3" t="s">
        <v>10745</v>
      </c>
      <c r="F5425" s="3" t="s">
        <v>10746</v>
      </c>
      <c r="G5425" s="3" t="str">
        <f>IFERROR(__xludf.DUMMYFUNCTION("GOOGLETRANSLATE(D5425,""ja"",""es"")"),"Fragmento")</f>
        <v>Fragmento</v>
      </c>
    </row>
    <row r="5426">
      <c r="A5426" s="3">
        <v>836.0</v>
      </c>
      <c r="B5426" s="3" t="s">
        <v>8148</v>
      </c>
      <c r="C5426" s="3" t="s">
        <v>8149</v>
      </c>
      <c r="D5426" s="3" t="s">
        <v>10747</v>
      </c>
      <c r="E5426" s="3" t="s">
        <v>8572</v>
      </c>
      <c r="F5426" s="3" t="s">
        <v>8573</v>
      </c>
      <c r="G5426" s="3" t="str">
        <f>IFERROR(__xludf.DUMMYFUNCTION("GOOGLETRANSLATE(D5426,""ja"",""es"")"),"Katakana")</f>
        <v>Katakana</v>
      </c>
    </row>
    <row r="5427">
      <c r="A5427" s="3">
        <v>837.0</v>
      </c>
      <c r="B5427" s="3" t="s">
        <v>8148</v>
      </c>
      <c r="C5427" s="3" t="s">
        <v>8149</v>
      </c>
      <c r="D5427" s="3" t="s">
        <v>10748</v>
      </c>
      <c r="E5427" s="3" t="s">
        <v>10749</v>
      </c>
      <c r="F5427" s="3" t="s">
        <v>10750</v>
      </c>
      <c r="G5427" s="3" t="str">
        <f>IFERROR(__xludf.DUMMYFUNCTION("GOOGLETRANSLATE(D5427,""ja"",""es"")"),"Un oido")</f>
        <v>Un oido</v>
      </c>
    </row>
    <row r="5428">
      <c r="A5428" s="3">
        <v>838.0</v>
      </c>
      <c r="B5428" s="3" t="s">
        <v>8148</v>
      </c>
      <c r="C5428" s="3" t="s">
        <v>8149</v>
      </c>
      <c r="D5428" s="3" t="s">
        <v>10751</v>
      </c>
      <c r="E5428" s="3" t="s">
        <v>9554</v>
      </c>
      <c r="F5428" s="3" t="s">
        <v>9555</v>
      </c>
      <c r="G5428" s="3" t="str">
        <f>IFERROR(__xludf.DUMMYFUNCTION("GOOGLETRANSLATE(D5428,""ja"",""es"")"),"Un cuerpo")</f>
        <v>Un cuerpo</v>
      </c>
    </row>
    <row r="5429">
      <c r="A5429" s="3">
        <v>839.0</v>
      </c>
      <c r="B5429" s="3" t="s">
        <v>8148</v>
      </c>
      <c r="C5429" s="3" t="s">
        <v>8149</v>
      </c>
      <c r="D5429" s="3" t="s">
        <v>10752</v>
      </c>
      <c r="E5429" s="3" t="s">
        <v>10753</v>
      </c>
      <c r="F5429" s="3" t="s">
        <v>10754</v>
      </c>
      <c r="G5429" s="3" t="str">
        <f>IFERROR(__xludf.DUMMYFUNCTION("GOOGLETRANSLATE(D5429,""ja"",""es"")"),"máquina de tejer")</f>
        <v>máquina de tejer</v>
      </c>
      <c r="H5429" s="3" t="s">
        <v>10755</v>
      </c>
    </row>
    <row r="5430">
      <c r="A5430" s="3">
        <v>840.0</v>
      </c>
      <c r="B5430" s="3" t="s">
        <v>8148</v>
      </c>
      <c r="C5430" s="3" t="s">
        <v>8149</v>
      </c>
      <c r="D5430" s="3" t="s">
        <v>10756</v>
      </c>
      <c r="E5430" s="3" t="s">
        <v>10438</v>
      </c>
      <c r="F5430" s="3" t="s">
        <v>10439</v>
      </c>
      <c r="G5430" s="3" t="str">
        <f>IFERROR(__xludf.DUMMYFUNCTION("GOOGLETRANSLATE(D5430,""ja"",""es"")"),"Tumba")</f>
        <v>Tumba</v>
      </c>
      <c r="H5430" s="3" t="s">
        <v>10757</v>
      </c>
      <c r="I5430" s="3" t="s">
        <v>10758</v>
      </c>
      <c r="J5430" s="3" t="s">
        <v>10759</v>
      </c>
      <c r="K5430" s="3" t="s">
        <v>10760</v>
      </c>
      <c r="L5430" s="3" t="s">
        <v>10761</v>
      </c>
      <c r="M5430" s="3" t="s">
        <v>10762</v>
      </c>
    </row>
    <row r="5431">
      <c r="A5431" s="3">
        <v>841.0</v>
      </c>
      <c r="B5431" s="3" t="s">
        <v>8148</v>
      </c>
      <c r="C5431" s="3" t="s">
        <v>8149</v>
      </c>
      <c r="D5431" s="3" t="s">
        <v>10763</v>
      </c>
      <c r="E5431" s="3" t="s">
        <v>10764</v>
      </c>
      <c r="F5431" s="3" t="s">
        <v>10765</v>
      </c>
      <c r="G5431" s="3" t="str">
        <f>IFERROR(__xludf.DUMMYFUNCTION("GOOGLETRANSLATE(D5431,""ja"",""es"")"),"Materno")</f>
        <v>Materno</v>
      </c>
    </row>
    <row r="5432">
      <c r="A5432" s="3">
        <v>842.0</v>
      </c>
      <c r="B5432" s="3" t="s">
        <v>8148</v>
      </c>
      <c r="C5432" s="3" t="s">
        <v>8149</v>
      </c>
      <c r="D5432" s="3" t="s">
        <v>10766</v>
      </c>
      <c r="E5432" s="3" t="s">
        <v>9166</v>
      </c>
      <c r="F5432" s="3" t="s">
        <v>9167</v>
      </c>
      <c r="G5432" s="3" t="str">
        <f>IFERROR(__xludf.DUMMYFUNCTION("GOOGLETRANSLATE(D5432,""ja"",""es"")"),"Tesoro")</f>
        <v>Tesoro</v>
      </c>
      <c r="H5432" s="3" t="s">
        <v>10767</v>
      </c>
      <c r="I5432" s="3" t="s">
        <v>10768</v>
      </c>
      <c r="J5432" s="3" t="s">
        <v>10767</v>
      </c>
      <c r="K5432" s="3" t="s">
        <v>10769</v>
      </c>
    </row>
    <row r="5433">
      <c r="A5433" s="3">
        <v>843.0</v>
      </c>
      <c r="B5433" s="3" t="s">
        <v>8148</v>
      </c>
      <c r="C5433" s="3" t="s">
        <v>8149</v>
      </c>
      <c r="D5433" s="3" t="s">
        <v>10770</v>
      </c>
      <c r="E5433" s="3" t="s">
        <v>272</v>
      </c>
      <c r="F5433" s="3" t="s">
        <v>273</v>
      </c>
      <c r="G5433" s="3" t="str">
        <f>IFERROR(__xludf.DUMMYFUNCTION("GOOGLETRANSLATE(D5433,""ja"",""es"")"),"cansado")</f>
        <v>cansado</v>
      </c>
    </row>
    <row r="5434">
      <c r="A5434" s="3">
        <v>844.0</v>
      </c>
      <c r="B5434" s="3" t="s">
        <v>8148</v>
      </c>
      <c r="C5434" s="3" t="s">
        <v>8149</v>
      </c>
      <c r="D5434" s="3" t="s">
        <v>10771</v>
      </c>
      <c r="E5434" s="3" t="s">
        <v>9453</v>
      </c>
      <c r="F5434" s="3" t="s">
        <v>9454</v>
      </c>
      <c r="G5434" s="3" t="str">
        <f>IFERROR(__xludf.DUMMYFUNCTION("GOOGLETRANSLATE(D5434,""ja"",""es"")"),"tarde")</f>
        <v>tarde</v>
      </c>
    </row>
    <row r="5435">
      <c r="A5435" s="3">
        <v>845.0</v>
      </c>
      <c r="B5435" s="3" t="s">
        <v>8148</v>
      </c>
      <c r="C5435" s="3" t="s">
        <v>8149</v>
      </c>
      <c r="D5435" s="3" t="s">
        <v>10772</v>
      </c>
      <c r="E5435" s="3" t="s">
        <v>10773</v>
      </c>
      <c r="F5435" s="3" t="s">
        <v>10774</v>
      </c>
      <c r="G5435" s="3" t="str">
        <f>IFERROR(__xludf.DUMMYFUNCTION("GOOGLETRANSLATE(D5435,""ja"",""es"")"),"Alma fallecida")</f>
        <v>Alma fallecida</v>
      </c>
      <c r="H5435" s="3" t="s">
        <v>10775</v>
      </c>
      <c r="I5435" s="3" t="s">
        <v>10776</v>
      </c>
      <c r="J5435" s="3" t="s">
        <v>10777</v>
      </c>
      <c r="K5435" s="3" t="s">
        <v>10778</v>
      </c>
      <c r="L5435" s="3" t="s">
        <v>10779</v>
      </c>
      <c r="M5435" s="3" t="s">
        <v>10780</v>
      </c>
    </row>
    <row r="5436">
      <c r="A5436" s="3">
        <v>846.0</v>
      </c>
      <c r="B5436" s="3" t="s">
        <v>8148</v>
      </c>
      <c r="C5436" s="3" t="s">
        <v>8149</v>
      </c>
      <c r="D5436" s="3" t="s">
        <v>10781</v>
      </c>
      <c r="E5436" s="3" t="s">
        <v>10782</v>
      </c>
      <c r="F5436" s="3" t="s">
        <v>10783</v>
      </c>
      <c r="G5436" s="3" t="str">
        <f>IFERROR(__xludf.DUMMYFUNCTION("GOOGLETRANSLATE(D5436,""ja"",""es"")"),"Madre difunta")</f>
        <v>Madre difunta</v>
      </c>
    </row>
    <row r="5437">
      <c r="A5437" s="3">
        <v>847.0</v>
      </c>
      <c r="B5437" s="3" t="s">
        <v>8148</v>
      </c>
      <c r="C5437" s="3" t="s">
        <v>8149</v>
      </c>
      <c r="D5437" s="3" t="s">
        <v>10784</v>
      </c>
      <c r="E5437" s="3" t="s">
        <v>10749</v>
      </c>
      <c r="F5437" s="3" t="s">
        <v>10750</v>
      </c>
      <c r="G5437" s="3" t="str">
        <f>IFERROR(__xludf.DUMMYFUNCTION("GOOGLETRANSLATE(D5437,""ja"",""es"")"),"cosas escuchadas")</f>
        <v>cosas escuchadas</v>
      </c>
    </row>
    <row r="5438">
      <c r="A5438" s="3">
        <v>848.0</v>
      </c>
      <c r="B5438" s="3" t="s">
        <v>8148</v>
      </c>
      <c r="C5438" s="3" t="s">
        <v>8149</v>
      </c>
      <c r="D5438" s="3" t="s">
        <v>10785</v>
      </c>
      <c r="E5438" s="3" t="s">
        <v>7738</v>
      </c>
      <c r="F5438" s="3" t="s">
        <v>5438</v>
      </c>
      <c r="G5438" s="3" t="str">
        <f>IFERROR(__xludf.DUMMYFUNCTION("GOOGLETRANSLATE(D5438,""ja"",""es"")"),"Norte")</f>
        <v>Norte</v>
      </c>
      <c r="H5438" s="3" t="s">
        <v>10786</v>
      </c>
      <c r="I5438" s="3" t="s">
        <v>10787</v>
      </c>
      <c r="J5438" s="3" t="s">
        <v>10788</v>
      </c>
      <c r="K5438" s="3" t="s">
        <v>10131</v>
      </c>
      <c r="L5438" s="3" t="s">
        <v>10132</v>
      </c>
      <c r="M5438" s="3" t="s">
        <v>10133</v>
      </c>
      <c r="N5438" s="3" t="s">
        <v>4112</v>
      </c>
      <c r="O5438" s="3" t="s">
        <v>10131</v>
      </c>
      <c r="P5438" s="3" t="s">
        <v>10789</v>
      </c>
      <c r="Q5438" s="3" t="s">
        <v>10790</v>
      </c>
    </row>
    <row r="5439">
      <c r="A5439" s="3">
        <v>849.0</v>
      </c>
      <c r="B5439" s="3" t="s">
        <v>8148</v>
      </c>
      <c r="C5439" s="3" t="s">
        <v>8149</v>
      </c>
      <c r="D5439" s="3" t="s">
        <v>10791</v>
      </c>
      <c r="E5439" s="3" t="s">
        <v>10792</v>
      </c>
      <c r="F5439" s="3" t="s">
        <v>10793</v>
      </c>
      <c r="G5439" s="3" t="str">
        <f>IFERROR(__xludf.DUMMYFUNCTION("GOOGLETRANSLATE(D5439,""ja"",""es"")"),"Bola del norte")</f>
        <v>Bola del norte</v>
      </c>
    </row>
    <row r="5440">
      <c r="A5440" s="3">
        <v>850.0</v>
      </c>
      <c r="B5440" s="3" t="s">
        <v>8148</v>
      </c>
      <c r="C5440" s="3" t="s">
        <v>8149</v>
      </c>
      <c r="D5440" s="3" t="s">
        <v>10794</v>
      </c>
      <c r="E5440" s="3" t="s">
        <v>10795</v>
      </c>
      <c r="F5440" s="3" t="s">
        <v>10796</v>
      </c>
      <c r="G5440" s="3" t="str">
        <f>IFERROR(__xludf.DUMMYFUNCTION("GOOGLETRANSLATE(D5440,""ja"",""es"")"),"Kitayama")</f>
        <v>Kitayama</v>
      </c>
    </row>
    <row r="5441">
      <c r="A5441" s="3">
        <v>851.0</v>
      </c>
      <c r="B5441" s="3" t="s">
        <v>8148</v>
      </c>
      <c r="C5441" s="3" t="s">
        <v>8149</v>
      </c>
      <c r="D5441" s="3" t="s">
        <v>10797</v>
      </c>
      <c r="E5441" s="3" t="s">
        <v>3503</v>
      </c>
      <c r="F5441" s="3" t="s">
        <v>3504</v>
      </c>
      <c r="G5441" s="3" t="str">
        <f>IFERROR(__xludf.DUMMYFUNCTION("GOOGLETRANSLATE(D5441,""ja"",""es"")"),"Romance")</f>
        <v>Romance</v>
      </c>
      <c r="H5441" s="3" t="s">
        <v>10798</v>
      </c>
      <c r="I5441" s="3" t="s">
        <v>10799</v>
      </c>
      <c r="J5441" s="3" t="s">
        <v>10800</v>
      </c>
      <c r="K5441" s="3" t="s">
        <v>10801</v>
      </c>
      <c r="L5441" s="3" t="s">
        <v>10802</v>
      </c>
    </row>
    <row r="5442">
      <c r="A5442" s="3">
        <v>852.0</v>
      </c>
      <c r="B5442" s="3" t="s">
        <v>8148</v>
      </c>
      <c r="C5442" s="3" t="s">
        <v>8149</v>
      </c>
      <c r="D5442" s="3" t="s">
        <v>10803</v>
      </c>
      <c r="E5442" s="3" t="s">
        <v>3609</v>
      </c>
      <c r="F5442" s="3" t="s">
        <v>3610</v>
      </c>
      <c r="G5442" s="3" t="str">
        <f>IFERROR(__xludf.DUMMYFUNCTION("GOOGLETRANSLATE(D5442,""ja"",""es"")"),"Muchos")</f>
        <v>Muchos</v>
      </c>
    </row>
    <row r="5443">
      <c r="A5443" s="3">
        <v>853.0</v>
      </c>
      <c r="B5443" s="3" t="s">
        <v>8148</v>
      </c>
      <c r="C5443" s="3" t="s">
        <v>8149</v>
      </c>
      <c r="D5443" s="3" t="s">
        <v>10804</v>
      </c>
      <c r="E5443" s="3" t="s">
        <v>3425</v>
      </c>
      <c r="F5443" s="3" t="s">
        <v>3426</v>
      </c>
      <c r="G5443" s="3" t="str">
        <f>IFERROR(__xludf.DUMMYFUNCTION("GOOGLETRANSLATE(D5443,""ja"",""es"")"),"Manis")</f>
        <v>Manis</v>
      </c>
    </row>
    <row r="5444">
      <c r="A5444" s="3">
        <v>854.0</v>
      </c>
      <c r="B5444" s="3" t="s">
        <v>8148</v>
      </c>
      <c r="C5444" s="3" t="s">
        <v>8149</v>
      </c>
      <c r="D5444" s="3" t="s">
        <v>10805</v>
      </c>
      <c r="E5444" s="3" t="s">
        <v>10806</v>
      </c>
      <c r="F5444" s="3" t="s">
        <v>10807</v>
      </c>
      <c r="G5444" s="3" t="str">
        <f>IFERROR(__xludf.DUMMYFUNCTION("GOOGLETRANSLATE(D5444,""ja"",""es"")"),"Cuadrado")</f>
        <v>Cuadrado</v>
      </c>
    </row>
    <row r="5445">
      <c r="A5445" s="3">
        <v>855.0</v>
      </c>
      <c r="B5445" s="3" t="s">
        <v>8148</v>
      </c>
      <c r="C5445" s="3" t="s">
        <v>8149</v>
      </c>
      <c r="D5445" s="3" t="s">
        <v>10808</v>
      </c>
      <c r="E5445" s="3" t="s">
        <v>3467</v>
      </c>
      <c r="F5445" s="3" t="s">
        <v>3468</v>
      </c>
      <c r="G5445" s="3" t="str">
        <f>IFERROR(__xludf.DUMMYFUNCTION("GOOGLETRANSLATE(D5445,""ja"",""es"")"),"Misterioso")</f>
        <v>Misterioso</v>
      </c>
      <c r="H5445" s="3" t="s">
        <v>10809</v>
      </c>
      <c r="I5445" s="3" t="s">
        <v>10810</v>
      </c>
    </row>
    <row r="5446">
      <c r="A5446" s="3">
        <v>856.0</v>
      </c>
      <c r="B5446" s="3" t="s">
        <v>8148</v>
      </c>
      <c r="C5446" s="3" t="s">
        <v>8149</v>
      </c>
      <c r="D5446" s="3" t="s">
        <v>10811</v>
      </c>
      <c r="E5446" s="3" t="s">
        <v>3137</v>
      </c>
      <c r="F5446" s="3" t="s">
        <v>136</v>
      </c>
      <c r="G5446" s="3" t="str">
        <f>IFERROR(__xludf.DUMMYFUNCTION("GOOGLETRANSLATE(D5446,""ja"",""es"")"),"Demonio")</f>
        <v>Demonio</v>
      </c>
      <c r="H5446" s="3" t="s">
        <v>10812</v>
      </c>
      <c r="I5446" s="3" t="s">
        <v>10813</v>
      </c>
      <c r="J5446" s="3" t="s">
        <v>10814</v>
      </c>
      <c r="K5446" s="3" t="s">
        <v>10815</v>
      </c>
      <c r="L5446" s="3" t="s">
        <v>10816</v>
      </c>
    </row>
    <row r="5447">
      <c r="A5447" s="3">
        <v>857.0</v>
      </c>
      <c r="B5447" s="3" t="s">
        <v>8148</v>
      </c>
      <c r="C5447" s="3" t="s">
        <v>8149</v>
      </c>
      <c r="D5447" s="3" t="s">
        <v>10817</v>
      </c>
      <c r="E5447" s="3" t="s">
        <v>3503</v>
      </c>
      <c r="F5447" s="3" t="s">
        <v>3504</v>
      </c>
      <c r="G5447" s="3" t="str">
        <f>IFERROR(__xludf.DUMMYFUNCTION("GOOGLETRANSLATE(D5447,""ja"",""es"")"),"Demonio")</f>
        <v>Demonio</v>
      </c>
    </row>
    <row r="5448">
      <c r="A5448" s="3">
        <v>858.0</v>
      </c>
      <c r="B5448" s="3" t="s">
        <v>8148</v>
      </c>
      <c r="C5448" s="3" t="s">
        <v>8149</v>
      </c>
      <c r="D5448" s="3" t="s">
        <v>10818</v>
      </c>
      <c r="E5448" s="3" t="s">
        <v>3410</v>
      </c>
      <c r="F5448" s="3" t="s">
        <v>3411</v>
      </c>
      <c r="G5448" s="3" t="str">
        <f>IFERROR(__xludf.DUMMYFUNCTION("GOOGLETRANSLATE(D5448,""ja"",""es"")"),"espíritu engañoso")</f>
        <v>espíritu engañoso</v>
      </c>
    </row>
    <row r="5449">
      <c r="A5449" s="3">
        <v>859.0</v>
      </c>
      <c r="B5449" s="3" t="s">
        <v>8148</v>
      </c>
      <c r="C5449" s="3" t="s">
        <v>8149</v>
      </c>
      <c r="D5449" s="3" t="s">
        <v>10819</v>
      </c>
      <c r="E5449" s="3" t="s">
        <v>10806</v>
      </c>
      <c r="F5449" s="3" t="s">
        <v>10807</v>
      </c>
      <c r="G5449" s="3" t="str">
        <f>IFERROR(__xludf.DUMMYFUNCTION("GOOGLETRANSLATE(D5449,""ja"",""es"")"),"Mahara")</f>
        <v>Mahara</v>
      </c>
    </row>
    <row r="5450">
      <c r="A5450" s="3">
        <v>860.0</v>
      </c>
      <c r="B5450" s="3" t="s">
        <v>8148</v>
      </c>
      <c r="C5450" s="3" t="s">
        <v>8149</v>
      </c>
      <c r="D5450" s="3" t="s">
        <v>10820</v>
      </c>
      <c r="E5450" s="3" t="s">
        <v>3503</v>
      </c>
      <c r="F5450" s="3" t="s">
        <v>3504</v>
      </c>
      <c r="G5450" s="3" t="str">
        <f>IFERROR(__xludf.DUMMYFUNCTION("GOOGLETRANSLATE(D5450,""ja"",""es"")"),"Nacarado")</f>
        <v>Nacarado</v>
      </c>
    </row>
    <row r="5451">
      <c r="A5451" s="3">
        <v>861.0</v>
      </c>
      <c r="B5451" s="3" t="s">
        <v>8148</v>
      </c>
      <c r="C5451" s="3" t="s">
        <v>8149</v>
      </c>
      <c r="D5451" s="3" t="s">
        <v>10821</v>
      </c>
      <c r="E5451" s="3" t="s">
        <v>8762</v>
      </c>
      <c r="F5451" s="3" t="s">
        <v>8763</v>
      </c>
      <c r="G5451" s="3" t="str">
        <f>IFERROR(__xludf.DUMMYFUNCTION("GOOGLETRANSLATE(D5451,""ja"",""es"")"),"Directo")</f>
        <v>Directo</v>
      </c>
    </row>
    <row r="5452">
      <c r="A5452" s="3">
        <v>862.0</v>
      </c>
      <c r="B5452" s="3" t="s">
        <v>8148</v>
      </c>
      <c r="C5452" s="3" t="s">
        <v>8149</v>
      </c>
      <c r="D5452" s="3" t="s">
        <v>10822</v>
      </c>
      <c r="E5452" s="3" t="s">
        <v>3609</v>
      </c>
      <c r="F5452" s="3" t="s">
        <v>3610</v>
      </c>
      <c r="G5452" s="3" t="str">
        <f>IFERROR(__xludf.DUMMYFUNCTION("GOOGLETRANSLATE(D5452,""ja"",""es"")"),"además")</f>
        <v>además</v>
      </c>
      <c r="H5452" s="3" t="s">
        <v>2508</v>
      </c>
      <c r="I5452" s="3" t="s">
        <v>2509</v>
      </c>
      <c r="J5452" s="3" t="s">
        <v>2510</v>
      </c>
      <c r="K5452" s="3" t="s">
        <v>2511</v>
      </c>
      <c r="L5452" s="3" t="s">
        <v>2512</v>
      </c>
      <c r="M5452" s="3" t="s">
        <v>10823</v>
      </c>
      <c r="N5452" s="3" t="s">
        <v>2511</v>
      </c>
      <c r="O5452" s="3" t="s">
        <v>10824</v>
      </c>
      <c r="P5452" s="3" t="s">
        <v>2511</v>
      </c>
    </row>
    <row r="5453">
      <c r="A5453" s="3">
        <v>863.0</v>
      </c>
      <c r="B5453" s="3" t="s">
        <v>8148</v>
      </c>
      <c r="C5453" s="3" t="s">
        <v>8149</v>
      </c>
      <c r="D5453" s="3" t="s">
        <v>10825</v>
      </c>
      <c r="E5453" s="3" t="s">
        <v>3609</v>
      </c>
      <c r="F5453" s="3" t="s">
        <v>3610</v>
      </c>
      <c r="G5453" s="3" t="str">
        <f>IFERROR(__xludf.DUMMYFUNCTION("GOOGLETRANSLATE(D5453,""ja"",""es"")"),"Falla")</f>
        <v>Falla</v>
      </c>
    </row>
    <row r="5454">
      <c r="A5454" s="3">
        <v>864.0</v>
      </c>
      <c r="B5454" s="3" t="s">
        <v>8148</v>
      </c>
      <c r="C5454" s="3" t="s">
        <v>8149</v>
      </c>
      <c r="D5454" s="3" t="s">
        <v>10826</v>
      </c>
      <c r="E5454" s="3" t="s">
        <v>3609</v>
      </c>
      <c r="F5454" s="3" t="s">
        <v>3610</v>
      </c>
      <c r="G5454" s="3" t="str">
        <f>IFERROR(__xludf.DUMMYFUNCTION("GOOGLETRANSLATE(D5454,""ja"",""es"")"),"o")</f>
        <v>o</v>
      </c>
      <c r="H5454" s="3" t="s">
        <v>2508</v>
      </c>
      <c r="I5454" s="3" t="s">
        <v>10827</v>
      </c>
      <c r="J5454" s="3" t="s">
        <v>9724</v>
      </c>
      <c r="K5454" s="3" t="s">
        <v>9725</v>
      </c>
      <c r="L5454" s="3" t="s">
        <v>9726</v>
      </c>
      <c r="M5454" s="3" t="s">
        <v>10695</v>
      </c>
      <c r="N5454" s="3" t="s">
        <v>10696</v>
      </c>
      <c r="O5454" s="3" t="s">
        <v>10697</v>
      </c>
      <c r="P5454" s="3" t="s">
        <v>10698</v>
      </c>
      <c r="Q5454" s="3" t="s">
        <v>2508</v>
      </c>
      <c r="R5454" s="3" t="s">
        <v>2509</v>
      </c>
      <c r="S5454" s="3" t="s">
        <v>2510</v>
      </c>
      <c r="T5454" s="3" t="s">
        <v>2511</v>
      </c>
      <c r="U5454" s="3" t="s">
        <v>2512</v>
      </c>
      <c r="V5454" s="3" t="s">
        <v>10823</v>
      </c>
      <c r="W5454" s="3" t="s">
        <v>2511</v>
      </c>
      <c r="X5454" s="3" t="s">
        <v>10824</v>
      </c>
      <c r="Y5454" s="3" t="s">
        <v>2511</v>
      </c>
    </row>
    <row r="5455">
      <c r="A5455" s="3">
        <v>865.0</v>
      </c>
      <c r="B5455" s="3" t="s">
        <v>8148</v>
      </c>
      <c r="C5455" s="3" t="s">
        <v>8149</v>
      </c>
      <c r="D5455" s="3" t="s">
        <v>10828</v>
      </c>
      <c r="E5455" s="3" t="s">
        <v>10829</v>
      </c>
      <c r="F5455" s="3" t="s">
        <v>10830</v>
      </c>
      <c r="G5455" s="3" t="str">
        <f>IFERROR(__xludf.DUMMYFUNCTION("GOOGLETRANSLATE(D5455,""ja"",""es"")"),"Otra vez")</f>
        <v>Otra vez</v>
      </c>
      <c r="H5455" s="3" t="s">
        <v>10695</v>
      </c>
      <c r="I5455" s="3" t="s">
        <v>10696</v>
      </c>
      <c r="J5455" s="3" t="s">
        <v>10697</v>
      </c>
      <c r="K5455" s="3" t="s">
        <v>10698</v>
      </c>
    </row>
    <row r="5456">
      <c r="A5456" s="3">
        <v>866.0</v>
      </c>
      <c r="B5456" s="3" t="s">
        <v>8148</v>
      </c>
      <c r="C5456" s="3" t="s">
        <v>8149</v>
      </c>
      <c r="D5456" s="3" t="s">
        <v>10831</v>
      </c>
      <c r="E5456" s="3" t="s">
        <v>10832</v>
      </c>
      <c r="F5456" s="3" t="s">
        <v>10833</v>
      </c>
      <c r="G5456" s="3" t="str">
        <f>IFERROR(__xludf.DUMMYFUNCTION("GOOGLETRANSLATE(D5456,""ja"",""es"")"),"O")</f>
        <v>O</v>
      </c>
    </row>
    <row r="5457">
      <c r="A5457" s="3">
        <v>867.0</v>
      </c>
      <c r="B5457" s="3" t="s">
        <v>8148</v>
      </c>
      <c r="C5457" s="3" t="s">
        <v>8149</v>
      </c>
      <c r="D5457" s="3" t="s">
        <v>10834</v>
      </c>
      <c r="E5457" s="3" t="s">
        <v>10829</v>
      </c>
      <c r="F5457" s="3" t="s">
        <v>10830</v>
      </c>
      <c r="G5457" s="3" t="str">
        <f>IFERROR(__xludf.DUMMYFUNCTION("GOOGLETRANSLATE(D5457,""ja"",""es"")"),"otra vez")</f>
        <v>otra vez</v>
      </c>
      <c r="H5457" s="3" t="s">
        <v>10695</v>
      </c>
      <c r="I5457" s="3" t="s">
        <v>10696</v>
      </c>
      <c r="J5457" s="3" t="s">
        <v>10697</v>
      </c>
      <c r="K5457" s="3" t="s">
        <v>10698</v>
      </c>
    </row>
    <row r="5458">
      <c r="A5458" s="3">
        <v>868.0</v>
      </c>
      <c r="B5458" s="3" t="s">
        <v>8148</v>
      </c>
      <c r="C5458" s="3" t="s">
        <v>8149</v>
      </c>
      <c r="D5458" s="3" t="s">
        <v>10835</v>
      </c>
      <c r="E5458" s="3" t="s">
        <v>8771</v>
      </c>
      <c r="F5458" s="3" t="s">
        <v>8772</v>
      </c>
      <c r="G5458" s="3" t="str">
        <f>IFERROR(__xludf.DUMMYFUNCTION("GOOGLETRANSLATE(D5458,""ja"",""es"")"),"El más joven")</f>
        <v>El más joven</v>
      </c>
    </row>
    <row r="5459">
      <c r="A5459" s="3">
        <v>869.0</v>
      </c>
      <c r="B5459" s="3" t="s">
        <v>8148</v>
      </c>
      <c r="C5459" s="3" t="s">
        <v>8149</v>
      </c>
      <c r="D5459" s="3" t="s">
        <v>10836</v>
      </c>
      <c r="E5459" s="3" t="s">
        <v>9642</v>
      </c>
      <c r="F5459" s="3" t="s">
        <v>9643</v>
      </c>
      <c r="G5459" s="3" t="str">
        <f>IFERROR(__xludf.DUMMYFUNCTION("GOOGLETRANSLATE(D5459,""ja"",""es"")"),"Aliado")</f>
        <v>Aliado</v>
      </c>
      <c r="H5459" s="3" t="s">
        <v>10837</v>
      </c>
      <c r="I5459" s="3" t="s">
        <v>549</v>
      </c>
      <c r="J5459" s="3" t="s">
        <v>549</v>
      </c>
      <c r="K5459" s="3" t="s">
        <v>548</v>
      </c>
      <c r="L5459" s="3" t="s">
        <v>548</v>
      </c>
    </row>
    <row r="5460">
      <c r="A5460" s="3">
        <v>870.0</v>
      </c>
      <c r="B5460" s="3" t="s">
        <v>8148</v>
      </c>
      <c r="C5460" s="3" t="s">
        <v>8149</v>
      </c>
      <c r="D5460" s="3" t="s">
        <v>10838</v>
      </c>
      <c r="E5460" s="3" t="s">
        <v>150</v>
      </c>
      <c r="F5460" s="3" t="s">
        <v>149</v>
      </c>
      <c r="G5460" s="3" t="str">
        <f>IFERROR(__xludf.DUMMYFUNCTION("GOOGLETRANSLATE(D5460,""ja"",""es"")"),"Serpiente")</f>
        <v>Serpiente</v>
      </c>
    </row>
    <row r="5461">
      <c r="A5461" s="3">
        <v>871.0</v>
      </c>
      <c r="B5461" s="3" t="s">
        <v>8148</v>
      </c>
      <c r="C5461" s="3" t="s">
        <v>8149</v>
      </c>
      <c r="D5461" s="3" t="s">
        <v>10839</v>
      </c>
      <c r="E5461" s="3" t="s">
        <v>6330</v>
      </c>
      <c r="F5461" s="3" t="s">
        <v>6331</v>
      </c>
      <c r="G5461" s="3" t="str">
        <f>IFERROR(__xludf.DUMMYFUNCTION("GOOGLETRANSLATE(D5461,""ja"",""es"")"),"gente")</f>
        <v>gente</v>
      </c>
      <c r="H5461" s="3" t="s">
        <v>10840</v>
      </c>
      <c r="I5461" s="3" t="s">
        <v>3572</v>
      </c>
      <c r="J5461" s="3" t="s">
        <v>10841</v>
      </c>
      <c r="K5461" s="3" t="s">
        <v>10842</v>
      </c>
      <c r="L5461" s="3" t="s">
        <v>10843</v>
      </c>
      <c r="M5461" s="3" t="s">
        <v>10844</v>
      </c>
      <c r="N5461" s="3" t="s">
        <v>6576</v>
      </c>
    </row>
    <row r="5462">
      <c r="A5462" s="3">
        <v>872.0</v>
      </c>
      <c r="B5462" s="3" t="s">
        <v>8148</v>
      </c>
      <c r="C5462" s="3" t="s">
        <v>8149</v>
      </c>
      <c r="D5462" s="3" t="s">
        <v>10845</v>
      </c>
      <c r="E5462" s="3" t="s">
        <v>9453</v>
      </c>
      <c r="F5462" s="3" t="s">
        <v>9454</v>
      </c>
      <c r="G5462" s="3" t="str">
        <f>IFERROR(__xludf.DUMMYFUNCTION("GOOGLETRANSLATE(D5462,""ja"",""es"")"),"Nada")</f>
        <v>Nada</v>
      </c>
    </row>
    <row r="5463">
      <c r="A5463" s="3">
        <v>873.0</v>
      </c>
      <c r="B5463" s="3" t="s">
        <v>8148</v>
      </c>
      <c r="C5463" s="3" t="s">
        <v>8149</v>
      </c>
      <c r="D5463" s="3" t="s">
        <v>10846</v>
      </c>
      <c r="E5463" s="3" t="s">
        <v>8619</v>
      </c>
      <c r="F5463" s="3" t="s">
        <v>8620</v>
      </c>
      <c r="G5463" s="3" t="str">
        <f>IFERROR(__xludf.DUMMYFUNCTION("GOOGLETRANSLATE(D5463,""ja"",""es"")"),"niebla")</f>
        <v>niebla</v>
      </c>
      <c r="H5463" s="3" t="s">
        <v>10847</v>
      </c>
      <c r="I5463" s="3" t="s">
        <v>10848</v>
      </c>
      <c r="J5463" s="3" t="s">
        <v>10849</v>
      </c>
      <c r="K5463" s="3" t="s">
        <v>10847</v>
      </c>
      <c r="L5463" s="3" t="s">
        <v>10850</v>
      </c>
      <c r="M5463" s="3" t="s">
        <v>10851</v>
      </c>
      <c r="N5463" s="3" t="s">
        <v>10852</v>
      </c>
    </row>
    <row r="5464">
      <c r="A5464" s="3">
        <v>874.0</v>
      </c>
      <c r="B5464" s="3" t="s">
        <v>8148</v>
      </c>
      <c r="C5464" s="3" t="s">
        <v>8149</v>
      </c>
      <c r="D5464" s="3" t="s">
        <v>10853</v>
      </c>
      <c r="E5464" s="3" t="s">
        <v>10193</v>
      </c>
      <c r="F5464" s="3" t="s">
        <v>10194</v>
      </c>
      <c r="G5464" s="3" t="str">
        <f>IFERROR(__xludf.DUMMYFUNCTION("GOOGLETRANSLATE(D5464,""ja"",""es"")"),"Claro")</f>
        <v>Claro</v>
      </c>
      <c r="H5464" s="3" t="s">
        <v>8261</v>
      </c>
      <c r="I5464" s="3" t="s">
        <v>10196</v>
      </c>
      <c r="J5464" s="3" t="s">
        <v>10854</v>
      </c>
      <c r="K5464" s="3" t="s">
        <v>10855</v>
      </c>
      <c r="L5464" s="3" t="s">
        <v>10856</v>
      </c>
      <c r="M5464" s="3" t="s">
        <v>10857</v>
      </c>
      <c r="N5464" s="3" t="s">
        <v>10858</v>
      </c>
      <c r="O5464" s="3" t="s">
        <v>10855</v>
      </c>
      <c r="P5464" s="3" t="s">
        <v>10859</v>
      </c>
      <c r="Q5464" s="3" t="s">
        <v>10855</v>
      </c>
      <c r="R5464" s="3" t="s">
        <v>10857</v>
      </c>
      <c r="S5464" s="3" t="s">
        <v>10855</v>
      </c>
      <c r="T5464" s="3" t="s">
        <v>10860</v>
      </c>
      <c r="U5464" s="3" t="s">
        <v>10856</v>
      </c>
      <c r="V5464" s="3" t="s">
        <v>10855</v>
      </c>
      <c r="W5464" s="3" t="s">
        <v>10861</v>
      </c>
      <c r="X5464" s="3" t="s">
        <v>10862</v>
      </c>
      <c r="Y5464" s="3" t="s">
        <v>10863</v>
      </c>
      <c r="Z5464" s="3" t="s">
        <v>10195</v>
      </c>
    </row>
    <row r="5465">
      <c r="A5465" s="3">
        <v>875.0</v>
      </c>
      <c r="B5465" s="3" t="s">
        <v>8148</v>
      </c>
      <c r="C5465" s="3" t="s">
        <v>8149</v>
      </c>
      <c r="D5465" s="3" t="s">
        <v>10864</v>
      </c>
      <c r="E5465" s="3" t="s">
        <v>10490</v>
      </c>
      <c r="F5465" s="3" t="s">
        <v>10491</v>
      </c>
      <c r="G5465" s="3" t="str">
        <f>IFERROR(__xludf.DUMMYFUNCTION("GOOGLETRANSLATE(D5465,""ja"",""es"")"),"Luz")</f>
        <v>Luz</v>
      </c>
      <c r="H5465" s="3" t="s">
        <v>10493</v>
      </c>
      <c r="I5465" s="3" t="s">
        <v>9653</v>
      </c>
      <c r="J5465" s="3" t="s">
        <v>10865</v>
      </c>
      <c r="K5465" s="3" t="s">
        <v>10866</v>
      </c>
      <c r="L5465" s="3" t="s">
        <v>9653</v>
      </c>
    </row>
    <row r="5466">
      <c r="A5466" s="3">
        <v>876.0</v>
      </c>
      <c r="B5466" s="3" t="s">
        <v>8148</v>
      </c>
      <c r="C5466" s="3" t="s">
        <v>8149</v>
      </c>
      <c r="D5466" s="3" t="s">
        <v>10867</v>
      </c>
      <c r="E5466" s="3" t="s">
        <v>272</v>
      </c>
      <c r="F5466" s="3" t="s">
        <v>273</v>
      </c>
      <c r="G5466" s="3" t="str">
        <f>IFERROR(__xludf.DUMMYFUNCTION("GOOGLETRANSLATE(D5466,""ja"",""es"")"),"Claro")</f>
        <v>Claro</v>
      </c>
      <c r="H5466" s="3" t="s">
        <v>9495</v>
      </c>
      <c r="I5466" s="3" t="s">
        <v>9497</v>
      </c>
      <c r="J5466" s="3" t="s">
        <v>9498</v>
      </c>
      <c r="K5466" s="3" t="s">
        <v>9499</v>
      </c>
    </row>
    <row r="5467">
      <c r="A5467" s="3">
        <v>877.0</v>
      </c>
      <c r="B5467" s="3" t="s">
        <v>8148</v>
      </c>
      <c r="C5467" s="3" t="s">
        <v>8149</v>
      </c>
      <c r="D5467" s="3" t="s">
        <v>10868</v>
      </c>
      <c r="E5467" s="3" t="s">
        <v>9504</v>
      </c>
      <c r="F5467" s="3" t="s">
        <v>9505</v>
      </c>
      <c r="G5467" s="3" t="str">
        <f>IFERROR(__xludf.DUMMYFUNCTION("GOOGLETRANSLATE(D5467,""ja"",""es"")"),"Casa")</f>
        <v>Casa</v>
      </c>
    </row>
    <row r="5468">
      <c r="A5468" s="3">
        <v>878.0</v>
      </c>
      <c r="B5468" s="3" t="s">
        <v>8148</v>
      </c>
      <c r="C5468" s="3" t="s">
        <v>8149</v>
      </c>
      <c r="D5468" s="3" t="s">
        <v>10869</v>
      </c>
      <c r="E5468" s="3" t="s">
        <v>9663</v>
      </c>
      <c r="F5468" s="3" t="s">
        <v>9664</v>
      </c>
      <c r="G5468" s="3" t="str">
        <f>IFERROR(__xludf.DUMMYFUNCTION("GOOGLETRANSLATE(D5468,""ja"",""es"")"),"claro")</f>
        <v>claro</v>
      </c>
      <c r="H5468" s="3" t="s">
        <v>9653</v>
      </c>
      <c r="I5468" s="3" t="s">
        <v>10855</v>
      </c>
      <c r="J5468" s="3" t="s">
        <v>10870</v>
      </c>
      <c r="K5468" s="3" t="s">
        <v>10855</v>
      </c>
      <c r="L5468" s="3" t="s">
        <v>10859</v>
      </c>
      <c r="M5468" s="3" t="s">
        <v>10855</v>
      </c>
      <c r="N5468" s="3" t="s">
        <v>10871</v>
      </c>
      <c r="O5468" s="3" t="s">
        <v>10872</v>
      </c>
      <c r="P5468" s="3" t="s">
        <v>10873</v>
      </c>
      <c r="Q5468" s="3" t="s">
        <v>10857</v>
      </c>
      <c r="R5468" s="3" t="s">
        <v>10855</v>
      </c>
      <c r="S5468" s="3" t="s">
        <v>10860</v>
      </c>
      <c r="T5468" s="3" t="s">
        <v>10856</v>
      </c>
      <c r="U5468" s="3" t="s">
        <v>10874</v>
      </c>
      <c r="V5468" s="3" t="s">
        <v>10875</v>
      </c>
      <c r="W5468" s="3" t="s">
        <v>10876</v>
      </c>
      <c r="X5468" s="3" t="s">
        <v>10855</v>
      </c>
      <c r="Y5468" s="3" t="s">
        <v>10861</v>
      </c>
      <c r="Z5468" s="3" t="s">
        <v>10862</v>
      </c>
      <c r="AA5468" s="3" t="s">
        <v>10863</v>
      </c>
      <c r="AB5468" s="3" t="s">
        <v>10877</v>
      </c>
      <c r="AC5468" s="3" t="s">
        <v>10875</v>
      </c>
      <c r="AD5468" s="3" t="s">
        <v>10878</v>
      </c>
      <c r="AE5468" s="3" t="s">
        <v>10879</v>
      </c>
      <c r="AF5468" s="3" t="s">
        <v>10880</v>
      </c>
      <c r="AG5468" s="3" t="s">
        <v>10870</v>
      </c>
      <c r="AH5468" s="3" t="s">
        <v>10881</v>
      </c>
      <c r="AI5468" s="3" t="s">
        <v>10880</v>
      </c>
      <c r="AJ5468" s="3" t="s">
        <v>10882</v>
      </c>
      <c r="AK5468" s="3" t="s">
        <v>10883</v>
      </c>
      <c r="AL5468" s="3" t="s">
        <v>10884</v>
      </c>
    </row>
    <row r="5469">
      <c r="A5469" s="3">
        <v>879.0</v>
      </c>
      <c r="B5469" s="3" t="s">
        <v>8148</v>
      </c>
      <c r="C5469" s="3" t="s">
        <v>8149</v>
      </c>
      <c r="D5469" s="3" t="s">
        <v>10885</v>
      </c>
      <c r="E5469" s="3" t="s">
        <v>10490</v>
      </c>
      <c r="F5469" s="3" t="s">
        <v>10491</v>
      </c>
      <c r="G5469" s="3" t="str">
        <f>IFERROR(__xludf.DUMMYFUNCTION("GOOGLETRANSLATE(D5469,""ja"",""es"")"),"luz")</f>
        <v>luz</v>
      </c>
      <c r="H5469" s="3" t="s">
        <v>10493</v>
      </c>
      <c r="I5469" s="3" t="s">
        <v>9653</v>
      </c>
    </row>
    <row r="5470">
      <c r="A5470" s="3">
        <v>880.0</v>
      </c>
      <c r="B5470" s="3" t="s">
        <v>8148</v>
      </c>
      <c r="C5470" s="3" t="s">
        <v>8149</v>
      </c>
      <c r="D5470" s="3" t="s">
        <v>10886</v>
      </c>
      <c r="E5470" s="3" t="s">
        <v>10887</v>
      </c>
      <c r="F5470" s="3" t="s">
        <v>10888</v>
      </c>
      <c r="G5470" s="3" t="str">
        <f>IFERROR(__xludf.DUMMYFUNCTION("GOOGLETRANSLATE(D5470,""ja"",""es"")"),"Luz")</f>
        <v>Luz</v>
      </c>
    </row>
    <row r="5471">
      <c r="A5471" s="3">
        <v>881.0</v>
      </c>
      <c r="B5471" s="3" t="s">
        <v>8148</v>
      </c>
      <c r="C5471" s="3" t="s">
        <v>8149</v>
      </c>
      <c r="D5471" s="3" t="s">
        <v>10889</v>
      </c>
      <c r="E5471" s="3" t="s">
        <v>10887</v>
      </c>
      <c r="F5471" s="3" t="s">
        <v>10888</v>
      </c>
      <c r="G5471" s="3" t="str">
        <f>IFERROR(__xludf.DUMMYFUNCTION("GOOGLETRANSLATE(D5471,""ja"",""es"")"),"Destino")</f>
        <v>Destino</v>
      </c>
    </row>
    <row r="5472">
      <c r="A5472" s="3">
        <v>882.0</v>
      </c>
      <c r="B5472" s="3" t="s">
        <v>8148</v>
      </c>
      <c r="C5472" s="3" t="s">
        <v>8149</v>
      </c>
      <c r="D5472" s="3" t="s">
        <v>10890</v>
      </c>
      <c r="E5472" s="3" t="s">
        <v>8322</v>
      </c>
      <c r="F5472" s="3" t="s">
        <v>8323</v>
      </c>
      <c r="G5472" s="3" t="str">
        <f>IFERROR(__xludf.DUMMYFUNCTION("GOOGLETRANSLATE(D5472,""ja"",""es"")"),"Sonido")</f>
        <v>Sonido</v>
      </c>
    </row>
    <row r="5473">
      <c r="A5473" s="3">
        <v>883.0</v>
      </c>
      <c r="B5473" s="3" t="s">
        <v>8148</v>
      </c>
      <c r="C5473" s="3" t="s">
        <v>8149</v>
      </c>
      <c r="D5473" s="3" t="s">
        <v>10891</v>
      </c>
      <c r="E5473" s="3" t="s">
        <v>10892</v>
      </c>
      <c r="F5473" s="3" t="s">
        <v>10893</v>
      </c>
      <c r="G5473" s="3" t="str">
        <f>IFERROR(__xludf.DUMMYFUNCTION("GOOGLETRANSLATE(D5473,""ja"",""es"")"),"Red a la parrilla")</f>
        <v>Red a la parrilla</v>
      </c>
      <c r="H5473" s="3" t="s">
        <v>10894</v>
      </c>
      <c r="I5473" s="3" t="s">
        <v>10895</v>
      </c>
      <c r="J5473" s="3" t="s">
        <v>10896</v>
      </c>
    </row>
    <row r="5474">
      <c r="A5474" s="3">
        <v>884.0</v>
      </c>
      <c r="B5474" s="3" t="s">
        <v>8148</v>
      </c>
      <c r="C5474" s="3" t="s">
        <v>8149</v>
      </c>
      <c r="D5474" s="3" t="s">
        <v>10897</v>
      </c>
      <c r="E5474" s="3" t="s">
        <v>10898</v>
      </c>
      <c r="F5474" s="3" t="s">
        <v>10899</v>
      </c>
      <c r="G5474" s="3" t="str">
        <f>IFERROR(__xludf.DUMMYFUNCTION("GOOGLETRANSLATE(D5474,""ja"",""es"")"),"Árbol")</f>
        <v>Árbol</v>
      </c>
    </row>
    <row r="5475">
      <c r="A5475" s="3">
        <v>885.0</v>
      </c>
      <c r="B5475" s="3" t="s">
        <v>8148</v>
      </c>
      <c r="C5475" s="3" t="s">
        <v>8149</v>
      </c>
      <c r="D5475" s="3" t="s">
        <v>10900</v>
      </c>
      <c r="E5475" s="3" t="s">
        <v>8609</v>
      </c>
      <c r="F5475" s="3" t="s">
        <v>8610</v>
      </c>
      <c r="G5475" s="3" t="str">
        <f>IFERROR(__xludf.DUMMYFUNCTION("GOOGLETRANSLATE(D5475,""ja"",""es"")"),"Buque de vapor")</f>
        <v>Buque de vapor</v>
      </c>
    </row>
    <row r="5476">
      <c r="A5476" s="3">
        <v>886.0</v>
      </c>
      <c r="B5476" s="3" t="s">
        <v>8148</v>
      </c>
      <c r="C5476" s="3" t="s">
        <v>8149</v>
      </c>
      <c r="D5476" s="3" t="s">
        <v>10901</v>
      </c>
      <c r="E5476" s="3" t="s">
        <v>8609</v>
      </c>
      <c r="F5476" s="3" t="s">
        <v>8610</v>
      </c>
      <c r="G5476" s="3" t="str">
        <f>IFERROR(__xludf.DUMMYFUNCTION("GOOGLETRANSLATE(D5476,""ja"",""es"")"),"Golpear madera")</f>
        <v>Golpear madera</v>
      </c>
    </row>
    <row r="5477">
      <c r="A5477" s="3">
        <v>887.0</v>
      </c>
      <c r="B5477" s="3" t="s">
        <v>8148</v>
      </c>
      <c r="C5477" s="3" t="s">
        <v>8149</v>
      </c>
      <c r="D5477" s="3" t="s">
        <v>10902</v>
      </c>
      <c r="E5477" s="3" t="s">
        <v>8609</v>
      </c>
      <c r="F5477" s="3" t="s">
        <v>8610</v>
      </c>
      <c r="G5477" s="3" t="str">
        <f>IFERROR(__xludf.DUMMYFUNCTION("GOOGLETRANSLATE(D5477,""ja"",""es"")"),"Golpear un árbol")</f>
        <v>Golpear un árbol</v>
      </c>
    </row>
    <row r="5478">
      <c r="A5478" s="3">
        <v>888.0</v>
      </c>
      <c r="B5478" s="3" t="s">
        <v>8148</v>
      </c>
      <c r="C5478" s="3" t="s">
        <v>8149</v>
      </c>
      <c r="D5478" s="3" t="s">
        <v>10903</v>
      </c>
      <c r="E5478" s="3" t="s">
        <v>3410</v>
      </c>
      <c r="F5478" s="3" t="s">
        <v>3411</v>
      </c>
      <c r="G5478" s="3" t="str">
        <f>IFERROR(__xludf.DUMMYFUNCTION("GOOGLETRANSLATE(D5478,""ja"",""es"")"),"Perspectiva")</f>
        <v>Perspectiva</v>
      </c>
      <c r="H5478" s="3" t="s">
        <v>3036</v>
      </c>
    </row>
    <row r="5479">
      <c r="A5479" s="3">
        <v>889.0</v>
      </c>
      <c r="B5479" s="3" t="s">
        <v>8148</v>
      </c>
      <c r="C5479" s="3" t="s">
        <v>8149</v>
      </c>
      <c r="D5479" s="3" t="s">
        <v>10904</v>
      </c>
      <c r="E5479" s="3" t="s">
        <v>8771</v>
      </c>
      <c r="F5479" s="3" t="s">
        <v>8772</v>
      </c>
      <c r="G5479" s="3" t="str">
        <f>IFERROR(__xludf.DUMMYFUNCTION("GOOGLETRANSLATE(D5479,""ja"",""es"")"),"Por supuesto")</f>
        <v>Por supuesto</v>
      </c>
    </row>
    <row r="5480">
      <c r="A5480" s="3">
        <v>890.0</v>
      </c>
      <c r="B5480" s="3" t="s">
        <v>8148</v>
      </c>
      <c r="C5480" s="3" t="s">
        <v>8149</v>
      </c>
      <c r="D5480" s="3" t="s">
        <v>10905</v>
      </c>
      <c r="E5480" s="3" t="s">
        <v>8322</v>
      </c>
      <c r="F5480" s="3" t="s">
        <v>8323</v>
      </c>
      <c r="G5480" s="3" t="str">
        <f>IFERROR(__xludf.DUMMYFUNCTION("GOOGLETRANSLATE(D5480,""ja"",""es"")"),"Anciano")</f>
        <v>Anciano</v>
      </c>
    </row>
    <row r="5481">
      <c r="A5481" s="3">
        <v>891.0</v>
      </c>
      <c r="B5481" s="3" t="s">
        <v>8148</v>
      </c>
      <c r="C5481" s="3" t="s">
        <v>8149</v>
      </c>
      <c r="D5481" s="3" t="s">
        <v>10906</v>
      </c>
      <c r="E5481" s="3" t="s">
        <v>8142</v>
      </c>
      <c r="F5481" s="3" t="s">
        <v>126</v>
      </c>
      <c r="G5481" s="3" t="str">
        <f>IFERROR(__xludf.DUMMYFUNCTION("GOOGLETRANSLATE(D5481,""ja"",""es"")"),"Diamante")</f>
        <v>Diamante</v>
      </c>
    </row>
    <row r="5482">
      <c r="A5482" s="3">
        <v>892.0</v>
      </c>
      <c r="B5482" s="3" t="s">
        <v>8148</v>
      </c>
      <c r="C5482" s="3" t="s">
        <v>8149</v>
      </c>
      <c r="D5482" s="3" t="s">
        <v>10907</v>
      </c>
      <c r="E5482" s="3" t="s">
        <v>10083</v>
      </c>
      <c r="F5482" s="3" t="s">
        <v>10084</v>
      </c>
      <c r="G5482" s="3" t="str">
        <f>IFERROR(__xludf.DUMMYFUNCTION("GOOGLETRANSLATE(D5482,""ja"",""es"")"),"Espíritu nocturno")</f>
        <v>Espíritu nocturno</v>
      </c>
    </row>
    <row r="5483">
      <c r="A5483" s="3">
        <v>893.0</v>
      </c>
      <c r="B5483" s="3" t="s">
        <v>8148</v>
      </c>
      <c r="C5483" s="3" t="s">
        <v>8149</v>
      </c>
      <c r="D5483" s="3" t="s">
        <v>10908</v>
      </c>
      <c r="E5483" s="3" t="s">
        <v>10909</v>
      </c>
      <c r="F5483" s="3" t="s">
        <v>10910</v>
      </c>
      <c r="G5483" s="3" t="str">
        <f>IFERROR(__xludf.DUMMYFUNCTION("GOOGLETRANSLATE(D5483,""ja"",""es"")"),"Todo el camino")</f>
        <v>Todo el camino</v>
      </c>
    </row>
    <row r="5484">
      <c r="A5484" s="3">
        <v>894.0</v>
      </c>
      <c r="B5484" s="3" t="s">
        <v>8148</v>
      </c>
      <c r="C5484" s="3" t="s">
        <v>8149</v>
      </c>
      <c r="D5484" s="3" t="s">
        <v>10911</v>
      </c>
      <c r="E5484" s="3" t="s">
        <v>10912</v>
      </c>
      <c r="F5484" s="3" t="s">
        <v>10913</v>
      </c>
      <c r="G5484" s="3" t="str">
        <f>IFERROR(__xludf.DUMMYFUNCTION("GOOGLETRANSLATE(D5484,""ja"",""es"")"),"Más allá de")</f>
        <v>Más allá de</v>
      </c>
    </row>
    <row r="5485">
      <c r="A5485" s="3">
        <v>895.0</v>
      </c>
      <c r="B5485" s="3" t="s">
        <v>8148</v>
      </c>
      <c r="C5485" s="3" t="s">
        <v>8149</v>
      </c>
      <c r="D5485" s="3" t="s">
        <v>10914</v>
      </c>
      <c r="E5485" s="3" t="s">
        <v>10915</v>
      </c>
      <c r="F5485" s="3" t="s">
        <v>10916</v>
      </c>
      <c r="G5485" s="3" t="str">
        <f>IFERROR(__xludf.DUMMYFUNCTION("GOOGLETRANSLATE(D5485,""ja"",""es"")"),"al azar")</f>
        <v>al azar</v>
      </c>
    </row>
    <row r="5486">
      <c r="A5486" s="3">
        <v>896.0</v>
      </c>
      <c r="B5486" s="3" t="s">
        <v>8148</v>
      </c>
      <c r="C5486" s="3" t="s">
        <v>8149</v>
      </c>
      <c r="D5486" s="3" t="s">
        <v>10917</v>
      </c>
      <c r="E5486" s="3" t="s">
        <v>10918</v>
      </c>
      <c r="F5486" s="3" t="s">
        <v>10919</v>
      </c>
      <c r="G5486" s="3" t="str">
        <f>IFERROR(__xludf.DUMMYFUNCTION("GOOGLETRANSLATE(D5486,""ja"",""es"")"),"Furioso")</f>
        <v>Furioso</v>
      </c>
      <c r="H5486" s="3" t="s">
        <v>10920</v>
      </c>
      <c r="I5486" s="3" t="s">
        <v>10921</v>
      </c>
      <c r="J5486" s="3" t="s">
        <v>10921</v>
      </c>
    </row>
    <row r="5487">
      <c r="A5487" s="3">
        <v>897.0</v>
      </c>
      <c r="B5487" s="3" t="s">
        <v>8148</v>
      </c>
      <c r="C5487" s="3" t="s">
        <v>8149</v>
      </c>
      <c r="D5487" s="3" t="s">
        <v>10922</v>
      </c>
      <c r="E5487" s="3" t="s">
        <v>10918</v>
      </c>
      <c r="F5487" s="3" t="s">
        <v>10919</v>
      </c>
      <c r="G5487" s="3" t="str">
        <f>IFERROR(__xludf.DUMMYFUNCTION("GOOGLETRANSLATE(D5487,""ja"",""es"")"),"Creciente")</f>
        <v>Creciente</v>
      </c>
      <c r="H5487" s="3" t="s">
        <v>10920</v>
      </c>
      <c r="I5487" s="3" t="s">
        <v>10921</v>
      </c>
      <c r="J5487" s="3" t="s">
        <v>10921</v>
      </c>
    </row>
    <row r="5488">
      <c r="A5488" s="3">
        <v>898.0</v>
      </c>
      <c r="B5488" s="3" t="s">
        <v>8148</v>
      </c>
      <c r="C5488" s="3" t="s">
        <v>8149</v>
      </c>
      <c r="D5488" s="3" t="s">
        <v>10923</v>
      </c>
      <c r="E5488" s="3" t="s">
        <v>10344</v>
      </c>
      <c r="F5488" s="3" t="s">
        <v>10345</v>
      </c>
      <c r="G5488" s="3" t="str">
        <f>IFERROR(__xludf.DUMMYFUNCTION("GOOGLETRANSLATE(D5488,""ja"",""es"")"),"Yari")</f>
        <v>Yari</v>
      </c>
      <c r="H5488" s="3" t="s">
        <v>10346</v>
      </c>
      <c r="I5488" s="3" t="s">
        <v>10347</v>
      </c>
      <c r="J5488" s="3" t="s">
        <v>7515</v>
      </c>
    </row>
    <row r="5489">
      <c r="A5489" s="3">
        <v>899.0</v>
      </c>
      <c r="B5489" s="3" t="s">
        <v>8148</v>
      </c>
      <c r="C5489" s="3" t="s">
        <v>8149</v>
      </c>
      <c r="D5489" s="3" t="s">
        <v>10924</v>
      </c>
      <c r="E5489" s="3" t="s">
        <v>8531</v>
      </c>
      <c r="F5489" s="3" t="s">
        <v>8532</v>
      </c>
      <c r="G5489" s="3" t="str">
        <f>IFERROR(__xludf.DUMMYFUNCTION("GOOGLETRANSLATE(D5489,""ja"",""es"")"),"Tener")</f>
        <v>Tener</v>
      </c>
    </row>
    <row r="5490">
      <c r="A5490" s="3">
        <v>900.0</v>
      </c>
      <c r="B5490" s="3" t="s">
        <v>8148</v>
      </c>
      <c r="C5490" s="3" t="s">
        <v>8149</v>
      </c>
      <c r="D5490" s="3" t="s">
        <v>10925</v>
      </c>
      <c r="E5490" s="3" t="s">
        <v>10926</v>
      </c>
      <c r="F5490" s="3" t="s">
        <v>10927</v>
      </c>
      <c r="G5490" s="3" t="str">
        <f>IFERROR(__xludf.DUMMYFUNCTION("GOOGLETRANSLATE(D5490,""ja"",""es"")"),"Ware de Arita")</f>
        <v>Ware de Arita</v>
      </c>
    </row>
    <row r="5491">
      <c r="A5491" s="3">
        <v>901.0</v>
      </c>
      <c r="B5491" s="3" t="s">
        <v>8148</v>
      </c>
      <c r="C5491" s="3" t="s">
        <v>8149</v>
      </c>
      <c r="D5491" s="3" t="s">
        <v>10928</v>
      </c>
      <c r="E5491" s="3" t="s">
        <v>10926</v>
      </c>
      <c r="F5491" s="3" t="s">
        <v>10927</v>
      </c>
      <c r="G5491" s="3" t="str">
        <f>IFERROR(__xludf.DUMMYFUNCTION("GOOGLETRANSLATE(D5491,""ja"",""es"")"),"Arita a la parrilla")</f>
        <v>Arita a la parrilla</v>
      </c>
    </row>
    <row r="5492">
      <c r="A5492" s="3">
        <v>902.0</v>
      </c>
      <c r="B5492" s="3" t="s">
        <v>8148</v>
      </c>
      <c r="C5492" s="3" t="s">
        <v>8149</v>
      </c>
      <c r="D5492" s="3" t="s">
        <v>10929</v>
      </c>
      <c r="E5492" s="3" t="s">
        <v>10930</v>
      </c>
      <c r="F5492" s="3" t="s">
        <v>10931</v>
      </c>
      <c r="G5492" s="3" t="str">
        <f>IFERROR(__xludf.DUMMYFUNCTION("GOOGLETRANSLATE(D5492,""ja"",""es"")"),"también")</f>
        <v>también</v>
      </c>
      <c r="H5492" s="3" t="s">
        <v>10932</v>
      </c>
      <c r="I5492" s="3" t="s">
        <v>10933</v>
      </c>
      <c r="J5492" s="3" t="s">
        <v>10934</v>
      </c>
      <c r="K5492" s="3" t="s">
        <v>2509</v>
      </c>
      <c r="L5492" s="3" t="s">
        <v>10935</v>
      </c>
      <c r="M5492" s="3" t="s">
        <v>10936</v>
      </c>
    </row>
    <row r="5493">
      <c r="A5493" s="3">
        <v>903.0</v>
      </c>
      <c r="B5493" s="3" t="s">
        <v>8148</v>
      </c>
      <c r="C5493" s="3" t="s">
        <v>8149</v>
      </c>
      <c r="D5493" s="3" t="s">
        <v>10937</v>
      </c>
      <c r="E5493" s="3" t="s">
        <v>10938</v>
      </c>
      <c r="F5493" s="3" t="s">
        <v>10939</v>
      </c>
      <c r="G5493" s="3" t="str">
        <f>IFERROR(__xludf.DUMMYFUNCTION("GOOGLETRANSLATE(D5493,""ja"",""es"")"),"Persona")</f>
        <v>Persona</v>
      </c>
    </row>
    <row r="5494">
      <c r="A5494" s="3">
        <v>904.0</v>
      </c>
      <c r="B5494" s="3" t="s">
        <v>8148</v>
      </c>
      <c r="C5494" s="3" t="s">
        <v>8149</v>
      </c>
      <c r="D5494" s="3" t="s">
        <v>10940</v>
      </c>
      <c r="E5494" s="3" t="s">
        <v>1139</v>
      </c>
      <c r="F5494" s="3" t="s">
        <v>1140</v>
      </c>
      <c r="G5494" s="3" t="str">
        <f>IFERROR(__xludf.DUMMYFUNCTION("GOOGLETRANSLATE(D5494,""ja"",""es"")"),"horno")</f>
        <v>horno</v>
      </c>
    </row>
    <row r="5495">
      <c r="A5495" s="3">
        <v>905.0</v>
      </c>
      <c r="B5495" s="3" t="s">
        <v>8148</v>
      </c>
      <c r="C5495" s="3" t="s">
        <v>8149</v>
      </c>
      <c r="D5495" s="3" t="s">
        <v>10941</v>
      </c>
      <c r="E5495" s="3" t="s">
        <v>10942</v>
      </c>
      <c r="F5495" s="3" t="s">
        <v>10943</v>
      </c>
      <c r="G5495" s="3" t="str">
        <f>IFERROR(__xludf.DUMMYFUNCTION("GOOGLETRANSLATE(D5495,""ja"",""es"")"),"cigarro")</f>
        <v>cigarro</v>
      </c>
      <c r="H5495" s="3" t="s">
        <v>10944</v>
      </c>
    </row>
    <row r="5496">
      <c r="A5496" s="3">
        <v>906.0</v>
      </c>
      <c r="B5496" s="3" t="s">
        <v>8148</v>
      </c>
      <c r="C5496" s="3" t="s">
        <v>8149</v>
      </c>
      <c r="D5496" s="3" t="s">
        <v>10945</v>
      </c>
      <c r="E5496" s="3" t="s">
        <v>10176</v>
      </c>
      <c r="F5496" s="3" t="s">
        <v>10177</v>
      </c>
      <c r="G5496" s="3" t="str">
        <f>IFERROR(__xludf.DUMMYFUNCTION("GOOGLETRANSLATE(D5496,""ja"",""es"")"),"Punta de la hoja")</f>
        <v>Punta de la hoja</v>
      </c>
    </row>
    <row r="5497">
      <c r="A5497" s="3">
        <v>907.0</v>
      </c>
      <c r="B5497" s="3" t="s">
        <v>8148</v>
      </c>
      <c r="C5497" s="3" t="s">
        <v>8149</v>
      </c>
      <c r="D5497" s="3" t="s">
        <v>10946</v>
      </c>
      <c r="E5497" s="3" t="s">
        <v>10545</v>
      </c>
      <c r="F5497" s="3" t="s">
        <v>10546</v>
      </c>
      <c r="G5497" s="3" t="str">
        <f>IFERROR(__xludf.DUMMYFUNCTION("GOOGLETRANSLATE(D5497,""ja"",""es"")"),"Necesitar")</f>
        <v>Necesitar</v>
      </c>
    </row>
    <row r="5498">
      <c r="A5498" s="3">
        <v>908.0</v>
      </c>
      <c r="B5498" s="3" t="s">
        <v>8148</v>
      </c>
      <c r="C5498" s="3" t="s">
        <v>8149</v>
      </c>
      <c r="D5498" s="3" t="s">
        <v>10947</v>
      </c>
      <c r="E5498" s="3" t="s">
        <v>8483</v>
      </c>
      <c r="F5498" s="3" t="s">
        <v>8484</v>
      </c>
      <c r="G5498" s="3" t="str">
        <f>IFERROR(__xludf.DUMMYFUNCTION("GOOGLETRANSLATE(D5498,""ja"",""es"")"),"Flor desnuda")</f>
        <v>Flor desnuda</v>
      </c>
    </row>
    <row r="5499">
      <c r="A5499" s="3">
        <v>909.0</v>
      </c>
      <c r="B5499" s="3" t="s">
        <v>8148</v>
      </c>
      <c r="C5499" s="3" t="s">
        <v>8149</v>
      </c>
      <c r="D5499" s="3" t="s">
        <v>10948</v>
      </c>
      <c r="E5499" s="3" t="s">
        <v>10401</v>
      </c>
      <c r="F5499" s="3" t="s">
        <v>10402</v>
      </c>
      <c r="G5499" s="3" t="str">
        <f>IFERROR(__xludf.DUMMYFUNCTION("GOOGLETRANSLATE(D5499,""ja"",""es"")"),"tu venida")</f>
        <v>tu venida</v>
      </c>
    </row>
    <row r="5500">
      <c r="A5500" s="3">
        <v>910.0</v>
      </c>
      <c r="B5500" s="3" t="s">
        <v>8148</v>
      </c>
      <c r="C5500" s="3" t="s">
        <v>8149</v>
      </c>
      <c r="D5500" s="3" t="s">
        <v>10949</v>
      </c>
      <c r="E5500" s="3" t="s">
        <v>10950</v>
      </c>
      <c r="F5500" s="3" t="s">
        <v>10951</v>
      </c>
      <c r="G5500" s="3" t="str">
        <f>IFERROR(__xludf.DUMMYFUNCTION("GOOGLETRANSLATE(D5500,""ja"",""es"")"),"Relámpago")</f>
        <v>Relámpago</v>
      </c>
    </row>
    <row r="5501">
      <c r="A5501" s="3">
        <v>911.0</v>
      </c>
      <c r="B5501" s="3" t="s">
        <v>8148</v>
      </c>
      <c r="C5501" s="3" t="s">
        <v>8149</v>
      </c>
      <c r="D5501" s="3" t="s">
        <v>10952</v>
      </c>
      <c r="E5501" s="3" t="s">
        <v>10950</v>
      </c>
      <c r="F5501" s="3" t="s">
        <v>10951</v>
      </c>
      <c r="G5501" s="3" t="str">
        <f>IFERROR(__xludf.DUMMYFUNCTION("GOOGLETRANSLATE(D5501,""ja"",""es"")"),"Relámpago")</f>
        <v>Relámpago</v>
      </c>
    </row>
    <row r="5502">
      <c r="A5502" s="3">
        <v>912.0</v>
      </c>
      <c r="B5502" s="3" t="s">
        <v>8148</v>
      </c>
      <c r="C5502" s="3" t="s">
        <v>8149</v>
      </c>
      <c r="D5502" s="3" t="s">
        <v>10953</v>
      </c>
      <c r="E5502" s="3" t="s">
        <v>10954</v>
      </c>
      <c r="F5502" s="3" t="s">
        <v>10955</v>
      </c>
      <c r="G5502" s="3" t="str">
        <f>IFERROR(__xludf.DUMMYFUNCTION("GOOGLETRANSLATE(D5502,""ja"",""es"")"),"Enredo")</f>
        <v>Enredo</v>
      </c>
    </row>
    <row r="5503">
      <c r="A5503" s="3">
        <v>913.0</v>
      </c>
      <c r="B5503" s="3" t="s">
        <v>8148</v>
      </c>
      <c r="C5503" s="3" t="s">
        <v>8149</v>
      </c>
      <c r="D5503" s="3" t="s">
        <v>10956</v>
      </c>
      <c r="E5503" s="3" t="s">
        <v>10957</v>
      </c>
      <c r="F5503" s="3" t="s">
        <v>10958</v>
      </c>
      <c r="G5503" s="3" t="str">
        <f>IFERROR(__xludf.DUMMYFUNCTION("GOOGLETRANSLATE(D5503,""ja"",""es"")"),"Interés")</f>
        <v>Interés</v>
      </c>
      <c r="H5503" s="3" t="s">
        <v>857</v>
      </c>
      <c r="I5503" s="3" t="s">
        <v>858</v>
      </c>
      <c r="J5503" s="3" t="s">
        <v>859</v>
      </c>
      <c r="K5503" s="3" t="s">
        <v>10959</v>
      </c>
      <c r="L5503" s="3" t="s">
        <v>10960</v>
      </c>
      <c r="M5503" s="3" t="s">
        <v>10961</v>
      </c>
      <c r="N5503" s="3" t="s">
        <v>10961</v>
      </c>
      <c r="O5503" s="3" t="s">
        <v>10962</v>
      </c>
      <c r="P5503" s="3" t="s">
        <v>3267</v>
      </c>
      <c r="Q5503" s="3" t="s">
        <v>10963</v>
      </c>
      <c r="R5503" s="3" t="s">
        <v>10964</v>
      </c>
      <c r="S5503" s="3" t="s">
        <v>10960</v>
      </c>
      <c r="T5503" s="3" t="s">
        <v>10965</v>
      </c>
      <c r="U5503" s="3" t="s">
        <v>7747</v>
      </c>
    </row>
    <row r="5504">
      <c r="A5504" s="3">
        <v>914.0</v>
      </c>
      <c r="B5504" s="3" t="s">
        <v>8148</v>
      </c>
      <c r="C5504" s="3" t="s">
        <v>8149</v>
      </c>
      <c r="D5504" s="3" t="s">
        <v>10966</v>
      </c>
      <c r="E5504" s="3" t="s">
        <v>7142</v>
      </c>
      <c r="F5504" s="3" t="s">
        <v>2525</v>
      </c>
      <c r="G5504" s="3" t="str">
        <f>IFERROR(__xludf.DUMMYFUNCTION("GOOGLETRANSLATE(D5504,""ja"",""es"")"),"Dominio")</f>
        <v>Dominio</v>
      </c>
      <c r="H5504" s="3" t="s">
        <v>9700</v>
      </c>
      <c r="I5504" s="3" t="s">
        <v>9701</v>
      </c>
    </row>
    <row r="5505">
      <c r="A5505" s="3">
        <v>915.0</v>
      </c>
      <c r="B5505" s="3" t="s">
        <v>8148</v>
      </c>
      <c r="C5505" s="3" t="s">
        <v>8149</v>
      </c>
      <c r="D5505" s="3" t="s">
        <v>10967</v>
      </c>
      <c r="E5505" s="3" t="s">
        <v>10968</v>
      </c>
      <c r="F5505" s="3" t="s">
        <v>10969</v>
      </c>
      <c r="G5505" s="3" t="str">
        <f>IFERROR(__xludf.DUMMYFUNCTION("GOOGLETRANSLATE(D5505,""ja"",""es"")"),"Ventaja")</f>
        <v>Ventaja</v>
      </c>
      <c r="H5505" s="3" t="s">
        <v>7501</v>
      </c>
      <c r="I5505" s="3" t="s">
        <v>7502</v>
      </c>
      <c r="J5505" s="3" t="s">
        <v>7503</v>
      </c>
      <c r="K5505" s="3" t="s">
        <v>7504</v>
      </c>
      <c r="L5505" s="3" t="s">
        <v>7505</v>
      </c>
      <c r="M5505" s="3" t="s">
        <v>7506</v>
      </c>
      <c r="N5505" s="3" t="s">
        <v>7507</v>
      </c>
      <c r="O5505" s="3" t="s">
        <v>7508</v>
      </c>
    </row>
    <row r="5506">
      <c r="A5506" s="3">
        <v>916.0</v>
      </c>
      <c r="B5506" s="3" t="s">
        <v>8148</v>
      </c>
      <c r="C5506" s="3" t="s">
        <v>8149</v>
      </c>
      <c r="D5506" s="3" t="s">
        <v>10970</v>
      </c>
      <c r="E5506" s="3" t="s">
        <v>10971</v>
      </c>
      <c r="F5506" s="3" t="s">
        <v>10972</v>
      </c>
      <c r="G5506" s="3" t="str">
        <f>IFERROR(__xludf.DUMMYFUNCTION("GOOGLETRANSLATE(D5506,""ja"",""es"")"),"altruista")</f>
        <v>altruista</v>
      </c>
      <c r="H5506" s="3" t="s">
        <v>10973</v>
      </c>
      <c r="I5506" s="3" t="s">
        <v>10974</v>
      </c>
    </row>
    <row r="5507">
      <c r="A5507" s="3">
        <v>917.0</v>
      </c>
      <c r="B5507" s="3" t="s">
        <v>8148</v>
      </c>
      <c r="C5507" s="3" t="s">
        <v>8149</v>
      </c>
      <c r="D5507" s="3" t="s">
        <v>10975</v>
      </c>
      <c r="E5507" s="3" t="s">
        <v>10957</v>
      </c>
      <c r="F5507" s="3" t="s">
        <v>10958</v>
      </c>
      <c r="G5507" s="3" t="str">
        <f>IFERROR(__xludf.DUMMYFUNCTION("GOOGLETRANSLATE(D5507,""ja"",""es"")"),"Oficial")</f>
        <v>Oficial</v>
      </c>
    </row>
    <row r="5508">
      <c r="A5508" s="3">
        <v>918.0</v>
      </c>
      <c r="B5508" s="3" t="s">
        <v>8148</v>
      </c>
      <c r="C5508" s="3" t="s">
        <v>8149</v>
      </c>
      <c r="D5508" s="3" t="s">
        <v>10976</v>
      </c>
      <c r="E5508" s="3" t="s">
        <v>10977</v>
      </c>
      <c r="F5508" s="3" t="s">
        <v>10978</v>
      </c>
      <c r="G5508" s="3" t="str">
        <f>IFERROR(__xludf.DUMMYFUNCTION("GOOGLETRANSLATE(D5508,""ja"",""es"")"),"Sotavento")</f>
        <v>Sotavento</v>
      </c>
    </row>
    <row r="5509">
      <c r="A5509" s="3">
        <v>919.0</v>
      </c>
      <c r="B5509" s="3" t="s">
        <v>8148</v>
      </c>
      <c r="C5509" s="3" t="s">
        <v>8149</v>
      </c>
      <c r="D5509" s="3" t="s">
        <v>10979</v>
      </c>
      <c r="E5509" s="3" t="s">
        <v>10977</v>
      </c>
      <c r="F5509" s="3" t="s">
        <v>10978</v>
      </c>
      <c r="G5509" s="3" t="str">
        <f>IFERROR(__xludf.DUMMYFUNCTION("GOOGLETRANSLATE(D5509,""ja"",""es"")"),"Lee Flor")</f>
        <v>Lee Flor</v>
      </c>
    </row>
    <row r="5510">
      <c r="A5510" s="3">
        <v>920.0</v>
      </c>
      <c r="B5510" s="3" t="s">
        <v>8148</v>
      </c>
      <c r="C5510" s="3" t="s">
        <v>8149</v>
      </c>
      <c r="D5510" s="3" t="s">
        <v>10980</v>
      </c>
      <c r="E5510" s="3" t="s">
        <v>10977</v>
      </c>
      <c r="F5510" s="3" t="s">
        <v>10978</v>
      </c>
      <c r="G5510" s="3" t="str">
        <f>IFERROR(__xludf.DUMMYFUNCTION("GOOGLETRANSLATE(D5510,""ja"",""es"")"),"Peras")</f>
        <v>Peras</v>
      </c>
      <c r="H5510" s="3" t="s">
        <v>10981</v>
      </c>
      <c r="I5510" s="3" t="s">
        <v>10982</v>
      </c>
    </row>
    <row r="5511">
      <c r="A5511" s="3">
        <v>921.0</v>
      </c>
      <c r="B5511" s="3" t="s">
        <v>8148</v>
      </c>
      <c r="C5511" s="3" t="s">
        <v>8149</v>
      </c>
      <c r="D5511" s="3" t="s">
        <v>10983</v>
      </c>
      <c r="E5511" s="3" t="s">
        <v>10977</v>
      </c>
      <c r="F5511" s="3" t="s">
        <v>10978</v>
      </c>
      <c r="G5511" s="3" t="str">
        <f>IFERROR(__xludf.DUMMYFUNCTION("GOOGLETRANSLATE(D5511,""ja"",""es"")"),"Rika")</f>
        <v>Rika</v>
      </c>
    </row>
    <row r="5512">
      <c r="A5512" s="3">
        <v>922.0</v>
      </c>
      <c r="B5512" s="3" t="s">
        <v>8148</v>
      </c>
      <c r="C5512" s="3" t="s">
        <v>8149</v>
      </c>
      <c r="D5512" s="3" t="s">
        <v>10984</v>
      </c>
      <c r="E5512" s="3" t="s">
        <v>10977</v>
      </c>
      <c r="F5512" s="3" t="s">
        <v>10978</v>
      </c>
      <c r="G5512" s="3" t="str">
        <f>IFERROR(__xludf.DUMMYFUNCTION("GOOGLETRANSLATE(D5512,""ja"",""es"")"),"Ciencias")</f>
        <v>Ciencias</v>
      </c>
      <c r="H5512" s="3" t="s">
        <v>10985</v>
      </c>
    </row>
    <row r="5513">
      <c r="A5513" s="3">
        <v>923.0</v>
      </c>
      <c r="B5513" s="3" t="s">
        <v>8148</v>
      </c>
      <c r="C5513" s="3" t="s">
        <v>8149</v>
      </c>
      <c r="D5513" s="3" t="s">
        <v>10986</v>
      </c>
      <c r="E5513" s="3" t="s">
        <v>10957</v>
      </c>
      <c r="F5513" s="3" t="s">
        <v>10958</v>
      </c>
      <c r="G5513" s="3" t="str">
        <f>IFERROR(__xludf.DUMMYFUNCTION("GOOGLETRANSLATE(D5513,""ja"",""es"")"),"Separación")</f>
        <v>Separación</v>
      </c>
      <c r="H5513" s="3" t="s">
        <v>2852</v>
      </c>
    </row>
    <row r="5514">
      <c r="A5514" s="3">
        <v>924.0</v>
      </c>
      <c r="B5514" s="3" t="s">
        <v>8148</v>
      </c>
      <c r="C5514" s="3" t="s">
        <v>8149</v>
      </c>
      <c r="D5514" s="3" t="s">
        <v>10987</v>
      </c>
      <c r="E5514" s="3" t="s">
        <v>10988</v>
      </c>
      <c r="F5514" s="3" t="s">
        <v>10989</v>
      </c>
      <c r="G5514" s="3" t="str">
        <f>IFERROR(__xludf.DUMMYFUNCTION("GOOGLETRANSLATE(D5514,""ja"",""es"")"),"Moda")</f>
        <v>Moda</v>
      </c>
      <c r="H5514" s="3" t="s">
        <v>10990</v>
      </c>
      <c r="I5514" s="3" t="s">
        <v>10991</v>
      </c>
      <c r="J5514" s="3" t="s">
        <v>4501</v>
      </c>
      <c r="K5514" s="3" t="s">
        <v>10990</v>
      </c>
    </row>
    <row r="5515">
      <c r="A5515" s="3">
        <v>925.0</v>
      </c>
      <c r="B5515" s="3" t="s">
        <v>8148</v>
      </c>
      <c r="C5515" s="3" t="s">
        <v>8149</v>
      </c>
      <c r="D5515" s="3" t="s">
        <v>10992</v>
      </c>
      <c r="E5515" s="3" t="s">
        <v>10993</v>
      </c>
      <c r="F5515" s="3" t="s">
        <v>10994</v>
      </c>
      <c r="G5515" s="3" t="str">
        <f>IFERROR(__xludf.DUMMYFUNCTION("GOOGLETRANSLATE(D5515,""ja"",""es"")"),"Acumulación")</f>
        <v>Acumulación</v>
      </c>
    </row>
    <row r="5516">
      <c r="A5516" s="3">
        <v>926.0</v>
      </c>
      <c r="B5516" s="3" t="s">
        <v>8148</v>
      </c>
      <c r="C5516" s="3" t="s">
        <v>8149</v>
      </c>
      <c r="D5516" s="3" t="s">
        <v>10995</v>
      </c>
      <c r="E5516" s="3" t="s">
        <v>10993</v>
      </c>
      <c r="F5516" s="3" t="s">
        <v>10994</v>
      </c>
      <c r="G5516" s="3" t="str">
        <f>IFERROR(__xludf.DUMMYFUNCTION("GOOGLETRANSLATE(D5516,""ja"",""es"")"),"Piscina")</f>
        <v>Piscina</v>
      </c>
    </row>
    <row r="5517">
      <c r="A5517" s="3">
        <v>927.0</v>
      </c>
      <c r="B5517" s="3" t="s">
        <v>8148</v>
      </c>
      <c r="C5517" s="3" t="s">
        <v>8149</v>
      </c>
      <c r="D5517" s="3" t="s">
        <v>10996</v>
      </c>
      <c r="E5517" s="3" t="s">
        <v>9567</v>
      </c>
      <c r="F5517" s="3" t="s">
        <v>9568</v>
      </c>
      <c r="G5517" s="3" t="str">
        <f>IFERROR(__xludf.DUMMYFUNCTION("GOOGLETRANSLATE(D5517,""ja"",""es"")"),"Cantidad")</f>
        <v>Cantidad</v>
      </c>
      <c r="H5517" s="3" t="s">
        <v>9569</v>
      </c>
      <c r="I5517" s="3" t="s">
        <v>9570</v>
      </c>
      <c r="J5517" s="3" t="s">
        <v>6286</v>
      </c>
      <c r="K5517" s="3" t="s">
        <v>9571</v>
      </c>
    </row>
    <row r="5518">
      <c r="A5518" s="3">
        <v>928.0</v>
      </c>
      <c r="B5518" s="3" t="s">
        <v>8148</v>
      </c>
      <c r="C5518" s="3" t="s">
        <v>8149</v>
      </c>
      <c r="D5518" s="3" t="s">
        <v>10997</v>
      </c>
      <c r="E5518" s="3" t="s">
        <v>10998</v>
      </c>
      <c r="F5518" s="3" t="s">
        <v>10999</v>
      </c>
      <c r="G5518" s="3" t="str">
        <f>IFERROR(__xludf.DUMMYFUNCTION("GOOGLETRANSLATE(D5518,""ja"",""es"")"),"Agraciado")</f>
        <v>Agraciado</v>
      </c>
    </row>
    <row r="5519">
      <c r="A5519" s="3">
        <v>929.0</v>
      </c>
      <c r="B5519" s="3" t="s">
        <v>8148</v>
      </c>
      <c r="C5519" s="3" t="s">
        <v>8149</v>
      </c>
      <c r="D5519" s="3" t="s">
        <v>11000</v>
      </c>
      <c r="E5519" s="3" t="s">
        <v>9485</v>
      </c>
      <c r="F5519" s="3" t="s">
        <v>9486</v>
      </c>
      <c r="G5519" s="3" t="str">
        <f>IFERROR(__xludf.DUMMYFUNCTION("GOOGLETRANSLATE(D5519,""ja"",""es"")"),"Tienda espiritual")</f>
        <v>Tienda espiritual</v>
      </c>
      <c r="H5519" s="3" t="s">
        <v>10761</v>
      </c>
      <c r="I5519" s="3" t="s">
        <v>10762</v>
      </c>
      <c r="J5519" s="3" t="s">
        <v>11001</v>
      </c>
      <c r="K5519" s="3" t="s">
        <v>11002</v>
      </c>
      <c r="L5519" s="3" t="s">
        <v>11003</v>
      </c>
      <c r="M5519" s="3" t="s">
        <v>11004</v>
      </c>
    </row>
    <row r="5520">
      <c r="A5520" s="3">
        <v>930.0</v>
      </c>
      <c r="B5520" s="3" t="s">
        <v>8148</v>
      </c>
      <c r="C5520" s="3" t="s">
        <v>8149</v>
      </c>
      <c r="D5520" s="3" t="s">
        <v>11005</v>
      </c>
      <c r="E5520" s="3" t="s">
        <v>10729</v>
      </c>
      <c r="F5520" s="3" t="s">
        <v>10730</v>
      </c>
      <c r="G5520" s="3" t="str">
        <f>IFERROR(__xludf.DUMMYFUNCTION("GOOGLETRANSLATE(D5520,""ja"",""es"")"),"Errante")</f>
        <v>Errante</v>
      </c>
      <c r="H5520" s="3" t="s">
        <v>2659</v>
      </c>
      <c r="I5520" s="3" t="s">
        <v>11006</v>
      </c>
    </row>
    <row r="5521">
      <c r="A5521" s="3">
        <v>931.0</v>
      </c>
      <c r="B5521" s="3" t="s">
        <v>8148</v>
      </c>
      <c r="C5521" s="3" t="s">
        <v>8149</v>
      </c>
      <c r="D5521" s="3" t="s">
        <v>11007</v>
      </c>
      <c r="E5521" s="3" t="s">
        <v>5376</v>
      </c>
      <c r="F5521" s="3" t="s">
        <v>5377</v>
      </c>
      <c r="G5521" s="3" t="str">
        <f>IFERROR(__xludf.DUMMYFUNCTION("GOOGLETRANSLATE(D5521,""ja"",""es"")"),"Constante")</f>
        <v>Constante</v>
      </c>
    </row>
    <row r="5522">
      <c r="A5522" s="3">
        <v>932.0</v>
      </c>
      <c r="B5522" s="3" t="s">
        <v>8148</v>
      </c>
      <c r="C5522" s="3" t="s">
        <v>8149</v>
      </c>
      <c r="D5522" s="3" t="s">
        <v>11008</v>
      </c>
      <c r="E5522" s="3" t="s">
        <v>11009</v>
      </c>
      <c r="F5522" s="3" t="s">
        <v>11010</v>
      </c>
      <c r="G5522" s="3" t="str">
        <f>IFERROR(__xludf.DUMMYFUNCTION("GOOGLETRANSLATE(D5522,""ja"",""es"")"),"Como están las cosas")</f>
        <v>Como están las cosas</v>
      </c>
    </row>
    <row r="5523">
      <c r="A5523" s="3">
        <v>933.0</v>
      </c>
      <c r="B5523" s="3" t="s">
        <v>8148</v>
      </c>
      <c r="C5523" s="3" t="s">
        <v>8149</v>
      </c>
      <c r="D5523" s="3" t="s">
        <v>11011</v>
      </c>
      <c r="E5523" s="3" t="s">
        <v>1162</v>
      </c>
      <c r="F5523" s="3" t="s">
        <v>1163</v>
      </c>
      <c r="G5523" s="3" t="str">
        <f>IFERROR(__xludf.DUMMYFUNCTION("GOOGLETRANSLATE(D5523,""ja"",""es"")"),"Kana")</f>
        <v>Kana</v>
      </c>
    </row>
    <row r="5524">
      <c r="A5524" s="3">
        <v>934.0</v>
      </c>
      <c r="B5524" s="3" t="s">
        <v>8148</v>
      </c>
      <c r="C5524" s="3" t="s">
        <v>8149</v>
      </c>
      <c r="D5524" s="3" t="s">
        <v>11012</v>
      </c>
      <c r="E5524" s="3" t="s">
        <v>11013</v>
      </c>
      <c r="F5524" s="3" t="s">
        <v>11014</v>
      </c>
      <c r="G5524" s="3" t="str">
        <f>IFERROR(__xludf.DUMMYFUNCTION("GOOGLETRANSLATE(D5524,""ja"",""es"")"),"Tranquilo")</f>
        <v>Tranquilo</v>
      </c>
    </row>
    <row r="5525">
      <c r="A5525" s="3">
        <v>935.0</v>
      </c>
      <c r="B5525" s="3" t="s">
        <v>8148</v>
      </c>
      <c r="C5525" s="3" t="s">
        <v>8149</v>
      </c>
      <c r="D5525" s="3" t="s">
        <v>11015</v>
      </c>
      <c r="E5525" s="3" t="s">
        <v>7455</v>
      </c>
      <c r="F5525" s="3" t="s">
        <v>7454</v>
      </c>
      <c r="G5525" s="3" t="str">
        <f>IFERROR(__xludf.DUMMYFUNCTION("GOOGLETRANSLATE(D5525,""ja"",""es"")"),"Tímido")</f>
        <v>Tímido</v>
      </c>
      <c r="H5525" s="3" t="s">
        <v>11016</v>
      </c>
      <c r="I5525" s="3" t="s">
        <v>11017</v>
      </c>
    </row>
    <row r="5526">
      <c r="A5526" s="3">
        <v>936.0</v>
      </c>
      <c r="B5526" s="3" t="s">
        <v>8148</v>
      </c>
      <c r="C5526" s="3" t="s">
        <v>8149</v>
      </c>
      <c r="D5526" s="3" t="s">
        <v>11018</v>
      </c>
      <c r="E5526" s="3" t="s">
        <v>8874</v>
      </c>
      <c r="F5526" s="3" t="s">
        <v>8875</v>
      </c>
      <c r="G5526" s="3" t="str">
        <f>IFERROR(__xludf.DUMMYFUNCTION("GOOGLETRANSLATE(D5526,""ja"",""es"")"),"Subordinar")</f>
        <v>Subordinar</v>
      </c>
    </row>
    <row r="5527">
      <c r="A5527" s="3">
        <v>937.0</v>
      </c>
      <c r="B5527" s="3" t="s">
        <v>8148</v>
      </c>
      <c r="C5527" s="3" t="s">
        <v>8149</v>
      </c>
      <c r="D5527" s="3" t="s">
        <v>11019</v>
      </c>
      <c r="E5527" s="3" t="s">
        <v>968</v>
      </c>
      <c r="F5527" s="3" t="s">
        <v>969</v>
      </c>
      <c r="G5527" s="3" t="str">
        <f>IFERROR(__xludf.DUMMYFUNCTION("GOOGLETRANSLATE(D5527,""ja"",""es"")"),"Enorme")</f>
        <v>Enorme</v>
      </c>
    </row>
    <row r="5528">
      <c r="A5528" s="3">
        <v>938.0</v>
      </c>
      <c r="B5528" s="3" t="s">
        <v>8148</v>
      </c>
      <c r="C5528" s="3" t="s">
        <v>8149</v>
      </c>
      <c r="D5528" s="3" t="s">
        <v>11020</v>
      </c>
      <c r="E5528" s="3" t="s">
        <v>968</v>
      </c>
      <c r="F5528" s="3" t="s">
        <v>969</v>
      </c>
      <c r="G5528" s="3" t="str">
        <f>IFERROR(__xludf.DUMMYFUNCTION("GOOGLETRANSLATE(D5528,""ja"",""es"")"),"Cariño")</f>
        <v>Cariño</v>
      </c>
    </row>
    <row r="5529">
      <c r="A5529" s="3">
        <v>939.0</v>
      </c>
      <c r="B5529" s="3" t="s">
        <v>8148</v>
      </c>
      <c r="C5529" s="3" t="s">
        <v>8149</v>
      </c>
      <c r="D5529" s="3" t="s">
        <v>11021</v>
      </c>
      <c r="E5529" s="3" t="s">
        <v>8837</v>
      </c>
      <c r="F5529" s="3" t="s">
        <v>8838</v>
      </c>
      <c r="G5529" s="3" t="str">
        <f>IFERROR(__xludf.DUMMYFUNCTION("GOOGLETRANSLATE(D5529,""ja"",""es"")"),"lama")</f>
        <v>lama</v>
      </c>
    </row>
    <row r="5530">
      <c r="A5530" s="3">
        <v>940.0</v>
      </c>
      <c r="B5530" s="3" t="s">
        <v>8148</v>
      </c>
      <c r="C5530" s="3" t="s">
        <v>8149</v>
      </c>
      <c r="D5530" s="3" t="s">
        <v>11022</v>
      </c>
      <c r="E5530" s="3" t="s">
        <v>11023</v>
      </c>
      <c r="F5530" s="3" t="s">
        <v>11024</v>
      </c>
      <c r="G5530" s="3" t="str">
        <f>IFERROR(__xludf.DUMMYFUNCTION("GOOGLETRANSLATE(D5530,""ja"",""es"")"),"Desalentador")</f>
        <v>Desalentador</v>
      </c>
      <c r="H5530" s="3" t="s">
        <v>11025</v>
      </c>
      <c r="I5530" s="3" t="s">
        <v>11026</v>
      </c>
      <c r="J5530" s="3" t="s">
        <v>11027</v>
      </c>
      <c r="K5530" s="3" t="s">
        <v>11028</v>
      </c>
    </row>
    <row r="5531">
      <c r="A5531" s="3">
        <v>941.0</v>
      </c>
      <c r="B5531" s="3" t="s">
        <v>8148</v>
      </c>
      <c r="C5531" s="3" t="s">
        <v>8149</v>
      </c>
      <c r="D5531" s="3" t="s">
        <v>11029</v>
      </c>
      <c r="E5531" s="3" t="s">
        <v>7142</v>
      </c>
      <c r="F5531" s="3" t="s">
        <v>2525</v>
      </c>
      <c r="G5531" s="3" t="str">
        <f>IFERROR(__xludf.DUMMYFUNCTION("GOOGLETRANSLATE(D5531,""ja"",""es"")"),"Abandono")</f>
        <v>Abandono</v>
      </c>
      <c r="H5531" s="3" t="s">
        <v>11030</v>
      </c>
      <c r="I5531" s="3" t="s">
        <v>11031</v>
      </c>
      <c r="J5531" s="3" t="s">
        <v>11032</v>
      </c>
    </row>
    <row r="5532">
      <c r="A5532" s="3">
        <v>942.0</v>
      </c>
      <c r="B5532" s="3" t="s">
        <v>8148</v>
      </c>
      <c r="C5532" s="3" t="s">
        <v>8149</v>
      </c>
      <c r="D5532" s="3" t="s">
        <v>11033</v>
      </c>
      <c r="E5532" s="3" t="s">
        <v>5394</v>
      </c>
      <c r="F5532" s="3" t="s">
        <v>5395</v>
      </c>
      <c r="G5532" s="3" t="str">
        <f>IFERROR(__xludf.DUMMYFUNCTION("GOOGLETRANSLATE(D5532,""ja"",""es"")"),"muchos")</f>
        <v>muchos</v>
      </c>
    </row>
    <row r="5533">
      <c r="A5533" s="3">
        <v>943.0</v>
      </c>
      <c r="B5533" s="3" t="s">
        <v>8148</v>
      </c>
      <c r="C5533" s="3" t="s">
        <v>8149</v>
      </c>
      <c r="D5533" s="3" t="s">
        <v>11034</v>
      </c>
      <c r="E5533" s="3" t="s">
        <v>8700</v>
      </c>
      <c r="F5533" s="3" t="s">
        <v>8701</v>
      </c>
      <c r="G5533" s="3" t="str">
        <f>IFERROR(__xludf.DUMMYFUNCTION("GOOGLETRANSLATE(D5533,""ja"",""es"")"),"Presunción")</f>
        <v>Presunción</v>
      </c>
    </row>
    <row r="5534">
      <c r="A5534" s="3">
        <v>944.0</v>
      </c>
      <c r="B5534" s="3" t="s">
        <v>8148</v>
      </c>
      <c r="C5534" s="3" t="s">
        <v>8149</v>
      </c>
      <c r="D5534" s="3" t="s">
        <v>11035</v>
      </c>
      <c r="E5534" s="3" t="s">
        <v>9166</v>
      </c>
      <c r="F5534" s="3" t="s">
        <v>9167</v>
      </c>
      <c r="G5534" s="3" t="str">
        <f>IFERROR(__xludf.DUMMYFUNCTION("GOOGLETRANSLATE(D5534,""ja"",""es"")"),"Tesoro")</f>
        <v>Tesoro</v>
      </c>
    </row>
    <row r="5535">
      <c r="A5535" s="3">
        <v>945.0</v>
      </c>
      <c r="B5535" s="3" t="s">
        <v>8148</v>
      </c>
      <c r="C5535" s="3" t="s">
        <v>8149</v>
      </c>
      <c r="D5535" s="3" t="s">
        <v>11036</v>
      </c>
      <c r="E5535" s="3" t="s">
        <v>9166</v>
      </c>
      <c r="F5535" s="3" t="s">
        <v>9167</v>
      </c>
      <c r="G5535" s="3" t="str">
        <f>IFERROR(__xludf.DUMMYFUNCTION("GOOGLETRANSLATE(D5535,""ja"",""es"")"),"Tesoro")</f>
        <v>Tesoro</v>
      </c>
    </row>
    <row r="5536">
      <c r="A5536" s="3">
        <v>946.0</v>
      </c>
      <c r="B5536" s="3" t="s">
        <v>8148</v>
      </c>
      <c r="C5536" s="3" t="s">
        <v>8149</v>
      </c>
      <c r="D5536" s="3" t="s">
        <v>11037</v>
      </c>
      <c r="E5536" s="3" t="s">
        <v>2267</v>
      </c>
      <c r="F5536" s="3" t="s">
        <v>2268</v>
      </c>
      <c r="G5536" s="3" t="str">
        <f>IFERROR(__xludf.DUMMYFUNCTION("GOOGLETRANSLATE(D5536,""ja"",""es"")"),"Vocabulario")</f>
        <v>Vocabulario</v>
      </c>
    </row>
    <row r="5537">
      <c r="A5537" s="3">
        <v>947.0</v>
      </c>
      <c r="B5537" s="3" t="s">
        <v>8148</v>
      </c>
      <c r="C5537" s="3" t="s">
        <v>8149</v>
      </c>
      <c r="D5537" s="3" t="s">
        <v>11038</v>
      </c>
      <c r="E5537" s="3" t="s">
        <v>5408</v>
      </c>
      <c r="F5537" s="3" t="s">
        <v>5409</v>
      </c>
      <c r="G5537" s="3" t="str">
        <f>IFERROR(__xludf.DUMMYFUNCTION("GOOGLETRANSLATE(D5537,""ja"",""es"")"),"Disturbio")</f>
        <v>Disturbio</v>
      </c>
    </row>
    <row r="5538">
      <c r="A5538" s="3">
        <v>948.0</v>
      </c>
      <c r="B5538" s="3" t="s">
        <v>8148</v>
      </c>
      <c r="C5538" s="3" t="s">
        <v>8149</v>
      </c>
      <c r="D5538" s="3" t="s">
        <v>11039</v>
      </c>
      <c r="E5538" s="3" t="s">
        <v>8663</v>
      </c>
      <c r="F5538" s="3" t="s">
        <v>8664</v>
      </c>
      <c r="G5538" s="3" t="str">
        <f>IFERROR(__xludf.DUMMYFUNCTION("GOOGLETRANSLATE(D5538,""ja"",""es"")"),"Elaboración")</f>
        <v>Elaboración</v>
      </c>
    </row>
    <row r="5539">
      <c r="A5539" s="3">
        <v>949.0</v>
      </c>
      <c r="B5539" s="3" t="s">
        <v>8148</v>
      </c>
      <c r="C5539" s="3" t="s">
        <v>8149</v>
      </c>
      <c r="D5539" s="3" t="s">
        <v>11040</v>
      </c>
      <c r="E5539" s="3" t="s">
        <v>1345</v>
      </c>
      <c r="F5539" s="3" t="s">
        <v>1346</v>
      </c>
      <c r="G5539" s="3" t="str">
        <f>IFERROR(__xludf.DUMMYFUNCTION("GOOGLETRANSLATE(D5539,""ja"",""es"")"),"Sombra")</f>
        <v>Sombra</v>
      </c>
      <c r="H5539" s="3" t="s">
        <v>11041</v>
      </c>
    </row>
    <row r="5540">
      <c r="A5540" s="3">
        <v>950.0</v>
      </c>
      <c r="B5540" s="3" t="s">
        <v>8148</v>
      </c>
      <c r="C5540" s="3" t="s">
        <v>8149</v>
      </c>
      <c r="D5540" s="3" t="s">
        <v>11042</v>
      </c>
      <c r="E5540" s="3" t="s">
        <v>11043</v>
      </c>
      <c r="F5540" s="3" t="s">
        <v>11044</v>
      </c>
      <c r="G5540" s="3" t="str">
        <f>IFERROR(__xludf.DUMMYFUNCTION("GOOGLETRANSLATE(D5540,""ja"",""es"")"),"En una fila")</f>
        <v>En una fila</v>
      </c>
      <c r="H5540" s="3" t="s">
        <v>11045</v>
      </c>
      <c r="I5540" s="3" t="s">
        <v>11046</v>
      </c>
      <c r="J5540" s="3" t="s">
        <v>11047</v>
      </c>
      <c r="K5540" s="3" t="s">
        <v>11048</v>
      </c>
      <c r="L5540" s="3" t="s">
        <v>11049</v>
      </c>
      <c r="M5540" s="3" t="s">
        <v>11050</v>
      </c>
      <c r="N5540" s="3" t="s">
        <v>11051</v>
      </c>
      <c r="O5540" s="3" t="s">
        <v>11052</v>
      </c>
      <c r="P5540" s="3" t="s">
        <v>11053</v>
      </c>
    </row>
    <row r="5541">
      <c r="A5541" s="3">
        <v>951.0</v>
      </c>
      <c r="B5541" s="3" t="s">
        <v>8148</v>
      </c>
      <c r="C5541" s="3" t="s">
        <v>8149</v>
      </c>
      <c r="D5541" s="3" t="s">
        <v>11054</v>
      </c>
      <c r="E5541" s="3" t="s">
        <v>8319</v>
      </c>
      <c r="F5541" s="3" t="s">
        <v>8320</v>
      </c>
      <c r="G5541" s="3" t="str">
        <f>IFERROR(__xludf.DUMMYFUNCTION("GOOGLETRANSLATE(D5541,""ja"",""es"")"),"Constante")</f>
        <v>Constante</v>
      </c>
    </row>
    <row r="5542">
      <c r="A5542" s="3">
        <v>952.0</v>
      </c>
      <c r="B5542" s="3" t="s">
        <v>8148</v>
      </c>
      <c r="C5542" s="3" t="s">
        <v>8149</v>
      </c>
      <c r="D5542" s="3" t="s">
        <v>11055</v>
      </c>
      <c r="E5542" s="3" t="s">
        <v>8874</v>
      </c>
      <c r="F5542" s="3" t="s">
        <v>8875</v>
      </c>
      <c r="G5542" s="3" t="str">
        <f>IFERROR(__xludf.DUMMYFUNCTION("GOOGLETRANSLATE(D5542,""ja"",""es"")"),"Tropas bajo el mando")</f>
        <v>Tropas bajo el mando</v>
      </c>
      <c r="H5542" s="3" t="s">
        <v>11056</v>
      </c>
      <c r="I5542" s="3" t="s">
        <v>11057</v>
      </c>
      <c r="J5542" s="3" t="s">
        <v>11058</v>
      </c>
      <c r="K5542" s="3" t="s">
        <v>11059</v>
      </c>
    </row>
    <row r="5543">
      <c r="A5543" s="3">
        <v>953.0</v>
      </c>
      <c r="B5543" s="3" t="s">
        <v>8148</v>
      </c>
      <c r="C5543" s="3" t="s">
        <v>8149</v>
      </c>
      <c r="D5543" s="3" t="s">
        <v>11060</v>
      </c>
      <c r="E5543" s="3" t="s">
        <v>9376</v>
      </c>
      <c r="F5543" s="3" t="s">
        <v>9377</v>
      </c>
      <c r="G5543" s="3" t="str">
        <f>IFERROR(__xludf.DUMMYFUNCTION("GOOGLETRANSLATE(D5543,""ja"",""es"")"),"Sentimiento de bondad")</f>
        <v>Sentimiento de bondad</v>
      </c>
    </row>
    <row r="5544">
      <c r="A5544" s="3">
        <v>954.0</v>
      </c>
      <c r="B5544" s="3" t="s">
        <v>8148</v>
      </c>
      <c r="C5544" s="3" t="s">
        <v>8149</v>
      </c>
      <c r="D5544" s="3" t="s">
        <v>11061</v>
      </c>
      <c r="E5544" s="3" t="s">
        <v>9129</v>
      </c>
      <c r="F5544" s="3" t="s">
        <v>9130</v>
      </c>
      <c r="G5544" s="3" t="str">
        <f>IFERROR(__xludf.DUMMYFUNCTION("GOOGLETRANSLATE(D5544,""ja"",""es"")"),"Constante")</f>
        <v>Constante</v>
      </c>
    </row>
    <row r="5545">
      <c r="A5545" s="3">
        <v>955.0</v>
      </c>
      <c r="B5545" s="3" t="s">
        <v>8148</v>
      </c>
      <c r="C5545" s="3" t="s">
        <v>8149</v>
      </c>
      <c r="D5545" s="3" t="s">
        <v>11062</v>
      </c>
      <c r="E5545" s="3" t="s">
        <v>10729</v>
      </c>
      <c r="F5545" s="3" t="s">
        <v>10730</v>
      </c>
      <c r="G5545" s="3" t="str">
        <f>IFERROR(__xludf.DUMMYFUNCTION("GOOGLETRANSLATE(D5545,""ja"",""es"")"),"Broncearse")</f>
        <v>Broncearse</v>
      </c>
    </row>
    <row r="5546">
      <c r="A5546" s="3">
        <v>956.0</v>
      </c>
      <c r="B5546" s="3" t="s">
        <v>8148</v>
      </c>
      <c r="C5546" s="3" t="s">
        <v>8149</v>
      </c>
      <c r="D5546" s="3" t="s">
        <v>11063</v>
      </c>
      <c r="E5546" s="3" t="s">
        <v>268</v>
      </c>
      <c r="F5546" s="3" t="s">
        <v>269</v>
      </c>
      <c r="G5546" s="3" t="str">
        <f>IFERROR(__xludf.DUMMYFUNCTION("GOOGLETRANSLATE(D5546,""ja"",""es"")"),"Constante")</f>
        <v>Constante</v>
      </c>
      <c r="H5546" s="3" t="s">
        <v>11064</v>
      </c>
      <c r="I5546" s="3" t="s">
        <v>11065</v>
      </c>
    </row>
    <row r="5547">
      <c r="A5547" s="3">
        <v>957.0</v>
      </c>
      <c r="B5547" s="3" t="s">
        <v>8148</v>
      </c>
      <c r="C5547" s="3" t="s">
        <v>8149</v>
      </c>
      <c r="D5547" s="3" t="s">
        <v>11066</v>
      </c>
      <c r="E5547" s="3" t="s">
        <v>7142</v>
      </c>
      <c r="F5547" s="3" t="s">
        <v>2525</v>
      </c>
      <c r="G5547" s="3" t="str">
        <f>IFERROR(__xludf.DUMMYFUNCTION("GOOGLETRANSLATE(D5547,""ja"",""es"")"),"Ocultar")</f>
        <v>Ocultar</v>
      </c>
    </row>
    <row r="5548">
      <c r="A5548" s="3">
        <v>958.0</v>
      </c>
      <c r="B5548" s="3" t="s">
        <v>8148</v>
      </c>
      <c r="C5548" s="3" t="s">
        <v>8149</v>
      </c>
      <c r="D5548" s="3" t="s">
        <v>11067</v>
      </c>
      <c r="E5548" s="3" t="s">
        <v>7142</v>
      </c>
      <c r="F5548" s="3" t="s">
        <v>2525</v>
      </c>
      <c r="G5548" s="3" t="str">
        <f>IFERROR(__xludf.DUMMYFUNCTION("GOOGLETRANSLATE(D5548,""ja"",""es"")"),"Ocultar")</f>
        <v>Ocultar</v>
      </c>
    </row>
    <row r="5549">
      <c r="A5549" s="3">
        <v>959.0</v>
      </c>
      <c r="B5549" s="3" t="s">
        <v>8148</v>
      </c>
      <c r="C5549" s="3" t="s">
        <v>8149</v>
      </c>
      <c r="D5549" s="3" t="s">
        <v>11068</v>
      </c>
      <c r="E5549" s="3" t="s">
        <v>2514</v>
      </c>
      <c r="F5549" s="3" t="s">
        <v>2513</v>
      </c>
      <c r="G5549" s="3" t="str">
        <f>IFERROR(__xludf.DUMMYFUNCTION("GOOGLETRANSLATE(D5549,""ja"",""es"")"),"Guerrero")</f>
        <v>Guerrero</v>
      </c>
      <c r="H5549" s="3" t="s">
        <v>9227</v>
      </c>
      <c r="I5549" s="3" t="s">
        <v>9228</v>
      </c>
      <c r="J5549" s="3" t="s">
        <v>2277</v>
      </c>
      <c r="K5549" s="3" t="s">
        <v>2278</v>
      </c>
      <c r="L5549" s="3" t="s">
        <v>9229</v>
      </c>
    </row>
    <row r="5550">
      <c r="A5550" s="3">
        <v>960.0</v>
      </c>
      <c r="B5550" s="3" t="s">
        <v>8148</v>
      </c>
      <c r="C5550" s="3" t="s">
        <v>8149</v>
      </c>
      <c r="D5550" s="3" t="s">
        <v>11069</v>
      </c>
      <c r="E5550" s="3" t="s">
        <v>10167</v>
      </c>
      <c r="F5550" s="3" t="s">
        <v>10168</v>
      </c>
      <c r="G5550" s="3" t="str">
        <f>IFERROR(__xludf.DUMMYFUNCTION("GOOGLETRANSLATE(D5550,""ja"",""es"")"),"Vidrio")</f>
        <v>Vidrio</v>
      </c>
      <c r="H5550" s="3" t="s">
        <v>11070</v>
      </c>
    </row>
    <row r="5551">
      <c r="A5551" s="3">
        <v>961.0</v>
      </c>
      <c r="B5551" s="3" t="s">
        <v>8148</v>
      </c>
      <c r="C5551" s="3" t="s">
        <v>8149</v>
      </c>
      <c r="D5551" s="3" t="s">
        <v>11071</v>
      </c>
      <c r="E5551" s="3" t="s">
        <v>11072</v>
      </c>
      <c r="F5551" s="3" t="s">
        <v>11073</v>
      </c>
      <c r="G5551" s="3" t="str">
        <f>IFERROR(__xludf.DUMMYFUNCTION("GOOGLETRANSLATE(D5551,""ja"",""es"")"),"Vidrio")</f>
        <v>Vidrio</v>
      </c>
    </row>
    <row r="5552">
      <c r="A5552" s="3">
        <v>962.0</v>
      </c>
      <c r="B5552" s="3" t="s">
        <v>8148</v>
      </c>
      <c r="C5552" s="3" t="s">
        <v>8149</v>
      </c>
      <c r="D5552" s="3" t="s">
        <v>11074</v>
      </c>
      <c r="E5552" s="3" t="s">
        <v>9753</v>
      </c>
      <c r="F5552" s="3" t="s">
        <v>9754</v>
      </c>
      <c r="G5552" s="3" t="str">
        <f>IFERROR(__xludf.DUMMYFUNCTION("GOOGLETRANSLATE(D5552,""ja"",""es"")"),"Constante")</f>
        <v>Constante</v>
      </c>
    </row>
    <row r="5553">
      <c r="A5553" s="3">
        <v>963.0</v>
      </c>
      <c r="B5553" s="3" t="s">
        <v>8148</v>
      </c>
      <c r="C5553" s="3" t="s">
        <v>8149</v>
      </c>
      <c r="D5553" s="3" t="s">
        <v>11075</v>
      </c>
      <c r="E5553" s="3" t="s">
        <v>11076</v>
      </c>
      <c r="F5553" s="3" t="s">
        <v>11077</v>
      </c>
      <c r="G5553" s="3" t="str">
        <f>IFERROR(__xludf.DUMMYFUNCTION("GOOGLETRANSLATE(D5553,""ja"",""es"")"),"Constante")</f>
        <v>Constante</v>
      </c>
    </row>
    <row r="5554">
      <c r="A5554" s="3">
        <v>964.0</v>
      </c>
      <c r="B5554" s="3" t="s">
        <v>8148</v>
      </c>
      <c r="C5554" s="3" t="s">
        <v>8149</v>
      </c>
      <c r="D5554" s="3" t="s">
        <v>11078</v>
      </c>
      <c r="E5554" s="3" t="s">
        <v>6483</v>
      </c>
      <c r="F5554" s="3" t="s">
        <v>6482</v>
      </c>
      <c r="G5554" s="3" t="str">
        <f>IFERROR(__xludf.DUMMYFUNCTION("GOOGLETRANSLATE(D5554,""ja"",""es"")"),"Constante")</f>
        <v>Constante</v>
      </c>
    </row>
    <row r="5555">
      <c r="A5555" s="3">
        <v>965.0</v>
      </c>
      <c r="B5555" s="3" t="s">
        <v>8148</v>
      </c>
      <c r="C5555" s="3" t="s">
        <v>8149</v>
      </c>
      <c r="D5555" s="3" t="s">
        <v>11079</v>
      </c>
      <c r="E5555" s="3" t="s">
        <v>11080</v>
      </c>
      <c r="F5555" s="3" t="s">
        <v>11081</v>
      </c>
      <c r="G5555" s="3" t="str">
        <f>IFERROR(__xludf.DUMMYFUNCTION("GOOGLETRANSLATE(D5555,""ja"",""es"")"),"Raspado")</f>
        <v>Raspado</v>
      </c>
    </row>
    <row r="5556">
      <c r="A5556" s="3">
        <v>966.0</v>
      </c>
      <c r="B5556" s="3" t="s">
        <v>8148</v>
      </c>
      <c r="C5556" s="3" t="s">
        <v>8149</v>
      </c>
      <c r="D5556" s="3" t="s">
        <v>11082</v>
      </c>
      <c r="E5556" s="3" t="s">
        <v>11083</v>
      </c>
      <c r="F5556" s="3" t="s">
        <v>11084</v>
      </c>
      <c r="G5556" s="3" t="str">
        <f>IFERROR(__xludf.DUMMYFUNCTION("GOOGLETRANSLATE(D5556,""ja"",""es"")"),"Destello")</f>
        <v>Destello</v>
      </c>
    </row>
    <row r="5557">
      <c r="A5557" s="3">
        <v>967.0</v>
      </c>
      <c r="B5557" s="3" t="s">
        <v>8148</v>
      </c>
      <c r="C5557" s="3" t="s">
        <v>8149</v>
      </c>
      <c r="D5557" s="3" t="s">
        <v>11085</v>
      </c>
      <c r="E5557" s="3" t="s">
        <v>2514</v>
      </c>
      <c r="F5557" s="3" t="s">
        <v>2513</v>
      </c>
      <c r="G5557" s="3" t="str">
        <f>IFERROR(__xludf.DUMMYFUNCTION("GOOGLETRANSLATE(D5557,""ja"",""es"")"),"Constante")</f>
        <v>Constante</v>
      </c>
    </row>
    <row r="5558">
      <c r="A5558" s="3">
        <v>968.0</v>
      </c>
      <c r="B5558" s="3" t="s">
        <v>8148</v>
      </c>
      <c r="C5558" s="3" t="s">
        <v>8149</v>
      </c>
      <c r="D5558" s="3" t="s">
        <v>11086</v>
      </c>
      <c r="E5558" s="3" t="s">
        <v>11087</v>
      </c>
      <c r="F5558" s="3" t="s">
        <v>11088</v>
      </c>
      <c r="G5558" s="3" t="str">
        <f>IFERROR(__xludf.DUMMYFUNCTION("GOOGLETRANSLATE(D5558,""ja"",""es"")"),"maldición")</f>
        <v>maldición</v>
      </c>
      <c r="H5558" s="3" t="s">
        <v>11089</v>
      </c>
      <c r="I5558" s="3" t="s">
        <v>11090</v>
      </c>
      <c r="J5558" s="3" t="s">
        <v>11091</v>
      </c>
    </row>
    <row r="5559">
      <c r="A5559" s="3">
        <v>969.0</v>
      </c>
      <c r="B5559" s="3" t="s">
        <v>8148</v>
      </c>
      <c r="C5559" s="3" t="s">
        <v>8149</v>
      </c>
      <c r="D5559" s="3" t="s">
        <v>11092</v>
      </c>
      <c r="E5559" s="3" t="s">
        <v>8451</v>
      </c>
      <c r="F5559" s="3" t="s">
        <v>8452</v>
      </c>
      <c r="G5559" s="3" t="str">
        <f>IFERROR(__xludf.DUMMYFUNCTION("GOOGLETRANSLATE(D5559,""ja"",""es"")"),"Un poco")</f>
        <v>Un poco</v>
      </c>
      <c r="H5559" s="3" t="s">
        <v>11093</v>
      </c>
      <c r="I5559" s="3" t="s">
        <v>11094</v>
      </c>
      <c r="J5559" s="3" t="s">
        <v>11095</v>
      </c>
      <c r="K5559" s="3" t="s">
        <v>8453</v>
      </c>
      <c r="L5559" s="3" t="s">
        <v>8454</v>
      </c>
      <c r="M5559" s="3" t="s">
        <v>8455</v>
      </c>
      <c r="N5559" s="3" t="s">
        <v>9827</v>
      </c>
      <c r="O5559" s="3" t="s">
        <v>9105</v>
      </c>
      <c r="P5559" s="3" t="s">
        <v>9828</v>
      </c>
    </row>
    <row r="5560">
      <c r="A5560" s="3">
        <v>970.0</v>
      </c>
      <c r="B5560" s="3" t="s">
        <v>8148</v>
      </c>
      <c r="C5560" s="3" t="s">
        <v>8149</v>
      </c>
      <c r="D5560" s="3" t="s">
        <v>11096</v>
      </c>
      <c r="E5560" s="3" t="s">
        <v>9554</v>
      </c>
      <c r="F5560" s="3" t="s">
        <v>9555</v>
      </c>
      <c r="G5560" s="3" t="str">
        <f>IFERROR(__xludf.DUMMYFUNCTION("GOOGLETRANSLATE(D5560,""ja"",""es"")"),"Alojamiento")</f>
        <v>Alojamiento</v>
      </c>
    </row>
    <row r="5561">
      <c r="A5561" s="3">
        <v>971.0</v>
      </c>
      <c r="B5561" s="3" t="s">
        <v>8148</v>
      </c>
      <c r="C5561" s="3" t="s">
        <v>8149</v>
      </c>
      <c r="D5561" s="3" t="s">
        <v>11097</v>
      </c>
      <c r="E5561" s="3" t="s">
        <v>11098</v>
      </c>
      <c r="F5561" s="3" t="s">
        <v>11099</v>
      </c>
      <c r="G5561" s="3" t="str">
        <f>IFERROR(__xludf.DUMMYFUNCTION("GOOGLETRANSLATE(D5561,""ja"",""es"")"),"Constante")</f>
        <v>Constante</v>
      </c>
    </row>
    <row r="5562">
      <c r="A5562" s="3">
        <v>972.0</v>
      </c>
      <c r="B5562" s="3" t="s">
        <v>8148</v>
      </c>
      <c r="C5562" s="3" t="s">
        <v>8149</v>
      </c>
      <c r="D5562" s="3" t="s">
        <v>11100</v>
      </c>
      <c r="E5562" s="3" t="s">
        <v>11101</v>
      </c>
      <c r="F5562" s="3" t="s">
        <v>11102</v>
      </c>
      <c r="G5562" s="3" t="str">
        <f>IFERROR(__xludf.DUMMYFUNCTION("GOOGLETRANSLATE(D5562,""ja"",""es"")"),"Escarabajos")</f>
        <v>Escarabajos</v>
      </c>
    </row>
    <row r="5563">
      <c r="A5563" s="3">
        <v>973.0</v>
      </c>
      <c r="B5563" s="3" t="s">
        <v>8148</v>
      </c>
      <c r="C5563" s="3" t="s">
        <v>8149</v>
      </c>
      <c r="D5563" s="3" t="s">
        <v>11103</v>
      </c>
      <c r="E5563" s="3" t="s">
        <v>11104</v>
      </c>
      <c r="F5563" s="3" t="s">
        <v>11105</v>
      </c>
      <c r="G5563" s="3" t="str">
        <f>IFERROR(__xludf.DUMMYFUNCTION("GOOGLETRANSLATE(D5563,""ja"",""es"")"),"Belleza")</f>
        <v>Belleza</v>
      </c>
    </row>
    <row r="5564">
      <c r="A5564" s="3">
        <v>974.0</v>
      </c>
      <c r="B5564" s="3" t="s">
        <v>8148</v>
      </c>
      <c r="C5564" s="3" t="s">
        <v>8149</v>
      </c>
      <c r="D5564" s="3" t="s">
        <v>11106</v>
      </c>
      <c r="E5564" s="3" t="s">
        <v>11107</v>
      </c>
      <c r="F5564" s="3" t="s">
        <v>11108</v>
      </c>
      <c r="G5564" s="3" t="str">
        <f>IFERROR(__xludf.DUMMYFUNCTION("GOOGLETRANSLATE(D5564,""ja"",""es"")"),"Canino -chan")</f>
        <v>Canino -chan</v>
      </c>
    </row>
    <row r="5565">
      <c r="A5565" s="3">
        <v>975.0</v>
      </c>
      <c r="B5565" s="3" t="s">
        <v>8148</v>
      </c>
      <c r="C5565" s="3" t="s">
        <v>8149</v>
      </c>
      <c r="D5565" s="3" t="s">
        <v>11109</v>
      </c>
      <c r="E5565" s="3" t="s">
        <v>9825</v>
      </c>
      <c r="F5565" s="3" t="s">
        <v>9826</v>
      </c>
      <c r="G5565" s="3" t="str">
        <f>IFERROR(__xludf.DUMMYFUNCTION("GOOGLETRANSLATE(D5565,""ja"",""es"")"),"Responsabilidad")</f>
        <v>Responsabilidad</v>
      </c>
    </row>
    <row r="5566">
      <c r="A5566" s="3">
        <v>976.0</v>
      </c>
      <c r="B5566" s="3" t="s">
        <v>8148</v>
      </c>
      <c r="C5566" s="3" t="s">
        <v>8149</v>
      </c>
      <c r="D5566" s="3" t="s">
        <v>11110</v>
      </c>
      <c r="E5566" s="3" t="s">
        <v>9825</v>
      </c>
      <c r="F5566" s="3" t="s">
        <v>9826</v>
      </c>
      <c r="G5566" s="3" t="str">
        <f>IFERROR(__xludf.DUMMYFUNCTION("GOOGLETRANSLATE(D5566,""ja"",""es"")"),"De manera lística")</f>
        <v>De manera lística</v>
      </c>
      <c r="H5566" s="3" t="s">
        <v>8453</v>
      </c>
      <c r="I5566" s="3" t="s">
        <v>8454</v>
      </c>
      <c r="J5566" s="3" t="s">
        <v>8455</v>
      </c>
      <c r="K5566" s="3" t="s">
        <v>9827</v>
      </c>
      <c r="L5566" s="3" t="s">
        <v>9105</v>
      </c>
      <c r="M5566" s="3" t="s">
        <v>9828</v>
      </c>
    </row>
    <row r="5567">
      <c r="A5567" s="3">
        <v>977.0</v>
      </c>
      <c r="B5567" s="3" t="s">
        <v>8148</v>
      </c>
      <c r="C5567" s="3" t="s">
        <v>8149</v>
      </c>
      <c r="D5567" s="3" t="s">
        <v>11111</v>
      </c>
      <c r="E5567" s="3" t="s">
        <v>10700</v>
      </c>
      <c r="F5567" s="3" t="s">
        <v>10701</v>
      </c>
      <c r="G5567" s="3" t="str">
        <f>IFERROR(__xludf.DUMMYFUNCTION("GOOGLETRANSLATE(D5567,""ja"",""es"")"),"Tedioso")</f>
        <v>Tedioso</v>
      </c>
      <c r="H5567" s="3" t="s">
        <v>8912</v>
      </c>
      <c r="I5567" s="3" t="s">
        <v>3395</v>
      </c>
    </row>
    <row r="5568">
      <c r="A5568" s="3">
        <v>978.0</v>
      </c>
      <c r="B5568" s="3" t="s">
        <v>8148</v>
      </c>
      <c r="C5568" s="3" t="s">
        <v>8149</v>
      </c>
      <c r="D5568" s="3" t="s">
        <v>11112</v>
      </c>
      <c r="E5568" s="3" t="s">
        <v>3609</v>
      </c>
      <c r="F5568" s="3" t="s">
        <v>3610</v>
      </c>
      <c r="G5568" s="3" t="str">
        <f>IFERROR(__xludf.DUMMYFUNCTION("GOOGLETRANSLATE(D5568,""ja"",""es"")"),"Constante")</f>
        <v>Constante</v>
      </c>
    </row>
    <row r="5569">
      <c r="A5569" s="3">
        <v>979.0</v>
      </c>
      <c r="B5569" s="3" t="s">
        <v>8148</v>
      </c>
      <c r="C5569" s="3" t="s">
        <v>8149</v>
      </c>
      <c r="D5569" s="3" t="s">
        <v>11113</v>
      </c>
      <c r="E5569" s="3" t="s">
        <v>10088</v>
      </c>
      <c r="F5569" s="3" t="s">
        <v>10089</v>
      </c>
      <c r="G5569" s="3" t="str">
        <f>IFERROR(__xludf.DUMMYFUNCTION("GOOGLETRANSLATE(D5569,""ja"",""es"")"),"Vaina")</f>
        <v>Vaina</v>
      </c>
      <c r="H5569" s="3" t="s">
        <v>6933</v>
      </c>
      <c r="I5569" s="3" t="s">
        <v>11114</v>
      </c>
      <c r="J5569" s="3" t="s">
        <v>11115</v>
      </c>
    </row>
    <row r="5570">
      <c r="A5570" s="3">
        <v>980.0</v>
      </c>
      <c r="B5570" s="3" t="s">
        <v>8148</v>
      </c>
      <c r="C5570" s="3" t="s">
        <v>8149</v>
      </c>
      <c r="D5570" s="3" t="s">
        <v>11116</v>
      </c>
      <c r="E5570" s="3" t="s">
        <v>2267</v>
      </c>
      <c r="F5570" s="3" t="s">
        <v>2268</v>
      </c>
      <c r="G5570" s="3" t="str">
        <f>IFERROR(__xludf.DUMMYFUNCTION("GOOGLETRANSLATE(D5570,""ja"",""es"")"),"Constante")</f>
        <v>Constante</v>
      </c>
    </row>
    <row r="5571">
      <c r="A5571" s="3">
        <v>981.0</v>
      </c>
      <c r="B5571" s="3" t="s">
        <v>8148</v>
      </c>
      <c r="C5571" s="3" t="s">
        <v>8149</v>
      </c>
      <c r="D5571" s="3" t="s">
        <v>11117</v>
      </c>
      <c r="E5571" s="3" t="s">
        <v>11118</v>
      </c>
      <c r="F5571" s="3" t="s">
        <v>11119</v>
      </c>
      <c r="G5571" s="3" t="str">
        <f>IFERROR(__xludf.DUMMYFUNCTION("GOOGLETRANSLATE(D5571,""ja"",""es"")"),"Constante")</f>
        <v>Constante</v>
      </c>
    </row>
    <row r="5572">
      <c r="A5572" s="3">
        <v>982.0</v>
      </c>
      <c r="B5572" s="3" t="s">
        <v>8148</v>
      </c>
      <c r="C5572" s="3" t="s">
        <v>8149</v>
      </c>
      <c r="D5572" s="3" t="s">
        <v>11120</v>
      </c>
      <c r="E5572" s="3" t="s">
        <v>2514</v>
      </c>
      <c r="F5572" s="3" t="s">
        <v>2513</v>
      </c>
      <c r="G5572" s="3" t="str">
        <f>IFERROR(__xludf.DUMMYFUNCTION("GOOGLETRANSLATE(D5572,""ja"",""es"")"),"ostra")</f>
        <v>ostra</v>
      </c>
    </row>
    <row r="5573">
      <c r="A5573" s="3">
        <v>983.0</v>
      </c>
      <c r="B5573" s="3" t="s">
        <v>8148</v>
      </c>
      <c r="C5573" s="3" t="s">
        <v>8149</v>
      </c>
      <c r="D5573" s="3" t="s">
        <v>11121</v>
      </c>
      <c r="E5573" s="3" t="s">
        <v>394</v>
      </c>
      <c r="F5573" s="3" t="s">
        <v>395</v>
      </c>
      <c r="G5573" s="3" t="str">
        <f>IFERROR(__xludf.DUMMYFUNCTION("GOOGLETRANSLATE(D5573,""ja"",""es"")"),"Constante")</f>
        <v>Constante</v>
      </c>
      <c r="H5573" s="3" t="s">
        <v>9211</v>
      </c>
      <c r="I5573" s="3" t="s">
        <v>9212</v>
      </c>
    </row>
    <row r="5574">
      <c r="A5574" s="3">
        <v>984.0</v>
      </c>
      <c r="B5574" s="3" t="s">
        <v>8148</v>
      </c>
      <c r="C5574" s="3" t="s">
        <v>8149</v>
      </c>
      <c r="D5574" s="3" t="s">
        <v>11122</v>
      </c>
      <c r="E5574" s="3" t="s">
        <v>8682</v>
      </c>
      <c r="F5574" s="3" t="s">
        <v>8683</v>
      </c>
      <c r="G5574" s="3" t="str">
        <f>IFERROR(__xludf.DUMMYFUNCTION("GOOGLETRANSLATE(D5574,""ja"",""es"")"),"Constante")</f>
        <v>Constante</v>
      </c>
    </row>
    <row r="5575">
      <c r="A5575" s="3">
        <v>985.0</v>
      </c>
      <c r="B5575" s="3" t="s">
        <v>8148</v>
      </c>
      <c r="C5575" s="3" t="s">
        <v>8149</v>
      </c>
      <c r="D5575" s="3" t="s">
        <v>11123</v>
      </c>
      <c r="E5575" s="3" t="s">
        <v>8585</v>
      </c>
      <c r="F5575" s="3" t="s">
        <v>8586</v>
      </c>
      <c r="G5575" s="3" t="str">
        <f>IFERROR(__xludf.DUMMYFUNCTION("GOOGLETRANSLATE(D5575,""ja"",""es"")"),"Constante")</f>
        <v>Constante</v>
      </c>
    </row>
    <row r="5576">
      <c r="A5576" s="3">
        <v>986.0</v>
      </c>
      <c r="B5576" s="3" t="s">
        <v>8148</v>
      </c>
      <c r="C5576" s="3" t="s">
        <v>8149</v>
      </c>
      <c r="D5576" s="3" t="s">
        <v>11124</v>
      </c>
      <c r="E5576" s="3" t="s">
        <v>8212</v>
      </c>
      <c r="F5576" s="3" t="s">
        <v>8213</v>
      </c>
      <c r="G5576" s="3" t="str">
        <f>IFERROR(__xludf.DUMMYFUNCTION("GOOGLETRANSLATE(D5576,""ja"",""es"")"),"Peregrinaje")</f>
        <v>Peregrinaje</v>
      </c>
    </row>
    <row r="5577">
      <c r="A5577" s="3">
        <v>987.0</v>
      </c>
      <c r="B5577" s="3" t="s">
        <v>8148</v>
      </c>
      <c r="C5577" s="3" t="s">
        <v>8149</v>
      </c>
      <c r="D5577" s="3" t="s">
        <v>11125</v>
      </c>
      <c r="E5577" s="3" t="s">
        <v>8994</v>
      </c>
      <c r="F5577" s="3" t="s">
        <v>8995</v>
      </c>
      <c r="G5577" s="3" t="str">
        <f>IFERROR(__xludf.DUMMYFUNCTION("GOOGLETRANSLATE(D5577,""ja"",""es"")"),"acento")</f>
        <v>acento</v>
      </c>
      <c r="H5577" s="3" t="s">
        <v>11126</v>
      </c>
      <c r="I5577" s="3" t="s">
        <v>11127</v>
      </c>
      <c r="J5577" s="3" t="s">
        <v>11128</v>
      </c>
      <c r="K5577" s="3" t="s">
        <v>11129</v>
      </c>
      <c r="L5577" s="3" t="s">
        <v>11126</v>
      </c>
    </row>
    <row r="5578">
      <c r="A5578" s="3">
        <v>988.0</v>
      </c>
      <c r="B5578" s="3" t="s">
        <v>8148</v>
      </c>
      <c r="C5578" s="3" t="s">
        <v>8149</v>
      </c>
      <c r="D5578" s="3" t="s">
        <v>11130</v>
      </c>
      <c r="E5578" s="3" t="s">
        <v>8994</v>
      </c>
      <c r="F5578" s="3" t="s">
        <v>8995</v>
      </c>
      <c r="G5578" s="3" t="str">
        <f>IFERROR(__xludf.DUMMYFUNCTION("GOOGLETRANSLATE(D5578,""ja"",""es"")"),"Acento")</f>
        <v>Acento</v>
      </c>
      <c r="H5578" s="3" t="s">
        <v>11126</v>
      </c>
      <c r="I5578" s="3" t="s">
        <v>11127</v>
      </c>
      <c r="J5578" s="3" t="s">
        <v>11128</v>
      </c>
      <c r="K5578" s="3" t="s">
        <v>11129</v>
      </c>
      <c r="L5578" s="3" t="s">
        <v>11126</v>
      </c>
    </row>
    <row r="5579">
      <c r="A5579" s="3">
        <v>989.0</v>
      </c>
      <c r="B5579" s="3" t="s">
        <v>8148</v>
      </c>
      <c r="C5579" s="3" t="s">
        <v>8149</v>
      </c>
      <c r="D5579" s="3" t="s">
        <v>11131</v>
      </c>
      <c r="E5579" s="3" t="s">
        <v>9562</v>
      </c>
      <c r="F5579" s="3" t="s">
        <v>9563</v>
      </c>
      <c r="G5579" s="3" t="str">
        <f>IFERROR(__xludf.DUMMYFUNCTION("GOOGLETRANSLATE(D5579,""ja"",""es"")"),"Constante")</f>
        <v>Constante</v>
      </c>
      <c r="H5579" s="3" t="s">
        <v>9564</v>
      </c>
      <c r="I5579" s="3" t="s">
        <v>9565</v>
      </c>
    </row>
    <row r="5580">
      <c r="A5580" s="3">
        <v>990.0</v>
      </c>
      <c r="B5580" s="3" t="s">
        <v>8148</v>
      </c>
      <c r="C5580" s="3" t="s">
        <v>8149</v>
      </c>
      <c r="D5580" s="3" t="s">
        <v>11132</v>
      </c>
      <c r="E5580" s="3" t="s">
        <v>11133</v>
      </c>
      <c r="F5580" s="3" t="s">
        <v>11134</v>
      </c>
      <c r="G5580" s="3" t="str">
        <f>IFERROR(__xludf.DUMMYFUNCTION("GOOGLETRANSLATE(D5580,""ja"",""es"")"),"Constante")</f>
        <v>Constante</v>
      </c>
    </row>
    <row r="5581">
      <c r="A5581" s="3">
        <v>991.0</v>
      </c>
      <c r="B5581" s="3" t="s">
        <v>8148</v>
      </c>
      <c r="C5581" s="3" t="s">
        <v>8149</v>
      </c>
      <c r="D5581" s="3" t="s">
        <v>11135</v>
      </c>
      <c r="E5581" s="3" t="s">
        <v>2267</v>
      </c>
      <c r="F5581" s="3" t="s">
        <v>2268</v>
      </c>
      <c r="G5581" s="3" t="str">
        <f>IFERROR(__xludf.DUMMYFUNCTION("GOOGLETRANSLATE(D5581,""ja"",""es"")"),"Constante")</f>
        <v>Constante</v>
      </c>
    </row>
    <row r="5582">
      <c r="A5582" s="3">
        <v>992.0</v>
      </c>
      <c r="B5582" s="3" t="s">
        <v>8148</v>
      </c>
      <c r="C5582" s="3" t="s">
        <v>8149</v>
      </c>
      <c r="D5582" s="3" t="s">
        <v>11136</v>
      </c>
      <c r="E5582" s="3" t="s">
        <v>10502</v>
      </c>
      <c r="F5582" s="3" t="s">
        <v>10503</v>
      </c>
      <c r="G5582" s="3" t="str">
        <f>IFERROR(__xludf.DUMMYFUNCTION("GOOGLETRANSLATE(D5582,""ja"",""es"")"),"Constante")</f>
        <v>Constante</v>
      </c>
    </row>
    <row r="5583">
      <c r="A5583" s="3">
        <v>993.0</v>
      </c>
      <c r="B5583" s="3" t="s">
        <v>8148</v>
      </c>
      <c r="C5583" s="3" t="s">
        <v>8149</v>
      </c>
      <c r="D5583" s="3" t="s">
        <v>11137</v>
      </c>
      <c r="E5583" s="3" t="s">
        <v>8142</v>
      </c>
      <c r="F5583" s="3" t="s">
        <v>126</v>
      </c>
      <c r="G5583" s="3" t="str">
        <f>IFERROR(__xludf.DUMMYFUNCTION("GOOGLETRANSLATE(D5583,""ja"",""es"")"),"Radiación")</f>
        <v>Radiación</v>
      </c>
      <c r="H5583" s="3" t="s">
        <v>11138</v>
      </c>
      <c r="I5583" s="3" t="s">
        <v>11139</v>
      </c>
      <c r="J5583" s="3" t="s">
        <v>11140</v>
      </c>
    </row>
    <row r="5584">
      <c r="A5584" s="3">
        <v>994.0</v>
      </c>
      <c r="B5584" s="3" t="s">
        <v>8148</v>
      </c>
      <c r="C5584" s="3" t="s">
        <v>8149</v>
      </c>
      <c r="D5584" s="3" t="s">
        <v>11141</v>
      </c>
      <c r="E5584" s="3" t="s">
        <v>10120</v>
      </c>
      <c r="F5584" s="3" t="s">
        <v>10121</v>
      </c>
      <c r="G5584" s="3" t="str">
        <f>IFERROR(__xludf.DUMMYFUNCTION("GOOGLETRANSLATE(D5584,""ja"",""es"")"),"Constante")</f>
        <v>Constante</v>
      </c>
      <c r="H5584" s="3" t="s">
        <v>11142</v>
      </c>
      <c r="I5584" s="3" t="s">
        <v>11143</v>
      </c>
    </row>
    <row r="5585">
      <c r="A5585" s="3">
        <v>995.0</v>
      </c>
      <c r="B5585" s="3" t="s">
        <v>8148</v>
      </c>
      <c r="C5585" s="3" t="s">
        <v>8149</v>
      </c>
      <c r="D5585" s="3" t="s">
        <v>11144</v>
      </c>
      <c r="E5585" s="3" t="s">
        <v>4174</v>
      </c>
      <c r="F5585" s="3" t="s">
        <v>4175</v>
      </c>
      <c r="G5585" s="3" t="str">
        <f>IFERROR(__xludf.DUMMYFUNCTION("GOOGLETRANSLATE(D5585,""ja"",""es"")"),"Hacha")</f>
        <v>Hacha</v>
      </c>
    </row>
    <row r="5586">
      <c r="A5586" s="3">
        <v>996.0</v>
      </c>
      <c r="B5586" s="3" t="s">
        <v>8148</v>
      </c>
      <c r="C5586" s="3" t="s">
        <v>8149</v>
      </c>
      <c r="D5586" s="3" t="s">
        <v>11145</v>
      </c>
      <c r="E5586" s="3" t="s">
        <v>11146</v>
      </c>
      <c r="F5586" s="3" t="s">
        <v>11147</v>
      </c>
      <c r="G5586" s="3" t="str">
        <f>IFERROR(__xludf.DUMMYFUNCTION("GOOGLETRANSLATE(D5586,""ja"",""es"")"),"Constante")</f>
        <v>Constante</v>
      </c>
    </row>
    <row r="5587">
      <c r="A5587" s="3">
        <v>997.0</v>
      </c>
      <c r="B5587" s="3" t="s">
        <v>8148</v>
      </c>
      <c r="C5587" s="3" t="s">
        <v>8149</v>
      </c>
      <c r="D5587" s="3" t="s">
        <v>11148</v>
      </c>
      <c r="E5587" s="3" t="s">
        <v>10167</v>
      </c>
      <c r="F5587" s="3" t="s">
        <v>10168</v>
      </c>
      <c r="G5587" s="3" t="str">
        <f>IFERROR(__xludf.DUMMYFUNCTION("GOOGLETRANSLATE(D5587,""ja"",""es"")"),"acupuntura")</f>
        <v>acupuntura</v>
      </c>
      <c r="H5587" s="3" t="s">
        <v>11149</v>
      </c>
      <c r="I5587" s="3" t="s">
        <v>11150</v>
      </c>
    </row>
    <row r="5588">
      <c r="A5588" s="3">
        <v>998.0</v>
      </c>
      <c r="B5588" s="3" t="s">
        <v>8148</v>
      </c>
      <c r="C5588" s="3" t="s">
        <v>8149</v>
      </c>
      <c r="D5588" s="3" t="s">
        <v>11151</v>
      </c>
      <c r="E5588" s="3" t="s">
        <v>268</v>
      </c>
      <c r="F5588" s="3" t="s">
        <v>269</v>
      </c>
      <c r="G5588" s="3" t="str">
        <f>IFERROR(__xludf.DUMMYFUNCTION("GOOGLETRANSLATE(D5588,""ja"",""es"")"),"Desalentador")</f>
        <v>Desalentador</v>
      </c>
    </row>
    <row r="5589">
      <c r="A5589" s="3">
        <v>999.0</v>
      </c>
      <c r="B5589" s="3" t="s">
        <v>8148</v>
      </c>
      <c r="C5589" s="3" t="s">
        <v>8149</v>
      </c>
      <c r="D5589" s="3" t="s">
        <v>11152</v>
      </c>
      <c r="E5589" s="3" t="s">
        <v>11153</v>
      </c>
      <c r="F5589" s="3" t="s">
        <v>11154</v>
      </c>
      <c r="G5589" s="3" t="str">
        <f>IFERROR(__xludf.DUMMYFUNCTION("GOOGLETRANSLATE(D5589,""ja"",""es"")"),"Límite")</f>
        <v>Límite</v>
      </c>
    </row>
    <row r="5590">
      <c r="A5590" s="3">
        <v>1000.0</v>
      </c>
      <c r="B5590" s="3" t="s">
        <v>8148</v>
      </c>
      <c r="C5590" s="3" t="s">
        <v>8149</v>
      </c>
      <c r="D5590" s="3" t="s">
        <v>11155</v>
      </c>
      <c r="E5590" s="3" t="s">
        <v>5376</v>
      </c>
      <c r="F5590" s="3" t="s">
        <v>5377</v>
      </c>
      <c r="G5590" s="3" t="str">
        <f>IFERROR(__xludf.DUMMYFUNCTION("GOOGLETRANSLATE(D5590,""ja"",""es"")"),"Arquitectura")</f>
        <v>Arquitectura</v>
      </c>
    </row>
    <row r="5591">
      <c r="A5591" s="3">
        <v>1001.0</v>
      </c>
      <c r="B5591" s="3" t="s">
        <v>8148</v>
      </c>
      <c r="C5591" s="3" t="s">
        <v>8149</v>
      </c>
      <c r="D5591" s="3" t="s">
        <v>11156</v>
      </c>
      <c r="E5591" s="3" t="s">
        <v>8201</v>
      </c>
      <c r="F5591" s="3" t="s">
        <v>8202</v>
      </c>
      <c r="G5591" s="3" t="str">
        <f>IFERROR(__xludf.DUMMYFUNCTION("GOOGLETRANSLATE(D5591,""ja"",""es"")"),"Truco")</f>
        <v>Truco</v>
      </c>
      <c r="H5591" s="3" t="s">
        <v>11157</v>
      </c>
      <c r="I5591" s="3" t="s">
        <v>11158</v>
      </c>
      <c r="J5591" s="3" t="s">
        <v>11159</v>
      </c>
      <c r="K5591" s="3" t="s">
        <v>11160</v>
      </c>
      <c r="L5591" s="3" t="s">
        <v>11161</v>
      </c>
      <c r="M5591" s="3" t="s">
        <v>11162</v>
      </c>
      <c r="N5591" s="3" t="s">
        <v>11157</v>
      </c>
      <c r="O5591" s="3" t="s">
        <v>11163</v>
      </c>
      <c r="P5591" s="3" t="s">
        <v>11164</v>
      </c>
      <c r="Q5591" s="3" t="s">
        <v>11165</v>
      </c>
      <c r="R5591" s="3" t="s">
        <v>11166</v>
      </c>
      <c r="S5591" s="3" t="s">
        <v>11167</v>
      </c>
      <c r="T5591" s="3" t="s">
        <v>11168</v>
      </c>
      <c r="U5591" s="3" t="s">
        <v>11169</v>
      </c>
      <c r="V5591" s="3" t="s">
        <v>11157</v>
      </c>
      <c r="W5591" s="3" t="s">
        <v>11170</v>
      </c>
      <c r="X5591" s="3" t="s">
        <v>11171</v>
      </c>
      <c r="Y5591" s="3" t="s">
        <v>11172</v>
      </c>
      <c r="Z5591" s="3" t="s">
        <v>11173</v>
      </c>
      <c r="AA5591" s="3" t="s">
        <v>11174</v>
      </c>
    </row>
    <row r="5592">
      <c r="A5592" s="3">
        <v>1002.0</v>
      </c>
      <c r="B5592" s="3" t="s">
        <v>8148</v>
      </c>
      <c r="C5592" s="3" t="s">
        <v>8149</v>
      </c>
      <c r="D5592" s="3" t="s">
        <v>11175</v>
      </c>
      <c r="E5592" s="3" t="s">
        <v>8494</v>
      </c>
      <c r="F5592" s="3" t="s">
        <v>8495</v>
      </c>
      <c r="G5592" s="3" t="str">
        <f>IFERROR(__xludf.DUMMYFUNCTION("GOOGLETRANSLATE(D5592,""ja"",""es"")"),"Constante")</f>
        <v>Constante</v>
      </c>
    </row>
    <row r="5593">
      <c r="A5593" s="3">
        <v>1003.0</v>
      </c>
      <c r="B5593" s="3" t="s">
        <v>8148</v>
      </c>
      <c r="C5593" s="3" t="s">
        <v>8149</v>
      </c>
      <c r="D5593" s="3" t="s">
        <v>11176</v>
      </c>
      <c r="E5593" s="3" t="s">
        <v>8359</v>
      </c>
      <c r="F5593" s="3" t="s">
        <v>8360</v>
      </c>
      <c r="G5593" s="3" t="str">
        <f>IFERROR(__xludf.DUMMYFUNCTION("GOOGLETRANSLATE(D5593,""ja"",""es"")"),"pez arena")</f>
        <v>pez arena</v>
      </c>
    </row>
    <row r="5594">
      <c r="A5594" s="3">
        <v>1004.0</v>
      </c>
      <c r="B5594" s="3" t="s">
        <v>8148</v>
      </c>
      <c r="C5594" s="3" t="s">
        <v>8149</v>
      </c>
      <c r="D5594" s="3" t="s">
        <v>11177</v>
      </c>
      <c r="E5594" s="3" t="s">
        <v>8349</v>
      </c>
      <c r="F5594" s="3" t="s">
        <v>93</v>
      </c>
      <c r="G5594" s="3" t="str">
        <f>IFERROR(__xludf.DUMMYFUNCTION("GOOGLETRANSLATE(D5594,""ja"",""es"")"),"Constante")</f>
        <v>Constante</v>
      </c>
    </row>
    <row r="5595">
      <c r="A5595" s="3">
        <v>1005.0</v>
      </c>
      <c r="B5595" s="3" t="s">
        <v>8148</v>
      </c>
      <c r="C5595" s="3" t="s">
        <v>8149</v>
      </c>
      <c r="D5595" s="3" t="s">
        <v>11178</v>
      </c>
      <c r="E5595" s="3" t="s">
        <v>3503</v>
      </c>
      <c r="F5595" s="3" t="s">
        <v>3504</v>
      </c>
      <c r="G5595" s="3" t="str">
        <f>IFERROR(__xludf.DUMMYFUNCTION("GOOGLETRANSLATE(D5595,""ja"",""es"")"),"Maki")</f>
        <v>Maki</v>
      </c>
    </row>
    <row r="5596">
      <c r="A5596" s="3">
        <v>1.0</v>
      </c>
      <c r="B5596" s="3" t="s">
        <v>11179</v>
      </c>
      <c r="C5596" s="3" t="s">
        <v>11180</v>
      </c>
      <c r="D5596" s="3" t="s">
        <v>11181</v>
      </c>
      <c r="E5596" s="3" t="s">
        <v>11182</v>
      </c>
      <c r="F5596" s="3" t="s">
        <v>414</v>
      </c>
      <c r="G5596" s="3" t="str">
        <f>IFERROR(__xludf.DUMMYFUNCTION("GOOGLETRANSLATE(D5596,""nb"",""es"")"),"apelación")</f>
        <v>apelación</v>
      </c>
    </row>
    <row r="5597">
      <c r="A5597" s="3">
        <v>2.0</v>
      </c>
      <c r="B5597" s="3" t="s">
        <v>11179</v>
      </c>
      <c r="C5597" s="3" t="s">
        <v>11180</v>
      </c>
      <c r="D5597" s="3" t="s">
        <v>11183</v>
      </c>
      <c r="E5597" s="3" t="s">
        <v>11182</v>
      </c>
      <c r="F5597" s="3" t="s">
        <v>414</v>
      </c>
      <c r="G5597" s="3" t="str">
        <f>IFERROR(__xludf.DUMMYFUNCTION("GOOGLETRANSLATE(D5597,""nb"",""es"")"),"pato")</f>
        <v>pato</v>
      </c>
      <c r="H5597" s="3" t="s">
        <v>1206</v>
      </c>
    </row>
    <row r="5598">
      <c r="A5598" s="3">
        <v>3.0</v>
      </c>
      <c r="B5598" s="3" t="s">
        <v>11179</v>
      </c>
      <c r="C5598" s="3" t="s">
        <v>11180</v>
      </c>
      <c r="D5598" s="3" t="s">
        <v>11184</v>
      </c>
      <c r="E5598" s="3" t="s">
        <v>11185</v>
      </c>
      <c r="F5598" s="3" t="s">
        <v>11186</v>
      </c>
      <c r="G5598" s="3" t="str">
        <f>IFERROR(__xludf.DUMMYFUNCTION("GOOGLETRANSLATE(D5598,""nb"",""es"")"),"cicatriz")</f>
        <v>cicatriz</v>
      </c>
    </row>
    <row r="5599">
      <c r="A5599" s="3">
        <v>4.0</v>
      </c>
      <c r="B5599" s="3" t="s">
        <v>11179</v>
      </c>
      <c r="C5599" s="3" t="s">
        <v>11180</v>
      </c>
      <c r="D5599" s="3" t="s">
        <v>11187</v>
      </c>
      <c r="E5599" s="3" t="s">
        <v>11188</v>
      </c>
      <c r="F5599" s="3" t="s">
        <v>11189</v>
      </c>
      <c r="G5599" s="3" t="str">
        <f>IFERROR(__xludf.DUMMYFUNCTION("GOOGLETRANSLATE(D5599,""nb"",""es"")"),"gremio")</f>
        <v>gremio</v>
      </c>
    </row>
    <row r="5600">
      <c r="A5600" s="3">
        <v>5.0</v>
      </c>
      <c r="B5600" s="3" t="s">
        <v>11179</v>
      </c>
      <c r="C5600" s="3" t="s">
        <v>11180</v>
      </c>
      <c r="D5600" s="3" t="s">
        <v>5656</v>
      </c>
      <c r="E5600" s="3" t="s">
        <v>11190</v>
      </c>
      <c r="F5600" s="3" t="s">
        <v>11191</v>
      </c>
      <c r="G5600" s="3" t="str">
        <f>IFERROR(__xludf.DUMMYFUNCTION("GOOGLETRANSLATE(D5600,""nb"",""es"")"),"salón")</f>
        <v>salón</v>
      </c>
    </row>
    <row r="5601">
      <c r="A5601" s="3">
        <v>6.0</v>
      </c>
      <c r="B5601" s="3" t="s">
        <v>11179</v>
      </c>
      <c r="C5601" s="3" t="s">
        <v>11180</v>
      </c>
      <c r="D5601" s="3" t="s">
        <v>11192</v>
      </c>
      <c r="E5601" s="3" t="s">
        <v>11190</v>
      </c>
      <c r="F5601" s="3" t="s">
        <v>11191</v>
      </c>
      <c r="G5601" s="3" t="str">
        <f>IFERROR(__xludf.DUMMYFUNCTION("GOOGLETRANSLATE(D5601,""nb"",""es"")"),"mitad")</f>
        <v>mitad</v>
      </c>
    </row>
    <row r="5602">
      <c r="A5602" s="3">
        <v>7.0</v>
      </c>
      <c r="B5602" s="3" t="s">
        <v>11179</v>
      </c>
      <c r="C5602" s="3" t="s">
        <v>11180</v>
      </c>
      <c r="D5602" s="3" t="s">
        <v>115</v>
      </c>
      <c r="E5602" s="3" t="s">
        <v>11193</v>
      </c>
      <c r="F5602" s="3" t="s">
        <v>115</v>
      </c>
      <c r="G5602" s="3" t="str">
        <f>IFERROR(__xludf.DUMMYFUNCTION("GOOGLETRANSLATE(D5602,""nb"",""es"")"),"él")</f>
        <v>él</v>
      </c>
    </row>
    <row r="5603">
      <c r="A5603" s="3">
        <v>8.0</v>
      </c>
      <c r="B5603" s="3" t="s">
        <v>11179</v>
      </c>
      <c r="C5603" s="3" t="s">
        <v>11180</v>
      </c>
      <c r="D5603" s="3" t="s">
        <v>11194</v>
      </c>
      <c r="E5603" s="3" t="s">
        <v>11193</v>
      </c>
      <c r="F5603" s="3" t="s">
        <v>115</v>
      </c>
      <c r="G5603" s="3" t="str">
        <f>IFERROR(__xludf.DUMMYFUNCTION("GOOGLETRANSLATE(D5603,""nb"",""es"")"),"masculino")</f>
        <v>masculino</v>
      </c>
    </row>
    <row r="5604">
      <c r="A5604" s="3">
        <v>9.0</v>
      </c>
      <c r="B5604" s="3" t="s">
        <v>11179</v>
      </c>
      <c r="C5604" s="3" t="s">
        <v>11180</v>
      </c>
      <c r="D5604" s="3" t="s">
        <v>11195</v>
      </c>
      <c r="E5604" s="3" t="s">
        <v>11196</v>
      </c>
      <c r="F5604" s="3" t="s">
        <v>103</v>
      </c>
      <c r="G5604" s="3" t="str">
        <f>IFERROR(__xludf.DUMMYFUNCTION("GOOGLETRANSLATE(D5604,""nb"",""es"")"),"cadera")</f>
        <v>cadera</v>
      </c>
    </row>
    <row r="5605">
      <c r="A5605" s="3">
        <v>10.0</v>
      </c>
      <c r="B5605" s="3" t="s">
        <v>11179</v>
      </c>
      <c r="C5605" s="3" t="s">
        <v>11180</v>
      </c>
      <c r="D5605" s="3" t="s">
        <v>11197</v>
      </c>
      <c r="E5605" s="3" t="s">
        <v>11198</v>
      </c>
      <c r="F5605" s="3" t="s">
        <v>105</v>
      </c>
      <c r="G5605" s="3" t="str">
        <f>IFERROR(__xludf.DUMMYFUNCTION("GOOGLETRANSLATE(D5605,""nb"",""es"")"),"a")</f>
        <v>a</v>
      </c>
    </row>
    <row r="5606">
      <c r="A5606" s="3">
        <v>11.0</v>
      </c>
      <c r="B5606" s="3" t="s">
        <v>11179</v>
      </c>
      <c r="C5606" s="3" t="s">
        <v>11180</v>
      </c>
      <c r="D5606" s="3" t="s">
        <v>2268</v>
      </c>
      <c r="E5606" s="3" t="s">
        <v>11199</v>
      </c>
      <c r="F5606" s="3" t="s">
        <v>2268</v>
      </c>
      <c r="G5606" s="3" t="str">
        <f>IFERROR(__xludf.DUMMYFUNCTION("GOOGLETRANSLATE(D5606,""nb"",""es"")"),"en")</f>
        <v>en</v>
      </c>
    </row>
    <row r="5607">
      <c r="A5607" s="3">
        <v>12.0</v>
      </c>
      <c r="B5607" s="3" t="s">
        <v>11179</v>
      </c>
      <c r="C5607" s="3" t="s">
        <v>11180</v>
      </c>
      <c r="D5607" s="3" t="s">
        <v>11200</v>
      </c>
      <c r="E5607" s="3" t="s">
        <v>11201</v>
      </c>
      <c r="F5607" s="3" t="s">
        <v>2377</v>
      </c>
      <c r="G5607" s="3" t="str">
        <f>IFERROR(__xludf.DUMMYFUNCTION("GOOGLETRANSLATE(D5607,""nb"",""es"")"),"fuego")</f>
        <v>fuego</v>
      </c>
      <c r="H5607" s="3" t="s">
        <v>918</v>
      </c>
      <c r="I5607" s="3" t="s">
        <v>11202</v>
      </c>
      <c r="J5607" s="3" t="s">
        <v>11203</v>
      </c>
    </row>
    <row r="5608">
      <c r="A5608" s="3">
        <v>13.0</v>
      </c>
      <c r="B5608" s="3" t="s">
        <v>11179</v>
      </c>
      <c r="C5608" s="3" t="s">
        <v>11180</v>
      </c>
      <c r="D5608" s="3" t="s">
        <v>11204</v>
      </c>
      <c r="E5608" s="3" t="s">
        <v>11205</v>
      </c>
      <c r="F5608" s="3" t="s">
        <v>6724</v>
      </c>
      <c r="G5608" s="3" t="str">
        <f>IFERROR(__xludf.DUMMYFUNCTION("GOOGLETRANSLATE(D5608,""nb"",""es"")"),"jazz")</f>
        <v>jazz</v>
      </c>
      <c r="H5608" s="3" t="s">
        <v>11204</v>
      </c>
    </row>
    <row r="5609">
      <c r="A5609" s="3">
        <v>14.0</v>
      </c>
      <c r="B5609" s="3" t="s">
        <v>11179</v>
      </c>
      <c r="C5609" s="3" t="s">
        <v>11180</v>
      </c>
      <c r="D5609" s="3" t="s">
        <v>11206</v>
      </c>
      <c r="E5609" s="3" t="s">
        <v>11207</v>
      </c>
      <c r="F5609" s="3" t="s">
        <v>1074</v>
      </c>
      <c r="G5609" s="3" t="str">
        <f>IFERROR(__xludf.DUMMYFUNCTION("GOOGLETRANSLATE(D5609,""nb"",""es"")"),"frío")</f>
        <v>frío</v>
      </c>
      <c r="H5609" s="3" t="s">
        <v>11208</v>
      </c>
      <c r="I5609" s="3" t="s">
        <v>11208</v>
      </c>
      <c r="J5609" s="3" t="s">
        <v>1988</v>
      </c>
    </row>
    <row r="5610">
      <c r="A5610" s="3">
        <v>15.0</v>
      </c>
      <c r="B5610" s="3" t="s">
        <v>11179</v>
      </c>
      <c r="C5610" s="3" t="s">
        <v>11180</v>
      </c>
      <c r="D5610" s="3" t="s">
        <v>1154</v>
      </c>
      <c r="E5610" s="3" t="s">
        <v>11209</v>
      </c>
      <c r="F5610" s="3" t="s">
        <v>1154</v>
      </c>
      <c r="G5610" s="3" t="str">
        <f>IFERROR(__xludf.DUMMYFUNCTION("GOOGLETRANSLATE(D5610,""nb"",""es"")"),"peine")</f>
        <v>peine</v>
      </c>
    </row>
    <row r="5611">
      <c r="A5611" s="3">
        <v>16.0</v>
      </c>
      <c r="B5611" s="3" t="s">
        <v>11179</v>
      </c>
      <c r="C5611" s="3" t="s">
        <v>11180</v>
      </c>
      <c r="D5611" s="3" t="s">
        <v>2691</v>
      </c>
      <c r="E5611" s="3" t="s">
        <v>11210</v>
      </c>
      <c r="F5611" s="3" t="s">
        <v>2691</v>
      </c>
      <c r="G5611" s="3" t="str">
        <f>IFERROR(__xludf.DUMMYFUNCTION("GOOGLETRANSLATE(D5611,""nb"",""es"")"),"cordero")</f>
        <v>cordero</v>
      </c>
      <c r="H5611" s="3" t="s">
        <v>11211</v>
      </c>
    </row>
    <row r="5612">
      <c r="A5612" s="3">
        <v>17.0</v>
      </c>
      <c r="B5612" s="3" t="s">
        <v>11179</v>
      </c>
      <c r="C5612" s="3" t="s">
        <v>11180</v>
      </c>
      <c r="D5612" s="3" t="s">
        <v>10842</v>
      </c>
      <c r="E5612" s="3" t="s">
        <v>11212</v>
      </c>
      <c r="F5612" s="3" t="s">
        <v>2658</v>
      </c>
      <c r="G5612" s="3" t="str">
        <f>IFERROR(__xludf.DUMMYFUNCTION("GOOGLETRANSLATE(D5612,""nb"",""es"")"),"país")</f>
        <v>país</v>
      </c>
      <c r="H5612" s="3" t="s">
        <v>8180</v>
      </c>
      <c r="I5612" s="3" t="s">
        <v>10841</v>
      </c>
      <c r="J5612" s="3" t="s">
        <v>10843</v>
      </c>
      <c r="K5612" s="3" t="s">
        <v>10842</v>
      </c>
      <c r="L5612" s="3" t="s">
        <v>11213</v>
      </c>
      <c r="M5612" s="3" t="s">
        <v>11214</v>
      </c>
      <c r="N5612" s="3" t="s">
        <v>11215</v>
      </c>
      <c r="O5612" s="3" t="s">
        <v>10843</v>
      </c>
      <c r="P5612" s="3" t="s">
        <v>11216</v>
      </c>
      <c r="Q5612" s="3" t="s">
        <v>11217</v>
      </c>
      <c r="R5612" s="3" t="s">
        <v>10842</v>
      </c>
      <c r="S5612" s="3" t="s">
        <v>11218</v>
      </c>
      <c r="T5612" s="3" t="s">
        <v>11219</v>
      </c>
      <c r="U5612" s="3" t="s">
        <v>6162</v>
      </c>
      <c r="V5612" s="3" t="s">
        <v>11220</v>
      </c>
      <c r="W5612" s="3" t="s">
        <v>11221</v>
      </c>
      <c r="X5612" s="3" t="s">
        <v>11222</v>
      </c>
      <c r="Y5612" s="3" t="s">
        <v>10842</v>
      </c>
      <c r="Z5612" s="3" t="s">
        <v>11223</v>
      </c>
    </row>
    <row r="5613">
      <c r="A5613" s="3">
        <v>18.0</v>
      </c>
      <c r="B5613" s="3" t="s">
        <v>11179</v>
      </c>
      <c r="C5613" s="3" t="s">
        <v>11180</v>
      </c>
      <c r="D5613" s="3" t="s">
        <v>11224</v>
      </c>
      <c r="E5613" s="3" t="s">
        <v>11225</v>
      </c>
      <c r="F5613" s="3" t="s">
        <v>2737</v>
      </c>
      <c r="G5613" s="3" t="str">
        <f>IFERROR(__xludf.DUMMYFUNCTION("GOOGLETRANSLATE(D5613,""nb"",""es"")"),"parche")</f>
        <v>parche</v>
      </c>
      <c r="H5613" s="3" t="s">
        <v>6234</v>
      </c>
    </row>
    <row r="5614">
      <c r="A5614" s="3">
        <v>19.0</v>
      </c>
      <c r="B5614" s="3" t="s">
        <v>11179</v>
      </c>
      <c r="C5614" s="3" t="s">
        <v>11180</v>
      </c>
      <c r="D5614" s="3" t="s">
        <v>11226</v>
      </c>
      <c r="E5614" s="3" t="s">
        <v>11227</v>
      </c>
      <c r="F5614" s="3" t="s">
        <v>3282</v>
      </c>
      <c r="G5614" s="3" t="str">
        <f>IFERROR(__xludf.DUMMYFUNCTION("GOOGLETRANSLATE(D5614,""nb"",""es"")"),"hombre")</f>
        <v>hombre</v>
      </c>
      <c r="H5614" s="3" t="s">
        <v>11228</v>
      </c>
      <c r="I5614" s="3" t="s">
        <v>11229</v>
      </c>
      <c r="J5614" s="3" t="s">
        <v>11230</v>
      </c>
      <c r="K5614" s="3" t="s">
        <v>11231</v>
      </c>
      <c r="L5614" s="3" t="s">
        <v>11232</v>
      </c>
      <c r="M5614" s="3" t="s">
        <v>525</v>
      </c>
      <c r="N5614" s="3" t="s">
        <v>3354</v>
      </c>
      <c r="O5614" s="3" t="s">
        <v>3361</v>
      </c>
      <c r="P5614" s="3" t="s">
        <v>11233</v>
      </c>
      <c r="Q5614" s="3" t="s">
        <v>11234</v>
      </c>
      <c r="R5614" s="3" t="s">
        <v>11235</v>
      </c>
      <c r="S5614" s="3" t="s">
        <v>3282</v>
      </c>
      <c r="T5614" s="3" t="s">
        <v>11236</v>
      </c>
      <c r="U5614" s="3" t="s">
        <v>3282</v>
      </c>
    </row>
    <row r="5615">
      <c r="A5615" s="3">
        <v>20.0</v>
      </c>
      <c r="B5615" s="3" t="s">
        <v>11179</v>
      </c>
      <c r="C5615" s="3" t="s">
        <v>11180</v>
      </c>
      <c r="D5615" s="3" t="s">
        <v>11237</v>
      </c>
      <c r="E5615" s="3" t="s">
        <v>11227</v>
      </c>
      <c r="F5615" s="3" t="s">
        <v>3282</v>
      </c>
      <c r="G5615" s="3" t="str">
        <f>IFERROR(__xludf.DUMMYFUNCTION("GOOGLETRANSLATE(D5615,""nb"",""es"")"),"hombre")</f>
        <v>hombre</v>
      </c>
    </row>
    <row r="5616">
      <c r="A5616" s="3">
        <v>21.0</v>
      </c>
      <c r="B5616" s="3" t="s">
        <v>11179</v>
      </c>
      <c r="C5616" s="3" t="s">
        <v>11180</v>
      </c>
      <c r="D5616" s="3" t="s">
        <v>11238</v>
      </c>
      <c r="E5616" s="3" t="s">
        <v>11239</v>
      </c>
      <c r="F5616" s="3" t="s">
        <v>11240</v>
      </c>
      <c r="G5616" s="3" t="str">
        <f>IFERROR(__xludf.DUMMYFUNCTION("GOOGLETRANSLATE(D5616,""nb"",""es"")"),"más")</f>
        <v>más</v>
      </c>
    </row>
    <row r="5617">
      <c r="A5617" s="3">
        <v>22.0</v>
      </c>
      <c r="B5617" s="3" t="s">
        <v>11179</v>
      </c>
      <c r="C5617" s="3" t="s">
        <v>11180</v>
      </c>
      <c r="D5617" s="3" t="s">
        <v>11241</v>
      </c>
      <c r="E5617" s="3" t="s">
        <v>3718</v>
      </c>
      <c r="F5617" s="3" t="s">
        <v>159</v>
      </c>
      <c r="G5617" s="3" t="str">
        <f>IFERROR(__xludf.DUMMYFUNCTION("GOOGLETRANSLATE(D5617,""nb"",""es"")"),"templado")</f>
        <v>templado</v>
      </c>
      <c r="H5617" s="3" t="s">
        <v>11241</v>
      </c>
    </row>
    <row r="5618">
      <c r="A5618" s="3">
        <v>23.0</v>
      </c>
      <c r="B5618" s="3" t="s">
        <v>11179</v>
      </c>
      <c r="C5618" s="3" t="s">
        <v>11180</v>
      </c>
      <c r="D5618" s="3" t="s">
        <v>3813</v>
      </c>
      <c r="E5618" s="3" t="s">
        <v>3812</v>
      </c>
      <c r="F5618" s="3" t="s">
        <v>3813</v>
      </c>
      <c r="G5618" s="3" t="str">
        <f>IFERROR(__xludf.DUMMYFUNCTION("GOOGLETRANSLATE(D5618,""nb"",""es"")"),"mi")</f>
        <v>mi</v>
      </c>
    </row>
    <row r="5619">
      <c r="A5619" s="3">
        <v>24.0</v>
      </c>
      <c r="B5619" s="3" t="s">
        <v>11179</v>
      </c>
      <c r="C5619" s="3" t="s">
        <v>11180</v>
      </c>
      <c r="D5619" s="3" t="s">
        <v>11242</v>
      </c>
      <c r="E5619" s="3" t="s">
        <v>11243</v>
      </c>
      <c r="F5619" s="3" t="s">
        <v>11244</v>
      </c>
      <c r="G5619" s="3" t="str">
        <f>IFERROR(__xludf.DUMMYFUNCTION("GOOGLETRANSLATE(D5619,""nb"",""es"")"),"divertida")</f>
        <v>divertida</v>
      </c>
      <c r="H5619" s="3" t="s">
        <v>11245</v>
      </c>
      <c r="I5619" s="3" t="s">
        <v>11246</v>
      </c>
      <c r="J5619" s="3" t="s">
        <v>11247</v>
      </c>
    </row>
    <row r="5620">
      <c r="A5620" s="3">
        <v>25.0</v>
      </c>
      <c r="B5620" s="3" t="s">
        <v>11179</v>
      </c>
      <c r="C5620" s="3" t="s">
        <v>11180</v>
      </c>
      <c r="D5620" s="3" t="s">
        <v>11248</v>
      </c>
      <c r="E5620" s="3" t="s">
        <v>11249</v>
      </c>
      <c r="F5620" s="3" t="s">
        <v>11250</v>
      </c>
      <c r="G5620" s="3" t="str">
        <f>IFERROR(__xludf.DUMMYFUNCTION("GOOGLETRANSLATE(D5620,""nb"",""es"")"),"demonio")</f>
        <v>demonio</v>
      </c>
    </row>
    <row r="5621">
      <c r="A5621" s="3">
        <v>26.0</v>
      </c>
      <c r="B5621" s="3" t="s">
        <v>11179</v>
      </c>
      <c r="C5621" s="3" t="s">
        <v>11180</v>
      </c>
      <c r="D5621" s="3" t="s">
        <v>11251</v>
      </c>
      <c r="E5621" s="3" t="s">
        <v>173</v>
      </c>
      <c r="F5621" s="3" t="s">
        <v>172</v>
      </c>
      <c r="G5621" s="3" t="str">
        <f>IFERROR(__xludf.DUMMYFUNCTION("GOOGLETRANSLATE(D5621,""nb"",""es"")"),"pasaporte")</f>
        <v>pasaporte</v>
      </c>
      <c r="H5621" s="3" t="s">
        <v>11252</v>
      </c>
    </row>
    <row r="5622">
      <c r="A5622" s="3">
        <v>27.0</v>
      </c>
      <c r="B5622" s="3" t="s">
        <v>11179</v>
      </c>
      <c r="C5622" s="3" t="s">
        <v>11180</v>
      </c>
      <c r="D5622" s="3" t="s">
        <v>11253</v>
      </c>
      <c r="E5622" s="3" t="s">
        <v>11254</v>
      </c>
      <c r="F5622" s="3" t="s">
        <v>2124</v>
      </c>
      <c r="G5622" s="3" t="str">
        <f>IFERROR(__xludf.DUMMYFUNCTION("GOOGLETRANSLATE(D5622,""nb"",""es"")"),"rap")</f>
        <v>rap</v>
      </c>
    </row>
    <row r="5623">
      <c r="A5623" s="3">
        <v>28.0</v>
      </c>
      <c r="B5623" s="3" t="s">
        <v>11179</v>
      </c>
      <c r="C5623" s="3" t="s">
        <v>11180</v>
      </c>
      <c r="D5623" s="3" t="s">
        <v>8933</v>
      </c>
      <c r="E5623" s="3" t="s">
        <v>11255</v>
      </c>
      <c r="F5623" s="3" t="s">
        <v>1419</v>
      </c>
      <c r="G5623" s="3" t="str">
        <f>IFERROR(__xludf.DUMMYFUNCTION("GOOGLETRANSLATE(D5623,""nb"",""es"")"),"arenoso")</f>
        <v>arenoso</v>
      </c>
      <c r="H5623" s="3" t="s">
        <v>8933</v>
      </c>
    </row>
    <row r="5624">
      <c r="A5624" s="3">
        <v>29.0</v>
      </c>
      <c r="B5624" s="3" t="s">
        <v>11179</v>
      </c>
      <c r="C5624" s="3" t="s">
        <v>11180</v>
      </c>
      <c r="D5624" s="3" t="s">
        <v>11256</v>
      </c>
      <c r="E5624" s="3" t="s">
        <v>11255</v>
      </c>
      <c r="F5624" s="3" t="s">
        <v>1419</v>
      </c>
      <c r="G5624" s="3" t="str">
        <f>IFERROR(__xludf.DUMMYFUNCTION("GOOGLETRANSLATE(D5624,""nb"",""es"")"),"como eso")</f>
        <v>como eso</v>
      </c>
      <c r="H5624" s="3" t="s">
        <v>11257</v>
      </c>
      <c r="I5624" s="3" t="s">
        <v>720</v>
      </c>
      <c r="J5624" s="3" t="b">
        <v>1</v>
      </c>
    </row>
    <row r="5625">
      <c r="A5625" s="3">
        <v>30.0</v>
      </c>
      <c r="B5625" s="3" t="s">
        <v>11179</v>
      </c>
      <c r="C5625" s="3" t="s">
        <v>11180</v>
      </c>
      <c r="D5625" s="3" t="s">
        <v>11258</v>
      </c>
      <c r="E5625" s="3" t="s">
        <v>1912</v>
      </c>
      <c r="F5625" s="3" t="s">
        <v>1913</v>
      </c>
      <c r="G5625" s="3" t="str">
        <f>IFERROR(__xludf.DUMMYFUNCTION("GOOGLETRANSLATE(D5625,""nb"",""es"")"),"arenque")</f>
        <v>arenque</v>
      </c>
    </row>
    <row r="5626">
      <c r="A5626" s="3">
        <v>31.0</v>
      </c>
      <c r="B5626" s="3" t="s">
        <v>11179</v>
      </c>
      <c r="C5626" s="3" t="s">
        <v>11180</v>
      </c>
      <c r="D5626" s="3" t="s">
        <v>5828</v>
      </c>
      <c r="E5626" s="3" t="s">
        <v>5827</v>
      </c>
      <c r="F5626" s="3" t="s">
        <v>5828</v>
      </c>
      <c r="G5626" s="3" t="str">
        <f>IFERROR(__xludf.DUMMYFUNCTION("GOOGLETRANSLATE(D5626,""nb"",""es"")"),"su")</f>
        <v>su</v>
      </c>
    </row>
    <row r="5627">
      <c r="A5627" s="3">
        <v>32.0</v>
      </c>
      <c r="B5627" s="3" t="s">
        <v>11179</v>
      </c>
      <c r="C5627" s="3" t="s">
        <v>11180</v>
      </c>
      <c r="D5627" s="3" t="s">
        <v>11259</v>
      </c>
      <c r="E5627" s="3" t="s">
        <v>5827</v>
      </c>
      <c r="F5627" s="3" t="s">
        <v>5828</v>
      </c>
      <c r="G5627" s="3" t="str">
        <f>IFERROR(__xludf.DUMMYFUNCTION("GOOGLETRANSLATE(D5627,""nb"",""es"")"),"mente")</f>
        <v>mente</v>
      </c>
      <c r="H5627" s="3" t="s">
        <v>11260</v>
      </c>
      <c r="I5627" s="3" t="s">
        <v>11261</v>
      </c>
      <c r="J5627" s="3" t="s">
        <v>11262</v>
      </c>
      <c r="K5627" s="3" t="s">
        <v>1274</v>
      </c>
      <c r="L5627" s="3" t="s">
        <v>11263</v>
      </c>
      <c r="M5627" s="3" t="s">
        <v>527</v>
      </c>
      <c r="N5627" s="3" t="s">
        <v>4301</v>
      </c>
    </row>
    <row r="5628">
      <c r="A5628" s="3">
        <v>33.0</v>
      </c>
      <c r="B5628" s="3" t="s">
        <v>11179</v>
      </c>
      <c r="C5628" s="3" t="s">
        <v>11180</v>
      </c>
      <c r="D5628" s="3" t="s">
        <v>11264</v>
      </c>
      <c r="E5628" s="3" t="s">
        <v>11265</v>
      </c>
      <c r="F5628" s="3" t="s">
        <v>11266</v>
      </c>
      <c r="G5628" s="3" t="str">
        <f>IFERROR(__xludf.DUMMYFUNCTION("GOOGLETRANSLATE(D5628,""nb"",""es"")"),"anga")</f>
        <v>anga</v>
      </c>
    </row>
    <row r="5629">
      <c r="A5629" s="3">
        <v>34.0</v>
      </c>
      <c r="B5629" s="3" t="s">
        <v>11179</v>
      </c>
      <c r="C5629" s="3" t="s">
        <v>11180</v>
      </c>
      <c r="D5629" s="3" t="s">
        <v>11267</v>
      </c>
      <c r="E5629" s="3" t="s">
        <v>11268</v>
      </c>
      <c r="F5629" s="3" t="s">
        <v>6197</v>
      </c>
      <c r="G5629" s="3" t="str">
        <f>IFERROR(__xludf.DUMMYFUNCTION("GOOGLETRANSLATE(D5629,""nb"",""es"")"),"Gracias")</f>
        <v>Gracias</v>
      </c>
      <c r="H5629" s="3" t="s">
        <v>11269</v>
      </c>
      <c r="I5629" s="3" t="s">
        <v>11270</v>
      </c>
    </row>
    <row r="5630">
      <c r="A5630" s="3">
        <v>35.0</v>
      </c>
      <c r="B5630" s="3" t="s">
        <v>11179</v>
      </c>
      <c r="C5630" s="3" t="s">
        <v>11180</v>
      </c>
      <c r="D5630" s="3" t="s">
        <v>11271</v>
      </c>
      <c r="E5630" s="3" t="s">
        <v>11272</v>
      </c>
      <c r="F5630" s="3" t="s">
        <v>6327</v>
      </c>
      <c r="G5630" s="3" t="str">
        <f>IFERROR(__xludf.DUMMYFUNCTION("GOOGLETRANSLATE(D5630,""nb"",""es"")"),"número")</f>
        <v>número</v>
      </c>
      <c r="H5630" s="3" t="s">
        <v>11273</v>
      </c>
      <c r="I5630" s="3" t="s">
        <v>323</v>
      </c>
      <c r="J5630" s="3" t="s">
        <v>11274</v>
      </c>
    </row>
    <row r="5631">
      <c r="A5631" s="3">
        <v>36.0</v>
      </c>
      <c r="B5631" s="3" t="s">
        <v>11179</v>
      </c>
      <c r="C5631" s="3" t="s">
        <v>11180</v>
      </c>
      <c r="D5631" s="3" t="s">
        <v>6567</v>
      </c>
      <c r="E5631" s="3" t="s">
        <v>11275</v>
      </c>
      <c r="F5631" s="3" t="s">
        <v>6567</v>
      </c>
      <c r="G5631" s="3" t="str">
        <f>IFERROR(__xludf.DUMMYFUNCTION("GOOGLETRANSLATE(D5631,""nb"",""es"")"),"domar")</f>
        <v>domar</v>
      </c>
    </row>
    <row r="5632">
      <c r="A5632" s="3">
        <v>37.0</v>
      </c>
      <c r="B5632" s="3" t="s">
        <v>11179</v>
      </c>
      <c r="C5632" s="3" t="s">
        <v>11180</v>
      </c>
      <c r="D5632" s="3" t="s">
        <v>11276</v>
      </c>
      <c r="E5632" s="3" t="s">
        <v>11277</v>
      </c>
      <c r="F5632" s="3" t="s">
        <v>6357</v>
      </c>
      <c r="G5632" s="3" t="str">
        <f>IFERROR(__xludf.DUMMYFUNCTION("GOOGLETRANSLATE(D5632,""nb"",""es"")"),"diente")</f>
        <v>diente</v>
      </c>
      <c r="H5632" s="3" t="s">
        <v>11269</v>
      </c>
    </row>
    <row r="5633">
      <c r="A5633" s="3">
        <v>38.0</v>
      </c>
      <c r="B5633" s="3" t="s">
        <v>11179</v>
      </c>
      <c r="C5633" s="3" t="s">
        <v>11180</v>
      </c>
      <c r="D5633" s="3" t="s">
        <v>11278</v>
      </c>
      <c r="E5633" s="3" t="s">
        <v>11279</v>
      </c>
      <c r="F5633" s="3" t="s">
        <v>11278</v>
      </c>
      <c r="G5633" s="3" t="str">
        <f>IFERROR(__xludf.DUMMYFUNCTION("GOOGLETRANSLATE(D5633,""nb"",""es"")"),"a")</f>
        <v>a</v>
      </c>
    </row>
    <row r="5634">
      <c r="A5634" s="3">
        <v>1.0</v>
      </c>
      <c r="B5634" s="3" t="s">
        <v>11280</v>
      </c>
      <c r="C5634" s="3" t="s">
        <v>11281</v>
      </c>
      <c r="D5634" s="3" t="s">
        <v>191</v>
      </c>
      <c r="E5634" s="3" t="s">
        <v>192</v>
      </c>
      <c r="F5634" s="3" t="s">
        <v>191</v>
      </c>
      <c r="G5634" s="3"/>
      <c r="H5634" s="3" t="s">
        <v>198</v>
      </c>
      <c r="I5634" s="3" t="s">
        <v>191</v>
      </c>
    </row>
    <row r="5635">
      <c r="A5635" s="3">
        <v>2.0</v>
      </c>
      <c r="B5635" s="3" t="s">
        <v>11280</v>
      </c>
      <c r="C5635" s="3" t="s">
        <v>11281</v>
      </c>
      <c r="D5635" s="3" t="s">
        <v>11282</v>
      </c>
      <c r="E5635" s="3" t="s">
        <v>11283</v>
      </c>
      <c r="F5635" s="3" t="s">
        <v>11284</v>
      </c>
    </row>
    <row r="5636">
      <c r="A5636" s="3">
        <v>3.0</v>
      </c>
      <c r="B5636" s="3" t="s">
        <v>11280</v>
      </c>
      <c r="C5636" s="3" t="s">
        <v>11281</v>
      </c>
      <c r="D5636" s="3" t="s">
        <v>11285</v>
      </c>
      <c r="E5636" s="3" t="s">
        <v>11286</v>
      </c>
      <c r="F5636" s="3" t="s">
        <v>11287</v>
      </c>
    </row>
    <row r="5637">
      <c r="A5637" s="3">
        <v>4.0</v>
      </c>
      <c r="B5637" s="3" t="s">
        <v>11280</v>
      </c>
      <c r="C5637" s="3" t="s">
        <v>11281</v>
      </c>
      <c r="D5637" s="3" t="s">
        <v>11288</v>
      </c>
      <c r="E5637" s="3" t="s">
        <v>11289</v>
      </c>
      <c r="F5637" s="3" t="s">
        <v>11290</v>
      </c>
      <c r="G5637" s="3"/>
      <c r="H5637" s="3" t="s">
        <v>11291</v>
      </c>
      <c r="I5637" s="3" t="s">
        <v>11292</v>
      </c>
      <c r="J5637" s="3" t="s">
        <v>11293</v>
      </c>
      <c r="K5637" s="3" t="s">
        <v>11294</v>
      </c>
    </row>
    <row r="5638">
      <c r="A5638" s="3">
        <v>5.0</v>
      </c>
      <c r="B5638" s="3" t="s">
        <v>11280</v>
      </c>
      <c r="C5638" s="3" t="s">
        <v>11281</v>
      </c>
      <c r="D5638" s="3" t="s">
        <v>11295</v>
      </c>
      <c r="E5638" s="3" t="s">
        <v>11296</v>
      </c>
      <c r="F5638" s="3" t="s">
        <v>11297</v>
      </c>
    </row>
    <row r="5639">
      <c r="A5639" s="3">
        <v>6.0</v>
      </c>
      <c r="B5639" s="3" t="s">
        <v>11280</v>
      </c>
      <c r="C5639" s="3" t="s">
        <v>11281</v>
      </c>
      <c r="D5639" s="3" t="s">
        <v>11298</v>
      </c>
      <c r="E5639" s="3" t="s">
        <v>11299</v>
      </c>
      <c r="F5639" s="3" t="s">
        <v>11300</v>
      </c>
    </row>
    <row r="5640">
      <c r="A5640" s="3">
        <v>7.0</v>
      </c>
      <c r="B5640" s="3" t="s">
        <v>11280</v>
      </c>
      <c r="C5640" s="3" t="s">
        <v>11281</v>
      </c>
      <c r="D5640" s="3" t="s">
        <v>11301</v>
      </c>
      <c r="E5640" s="3" t="s">
        <v>11302</v>
      </c>
      <c r="F5640" s="3" t="s">
        <v>11303</v>
      </c>
    </row>
    <row r="5641">
      <c r="A5641" s="3">
        <v>8.0</v>
      </c>
      <c r="B5641" s="3" t="s">
        <v>11280</v>
      </c>
      <c r="C5641" s="3" t="s">
        <v>11281</v>
      </c>
      <c r="D5641" s="3" t="s">
        <v>11304</v>
      </c>
      <c r="E5641" s="3" t="s">
        <v>11305</v>
      </c>
      <c r="F5641" s="3" t="s">
        <v>11306</v>
      </c>
    </row>
    <row r="5642">
      <c r="A5642" s="3">
        <v>9.0</v>
      </c>
      <c r="B5642" s="3" t="s">
        <v>11280</v>
      </c>
      <c r="C5642" s="3" t="s">
        <v>11281</v>
      </c>
      <c r="D5642" s="3" t="s">
        <v>11307</v>
      </c>
      <c r="E5642" s="3" t="s">
        <v>11308</v>
      </c>
      <c r="F5642" s="3" t="s">
        <v>11309</v>
      </c>
    </row>
    <row r="5643">
      <c r="A5643" s="3">
        <v>10.0</v>
      </c>
      <c r="B5643" s="3" t="s">
        <v>11280</v>
      </c>
      <c r="C5643" s="3" t="s">
        <v>11281</v>
      </c>
      <c r="D5643" s="3" t="s">
        <v>11310</v>
      </c>
      <c r="E5643" s="3" t="s">
        <v>11311</v>
      </c>
      <c r="F5643" s="3" t="s">
        <v>11312</v>
      </c>
    </row>
    <row r="5644">
      <c r="A5644" s="3">
        <v>11.0</v>
      </c>
      <c r="B5644" s="3" t="s">
        <v>11280</v>
      </c>
      <c r="C5644" s="3" t="s">
        <v>11281</v>
      </c>
      <c r="D5644" s="3" t="s">
        <v>11313</v>
      </c>
      <c r="E5644" s="3" t="s">
        <v>11314</v>
      </c>
      <c r="F5644" s="3" t="s">
        <v>11315</v>
      </c>
      <c r="G5644" s="3"/>
      <c r="H5644" s="3" t="s">
        <v>11316</v>
      </c>
    </row>
    <row r="5645">
      <c r="A5645" s="3">
        <v>12.0</v>
      </c>
      <c r="B5645" s="3" t="s">
        <v>11280</v>
      </c>
      <c r="C5645" s="3" t="s">
        <v>11281</v>
      </c>
      <c r="D5645" s="3" t="s">
        <v>11317</v>
      </c>
      <c r="E5645" s="3" t="s">
        <v>11318</v>
      </c>
      <c r="F5645" s="3" t="s">
        <v>11319</v>
      </c>
    </row>
    <row r="5646">
      <c r="A5646" s="3">
        <v>13.0</v>
      </c>
      <c r="B5646" s="3" t="s">
        <v>11280</v>
      </c>
      <c r="C5646" s="3" t="s">
        <v>11281</v>
      </c>
      <c r="D5646" s="3" t="s">
        <v>11320</v>
      </c>
      <c r="E5646" s="3" t="s">
        <v>11321</v>
      </c>
      <c r="F5646" s="3" t="s">
        <v>11322</v>
      </c>
    </row>
    <row r="5647">
      <c r="A5647" s="3">
        <v>14.0</v>
      </c>
      <c r="B5647" s="3" t="s">
        <v>11280</v>
      </c>
      <c r="C5647" s="3" t="s">
        <v>11281</v>
      </c>
      <c r="D5647" s="3" t="s">
        <v>11323</v>
      </c>
      <c r="E5647" s="3" t="s">
        <v>11324</v>
      </c>
      <c r="F5647" s="3" t="s">
        <v>11325</v>
      </c>
    </row>
    <row r="5648">
      <c r="A5648" s="3">
        <v>15.0</v>
      </c>
      <c r="B5648" s="3" t="s">
        <v>11280</v>
      </c>
      <c r="C5648" s="3" t="s">
        <v>11281</v>
      </c>
      <c r="D5648" s="3" t="s">
        <v>11326</v>
      </c>
      <c r="E5648" s="3" t="s">
        <v>11327</v>
      </c>
      <c r="F5648" s="3" t="s">
        <v>11328</v>
      </c>
    </row>
    <row r="5649">
      <c r="A5649" s="3">
        <v>16.0</v>
      </c>
      <c r="B5649" s="3" t="s">
        <v>11280</v>
      </c>
      <c r="C5649" s="3" t="s">
        <v>11281</v>
      </c>
      <c r="D5649" s="3" t="s">
        <v>11329</v>
      </c>
      <c r="E5649" s="3" t="s">
        <v>11330</v>
      </c>
      <c r="F5649" s="3" t="s">
        <v>11331</v>
      </c>
    </row>
    <row r="5650">
      <c r="A5650" s="3">
        <v>17.0</v>
      </c>
      <c r="B5650" s="3" t="s">
        <v>11280</v>
      </c>
      <c r="C5650" s="3" t="s">
        <v>11281</v>
      </c>
      <c r="D5650" s="3" t="s">
        <v>11332</v>
      </c>
      <c r="E5650" s="3" t="s">
        <v>11333</v>
      </c>
      <c r="F5650" s="3" t="s">
        <v>11334</v>
      </c>
    </row>
    <row r="5651">
      <c r="A5651" s="3">
        <v>18.0</v>
      </c>
      <c r="B5651" s="3" t="s">
        <v>11280</v>
      </c>
      <c r="C5651" s="3" t="s">
        <v>11281</v>
      </c>
      <c r="D5651" s="3" t="s">
        <v>11335</v>
      </c>
      <c r="E5651" s="3" t="s">
        <v>11336</v>
      </c>
      <c r="F5651" s="3" t="s">
        <v>11337</v>
      </c>
    </row>
    <row r="5652">
      <c r="A5652" s="3">
        <v>19.0</v>
      </c>
      <c r="B5652" s="3" t="s">
        <v>11280</v>
      </c>
      <c r="C5652" s="3" t="s">
        <v>11281</v>
      </c>
      <c r="D5652" s="3" t="s">
        <v>11338</v>
      </c>
      <c r="E5652" s="3" t="s">
        <v>11339</v>
      </c>
      <c r="F5652" s="3" t="s">
        <v>11340</v>
      </c>
    </row>
    <row r="5653">
      <c r="A5653" s="3">
        <v>20.0</v>
      </c>
      <c r="B5653" s="3" t="s">
        <v>11280</v>
      </c>
      <c r="C5653" s="3" t="s">
        <v>11281</v>
      </c>
      <c r="D5653" s="3" t="s">
        <v>11341</v>
      </c>
      <c r="E5653" s="3" t="s">
        <v>11342</v>
      </c>
      <c r="F5653" s="3" t="s">
        <v>11343</v>
      </c>
    </row>
    <row r="5654">
      <c r="A5654" s="3">
        <v>21.0</v>
      </c>
      <c r="B5654" s="3" t="s">
        <v>11280</v>
      </c>
      <c r="C5654" s="3" t="s">
        <v>11281</v>
      </c>
      <c r="D5654" s="3" t="s">
        <v>11344</v>
      </c>
      <c r="E5654" s="3" t="s">
        <v>11345</v>
      </c>
      <c r="F5654" s="3" t="s">
        <v>11346</v>
      </c>
    </row>
    <row r="5655">
      <c r="A5655" s="3">
        <v>22.0</v>
      </c>
      <c r="B5655" s="3" t="s">
        <v>11280</v>
      </c>
      <c r="C5655" s="3" t="s">
        <v>11281</v>
      </c>
      <c r="D5655" s="3" t="s">
        <v>11347</v>
      </c>
      <c r="E5655" s="3" t="s">
        <v>11348</v>
      </c>
      <c r="F5655" s="3" t="s">
        <v>11349</v>
      </c>
    </row>
    <row r="5656">
      <c r="A5656" s="3">
        <v>23.0</v>
      </c>
      <c r="B5656" s="3" t="s">
        <v>11280</v>
      </c>
      <c r="C5656" s="3" t="s">
        <v>11281</v>
      </c>
      <c r="D5656" s="3" t="s">
        <v>11350</v>
      </c>
      <c r="E5656" s="3" t="s">
        <v>11351</v>
      </c>
      <c r="F5656" s="3" t="s">
        <v>11352</v>
      </c>
    </row>
    <row r="5657">
      <c r="A5657" s="3">
        <v>24.0</v>
      </c>
      <c r="B5657" s="3" t="s">
        <v>11280</v>
      </c>
      <c r="C5657" s="3" t="s">
        <v>11281</v>
      </c>
      <c r="D5657" s="3" t="s">
        <v>11353</v>
      </c>
      <c r="E5657" s="3" t="s">
        <v>11354</v>
      </c>
      <c r="F5657" s="3" t="s">
        <v>11355</v>
      </c>
    </row>
    <row r="5658">
      <c r="A5658" s="3">
        <v>25.0</v>
      </c>
      <c r="B5658" s="3" t="s">
        <v>11280</v>
      </c>
      <c r="C5658" s="3" t="s">
        <v>11281</v>
      </c>
      <c r="D5658" s="3" t="s">
        <v>11356</v>
      </c>
      <c r="E5658" s="3" t="s">
        <v>11357</v>
      </c>
      <c r="F5658" s="3" t="s">
        <v>11358</v>
      </c>
    </row>
    <row r="5659">
      <c r="A5659" s="3">
        <v>26.0</v>
      </c>
      <c r="B5659" s="3" t="s">
        <v>11280</v>
      </c>
      <c r="C5659" s="3" t="s">
        <v>11281</v>
      </c>
      <c r="D5659" s="3" t="s">
        <v>11359</v>
      </c>
      <c r="E5659" s="3" t="s">
        <v>11360</v>
      </c>
      <c r="F5659" s="3" t="s">
        <v>11361</v>
      </c>
    </row>
    <row r="5660">
      <c r="A5660" s="3">
        <v>27.0</v>
      </c>
      <c r="B5660" s="3" t="s">
        <v>11280</v>
      </c>
      <c r="C5660" s="3" t="s">
        <v>11281</v>
      </c>
      <c r="D5660" s="3" t="s">
        <v>11362</v>
      </c>
      <c r="E5660" s="3" t="s">
        <v>11363</v>
      </c>
      <c r="F5660" s="3" t="s">
        <v>11364</v>
      </c>
    </row>
    <row r="5661">
      <c r="A5661" s="3">
        <v>28.0</v>
      </c>
      <c r="B5661" s="3" t="s">
        <v>11280</v>
      </c>
      <c r="C5661" s="3" t="s">
        <v>11281</v>
      </c>
      <c r="D5661" s="3" t="s">
        <v>11365</v>
      </c>
      <c r="E5661" s="3" t="s">
        <v>11366</v>
      </c>
      <c r="F5661" s="3" t="s">
        <v>11367</v>
      </c>
    </row>
    <row r="5662">
      <c r="A5662" s="3">
        <v>29.0</v>
      </c>
      <c r="B5662" s="3" t="s">
        <v>11280</v>
      </c>
      <c r="C5662" s="3" t="s">
        <v>11281</v>
      </c>
      <c r="D5662" s="3" t="s">
        <v>11368</v>
      </c>
      <c r="E5662" s="3" t="s">
        <v>11369</v>
      </c>
      <c r="F5662" s="3" t="s">
        <v>11370</v>
      </c>
    </row>
    <row r="5663">
      <c r="A5663" s="3">
        <v>30.0</v>
      </c>
      <c r="B5663" s="3" t="s">
        <v>11280</v>
      </c>
      <c r="C5663" s="3" t="s">
        <v>11281</v>
      </c>
      <c r="D5663" s="3" t="s">
        <v>11371</v>
      </c>
      <c r="E5663" s="3" t="s">
        <v>11372</v>
      </c>
      <c r="F5663" s="3" t="s">
        <v>11373</v>
      </c>
    </row>
    <row r="5664">
      <c r="A5664" s="3">
        <v>31.0</v>
      </c>
      <c r="B5664" s="3" t="s">
        <v>11280</v>
      </c>
      <c r="C5664" s="3" t="s">
        <v>11281</v>
      </c>
      <c r="D5664" s="3" t="s">
        <v>11374</v>
      </c>
      <c r="E5664" s="3" t="s">
        <v>11375</v>
      </c>
      <c r="F5664" s="3" t="s">
        <v>11376</v>
      </c>
    </row>
    <row r="5665">
      <c r="A5665" s="3">
        <v>32.0</v>
      </c>
      <c r="B5665" s="3" t="s">
        <v>11280</v>
      </c>
      <c r="C5665" s="3" t="s">
        <v>11281</v>
      </c>
      <c r="D5665" s="3" t="s">
        <v>11377</v>
      </c>
      <c r="E5665" s="3" t="s">
        <v>11378</v>
      </c>
      <c r="F5665" s="3" t="s">
        <v>11379</v>
      </c>
    </row>
    <row r="5666">
      <c r="A5666" s="3">
        <v>33.0</v>
      </c>
      <c r="B5666" s="3" t="s">
        <v>11280</v>
      </c>
      <c r="C5666" s="3" t="s">
        <v>11281</v>
      </c>
      <c r="D5666" s="3" t="s">
        <v>11380</v>
      </c>
      <c r="E5666" s="3" t="s">
        <v>11381</v>
      </c>
      <c r="F5666" s="3" t="s">
        <v>11382</v>
      </c>
    </row>
    <row r="5667">
      <c r="A5667" s="3">
        <v>34.0</v>
      </c>
      <c r="B5667" s="3" t="s">
        <v>11280</v>
      </c>
      <c r="C5667" s="3" t="s">
        <v>11281</v>
      </c>
      <c r="D5667" s="3" t="s">
        <v>11383</v>
      </c>
      <c r="E5667" s="3" t="s">
        <v>11384</v>
      </c>
      <c r="F5667" s="3" t="s">
        <v>11385</v>
      </c>
    </row>
    <row r="5668">
      <c r="A5668" s="3">
        <v>35.0</v>
      </c>
      <c r="B5668" s="3" t="s">
        <v>11280</v>
      </c>
      <c r="C5668" s="3" t="s">
        <v>11281</v>
      </c>
      <c r="D5668" s="3" t="s">
        <v>11386</v>
      </c>
      <c r="E5668" s="3" t="s">
        <v>11387</v>
      </c>
      <c r="F5668" s="3" t="s">
        <v>11388</v>
      </c>
    </row>
    <row r="5669">
      <c r="A5669" s="3">
        <v>36.0</v>
      </c>
      <c r="B5669" s="3" t="s">
        <v>11280</v>
      </c>
      <c r="C5669" s="3" t="s">
        <v>11281</v>
      </c>
      <c r="D5669" s="3" t="s">
        <v>11389</v>
      </c>
      <c r="E5669" s="3" t="s">
        <v>11390</v>
      </c>
      <c r="F5669" s="3" t="s">
        <v>11391</v>
      </c>
    </row>
    <row r="5670">
      <c r="A5670" s="3">
        <v>37.0</v>
      </c>
      <c r="B5670" s="3" t="s">
        <v>11280</v>
      </c>
      <c r="C5670" s="3" t="s">
        <v>11281</v>
      </c>
      <c r="D5670" s="3" t="s">
        <v>11392</v>
      </c>
      <c r="E5670" s="3" t="s">
        <v>11393</v>
      </c>
      <c r="F5670" s="3" t="s">
        <v>11394</v>
      </c>
    </row>
    <row r="5671">
      <c r="A5671" s="3">
        <v>38.0</v>
      </c>
      <c r="B5671" s="3" t="s">
        <v>11280</v>
      </c>
      <c r="C5671" s="3" t="s">
        <v>11281</v>
      </c>
      <c r="D5671" s="3" t="s">
        <v>11395</v>
      </c>
      <c r="E5671" s="3" t="s">
        <v>11396</v>
      </c>
      <c r="F5671" s="3" t="s">
        <v>11397</v>
      </c>
    </row>
    <row r="5672">
      <c r="A5672" s="3">
        <v>39.0</v>
      </c>
      <c r="B5672" s="3" t="s">
        <v>11280</v>
      </c>
      <c r="C5672" s="3" t="s">
        <v>11281</v>
      </c>
      <c r="D5672" s="3" t="s">
        <v>11398</v>
      </c>
      <c r="E5672" s="3" t="s">
        <v>11399</v>
      </c>
      <c r="F5672" s="3" t="s">
        <v>11400</v>
      </c>
    </row>
    <row r="5673">
      <c r="A5673" s="3">
        <v>40.0</v>
      </c>
      <c r="B5673" s="3" t="s">
        <v>11280</v>
      </c>
      <c r="C5673" s="3" t="s">
        <v>11281</v>
      </c>
      <c r="D5673" s="3" t="s">
        <v>11401</v>
      </c>
      <c r="E5673" s="3" t="s">
        <v>11402</v>
      </c>
      <c r="F5673" s="3" t="s">
        <v>11403</v>
      </c>
    </row>
    <row r="5674">
      <c r="A5674" s="3">
        <v>41.0</v>
      </c>
      <c r="B5674" s="3" t="s">
        <v>11280</v>
      </c>
      <c r="C5674" s="3" t="s">
        <v>11281</v>
      </c>
      <c r="D5674" s="3" t="s">
        <v>11404</v>
      </c>
      <c r="E5674" s="3" t="s">
        <v>11405</v>
      </c>
      <c r="F5674" s="3" t="s">
        <v>11406</v>
      </c>
    </row>
    <row r="5675">
      <c r="A5675" s="3">
        <v>42.0</v>
      </c>
      <c r="B5675" s="3" t="s">
        <v>11280</v>
      </c>
      <c r="C5675" s="3" t="s">
        <v>11281</v>
      </c>
      <c r="D5675" s="3" t="s">
        <v>11407</v>
      </c>
      <c r="E5675" s="3" t="s">
        <v>11408</v>
      </c>
      <c r="F5675" s="3" t="s">
        <v>11409</v>
      </c>
    </row>
    <row r="5676">
      <c r="A5676" s="3">
        <v>43.0</v>
      </c>
      <c r="B5676" s="3" t="s">
        <v>11280</v>
      </c>
      <c r="C5676" s="3" t="s">
        <v>11281</v>
      </c>
      <c r="D5676" s="3" t="s">
        <v>11410</v>
      </c>
      <c r="E5676" s="3" t="s">
        <v>11411</v>
      </c>
      <c r="F5676" s="3" t="s">
        <v>11412</v>
      </c>
    </row>
    <row r="5677">
      <c r="A5677" s="3">
        <v>44.0</v>
      </c>
      <c r="B5677" s="3" t="s">
        <v>11280</v>
      </c>
      <c r="C5677" s="3" t="s">
        <v>11281</v>
      </c>
      <c r="D5677" s="3" t="s">
        <v>11413</v>
      </c>
      <c r="E5677" s="3" t="s">
        <v>11414</v>
      </c>
      <c r="F5677" s="3" t="s">
        <v>11415</v>
      </c>
    </row>
    <row r="5678">
      <c r="A5678" s="3">
        <v>45.0</v>
      </c>
      <c r="B5678" s="3" t="s">
        <v>11280</v>
      </c>
      <c r="C5678" s="3" t="s">
        <v>11281</v>
      </c>
      <c r="D5678" s="3" t="s">
        <v>11416</v>
      </c>
      <c r="E5678" s="3" t="s">
        <v>11417</v>
      </c>
      <c r="F5678" s="3" t="s">
        <v>11418</v>
      </c>
    </row>
    <row r="5679">
      <c r="A5679" s="3">
        <v>46.0</v>
      </c>
      <c r="B5679" s="3" t="s">
        <v>11280</v>
      </c>
      <c r="C5679" s="3" t="s">
        <v>11281</v>
      </c>
      <c r="D5679" s="3" t="s">
        <v>11419</v>
      </c>
      <c r="E5679" s="3" t="s">
        <v>11420</v>
      </c>
      <c r="F5679" s="3" t="s">
        <v>11421</v>
      </c>
    </row>
    <row r="5680">
      <c r="A5680" s="3">
        <v>47.0</v>
      </c>
      <c r="B5680" s="3" t="s">
        <v>11280</v>
      </c>
      <c r="C5680" s="3" t="s">
        <v>11281</v>
      </c>
      <c r="D5680" s="3" t="s">
        <v>11422</v>
      </c>
      <c r="E5680" s="3" t="s">
        <v>11423</v>
      </c>
      <c r="F5680" s="3" t="s">
        <v>11424</v>
      </c>
    </row>
    <row r="5681">
      <c r="A5681" s="3">
        <v>48.0</v>
      </c>
      <c r="B5681" s="3" t="s">
        <v>11280</v>
      </c>
      <c r="C5681" s="3" t="s">
        <v>11281</v>
      </c>
      <c r="D5681" s="3" t="s">
        <v>11425</v>
      </c>
      <c r="E5681" s="3" t="s">
        <v>11426</v>
      </c>
      <c r="F5681" s="3" t="s">
        <v>11427</v>
      </c>
    </row>
    <row r="5682">
      <c r="A5682" s="3">
        <v>49.0</v>
      </c>
      <c r="B5682" s="3" t="s">
        <v>11280</v>
      </c>
      <c r="C5682" s="3" t="s">
        <v>11281</v>
      </c>
      <c r="D5682" s="3" t="s">
        <v>11428</v>
      </c>
      <c r="E5682" s="3" t="s">
        <v>11429</v>
      </c>
      <c r="F5682" s="3" t="s">
        <v>11430</v>
      </c>
    </row>
    <row r="5683">
      <c r="A5683" s="3">
        <v>50.0</v>
      </c>
      <c r="B5683" s="3" t="s">
        <v>11280</v>
      </c>
      <c r="C5683" s="3" t="s">
        <v>11281</v>
      </c>
      <c r="D5683" s="3" t="s">
        <v>11431</v>
      </c>
      <c r="E5683" s="3" t="s">
        <v>11432</v>
      </c>
      <c r="F5683" s="3" t="s">
        <v>11433</v>
      </c>
    </row>
    <row r="5684">
      <c r="A5684" s="3">
        <v>51.0</v>
      </c>
      <c r="B5684" s="3" t="s">
        <v>11280</v>
      </c>
      <c r="C5684" s="3" t="s">
        <v>11281</v>
      </c>
      <c r="D5684" s="3" t="s">
        <v>11434</v>
      </c>
      <c r="E5684" s="3" t="s">
        <v>11435</v>
      </c>
      <c r="F5684" s="3" t="s">
        <v>11436</v>
      </c>
    </row>
    <row r="5685">
      <c r="A5685" s="3">
        <v>52.0</v>
      </c>
      <c r="B5685" s="3" t="s">
        <v>11280</v>
      </c>
      <c r="C5685" s="3" t="s">
        <v>11281</v>
      </c>
      <c r="D5685" s="3" t="s">
        <v>11437</v>
      </c>
      <c r="E5685" s="3" t="s">
        <v>11438</v>
      </c>
      <c r="F5685" s="3" t="s">
        <v>11439</v>
      </c>
    </row>
    <row r="5686">
      <c r="A5686" s="3">
        <v>53.0</v>
      </c>
      <c r="B5686" s="3" t="s">
        <v>11280</v>
      </c>
      <c r="C5686" s="3" t="s">
        <v>11281</v>
      </c>
      <c r="D5686" s="3" t="s">
        <v>11440</v>
      </c>
      <c r="E5686" s="3" t="s">
        <v>11441</v>
      </c>
      <c r="F5686" s="3" t="s">
        <v>11442</v>
      </c>
    </row>
    <row r="5687">
      <c r="A5687" s="3">
        <v>54.0</v>
      </c>
      <c r="B5687" s="3" t="s">
        <v>11280</v>
      </c>
      <c r="C5687" s="3" t="s">
        <v>11281</v>
      </c>
      <c r="D5687" s="3" t="s">
        <v>11443</v>
      </c>
      <c r="E5687" s="3" t="s">
        <v>11444</v>
      </c>
      <c r="F5687" s="3" t="s">
        <v>11445</v>
      </c>
    </row>
    <row r="5688">
      <c r="A5688" s="3">
        <v>55.0</v>
      </c>
      <c r="B5688" s="3" t="s">
        <v>11280</v>
      </c>
      <c r="C5688" s="3" t="s">
        <v>11281</v>
      </c>
      <c r="D5688" s="3" t="s">
        <v>11446</v>
      </c>
      <c r="E5688" s="3" t="s">
        <v>11447</v>
      </c>
      <c r="F5688" s="3" t="s">
        <v>11448</v>
      </c>
    </row>
    <row r="5689">
      <c r="A5689" s="3">
        <v>56.0</v>
      </c>
      <c r="B5689" s="3" t="s">
        <v>11280</v>
      </c>
      <c r="C5689" s="3" t="s">
        <v>11281</v>
      </c>
      <c r="D5689" s="3" t="s">
        <v>11449</v>
      </c>
      <c r="E5689" s="3" t="s">
        <v>11450</v>
      </c>
      <c r="F5689" s="3" t="s">
        <v>11451</v>
      </c>
    </row>
    <row r="5690">
      <c r="A5690" s="3">
        <v>57.0</v>
      </c>
      <c r="B5690" s="3" t="s">
        <v>11280</v>
      </c>
      <c r="C5690" s="3" t="s">
        <v>11281</v>
      </c>
      <c r="D5690" s="3" t="s">
        <v>11452</v>
      </c>
      <c r="E5690" s="3" t="s">
        <v>11453</v>
      </c>
      <c r="F5690" s="3" t="s">
        <v>11454</v>
      </c>
    </row>
    <row r="5691">
      <c r="A5691" s="3">
        <v>58.0</v>
      </c>
      <c r="B5691" s="3" t="s">
        <v>11280</v>
      </c>
      <c r="C5691" s="3" t="s">
        <v>11281</v>
      </c>
      <c r="D5691" s="3" t="s">
        <v>11455</v>
      </c>
      <c r="E5691" s="3" t="s">
        <v>11456</v>
      </c>
      <c r="F5691" s="3" t="s">
        <v>11457</v>
      </c>
    </row>
    <row r="5692">
      <c r="A5692" s="3">
        <v>59.0</v>
      </c>
      <c r="B5692" s="3" t="s">
        <v>11280</v>
      </c>
      <c r="C5692" s="3" t="s">
        <v>11281</v>
      </c>
      <c r="D5692" s="3" t="s">
        <v>11458</v>
      </c>
      <c r="E5692" s="3" t="s">
        <v>11459</v>
      </c>
      <c r="F5692" s="3" t="s">
        <v>11460</v>
      </c>
    </row>
    <row r="5693">
      <c r="A5693" s="3">
        <v>60.0</v>
      </c>
      <c r="B5693" s="3" t="s">
        <v>11280</v>
      </c>
      <c r="C5693" s="3" t="s">
        <v>11281</v>
      </c>
      <c r="D5693" s="3" t="s">
        <v>11461</v>
      </c>
      <c r="E5693" s="3" t="s">
        <v>11462</v>
      </c>
      <c r="F5693" s="3" t="s">
        <v>11463</v>
      </c>
      <c r="G5693" s="3"/>
      <c r="H5693" s="3" t="s">
        <v>11464</v>
      </c>
      <c r="I5693" s="3" t="s">
        <v>11465</v>
      </c>
      <c r="J5693" s="3" t="s">
        <v>11466</v>
      </c>
      <c r="K5693" s="3" t="s">
        <v>11467</v>
      </c>
      <c r="L5693" s="3" t="s">
        <v>11468</v>
      </c>
      <c r="M5693" s="3" t="s">
        <v>11469</v>
      </c>
      <c r="N5693" s="3" t="s">
        <v>11470</v>
      </c>
    </row>
    <row r="5694">
      <c r="A5694" s="3">
        <v>61.0</v>
      </c>
      <c r="B5694" s="3" t="s">
        <v>11280</v>
      </c>
      <c r="C5694" s="3" t="s">
        <v>11281</v>
      </c>
      <c r="D5694" s="3" t="s">
        <v>11471</v>
      </c>
      <c r="E5694" s="3" t="s">
        <v>11472</v>
      </c>
      <c r="F5694" s="3" t="s">
        <v>11473</v>
      </c>
    </row>
    <row r="5695">
      <c r="A5695" s="3">
        <v>62.0</v>
      </c>
      <c r="B5695" s="3" t="s">
        <v>11280</v>
      </c>
      <c r="C5695" s="3" t="s">
        <v>11281</v>
      </c>
      <c r="D5695" s="3" t="s">
        <v>11474</v>
      </c>
      <c r="E5695" s="3" t="s">
        <v>11475</v>
      </c>
      <c r="F5695" s="3" t="s">
        <v>11476</v>
      </c>
    </row>
    <row r="5696">
      <c r="A5696" s="3">
        <v>63.0</v>
      </c>
      <c r="B5696" s="3" t="s">
        <v>11280</v>
      </c>
      <c r="C5696" s="3" t="s">
        <v>11281</v>
      </c>
      <c r="D5696" s="3" t="s">
        <v>11477</v>
      </c>
      <c r="E5696" s="3" t="s">
        <v>11478</v>
      </c>
      <c r="F5696" s="3" t="s">
        <v>11479</v>
      </c>
    </row>
    <row r="5697">
      <c r="A5697" s="3">
        <v>64.0</v>
      </c>
      <c r="B5697" s="3" t="s">
        <v>11280</v>
      </c>
      <c r="C5697" s="3" t="s">
        <v>11281</v>
      </c>
      <c r="D5697" s="3" t="s">
        <v>11480</v>
      </c>
      <c r="E5697" s="3" t="s">
        <v>11481</v>
      </c>
      <c r="F5697" s="3" t="s">
        <v>11482</v>
      </c>
    </row>
    <row r="5698">
      <c r="A5698" s="3">
        <v>65.0</v>
      </c>
      <c r="B5698" s="3" t="s">
        <v>11280</v>
      </c>
      <c r="C5698" s="3" t="s">
        <v>11281</v>
      </c>
      <c r="D5698" s="3" t="s">
        <v>11483</v>
      </c>
      <c r="E5698" s="3" t="s">
        <v>11484</v>
      </c>
      <c r="F5698" s="3" t="s">
        <v>11485</v>
      </c>
    </row>
    <row r="5699">
      <c r="A5699" s="3">
        <v>66.0</v>
      </c>
      <c r="B5699" s="3" t="s">
        <v>11280</v>
      </c>
      <c r="C5699" s="3" t="s">
        <v>11281</v>
      </c>
      <c r="D5699" s="3" t="s">
        <v>11486</v>
      </c>
      <c r="E5699" s="3" t="s">
        <v>11487</v>
      </c>
      <c r="F5699" s="3" t="s">
        <v>11488</v>
      </c>
    </row>
    <row r="5700">
      <c r="A5700" s="3">
        <v>67.0</v>
      </c>
      <c r="B5700" s="3" t="s">
        <v>11280</v>
      </c>
      <c r="C5700" s="3" t="s">
        <v>11281</v>
      </c>
      <c r="D5700" s="3" t="s">
        <v>11489</v>
      </c>
      <c r="E5700" s="3" t="s">
        <v>11490</v>
      </c>
      <c r="F5700" s="3" t="s">
        <v>11491</v>
      </c>
    </row>
    <row r="5701">
      <c r="A5701" s="3">
        <v>68.0</v>
      </c>
      <c r="B5701" s="3" t="s">
        <v>11280</v>
      </c>
      <c r="C5701" s="3" t="s">
        <v>11281</v>
      </c>
      <c r="D5701" s="3" t="s">
        <v>11492</v>
      </c>
      <c r="E5701" s="3" t="s">
        <v>11493</v>
      </c>
      <c r="F5701" s="3" t="s">
        <v>11494</v>
      </c>
    </row>
    <row r="5702">
      <c r="A5702" s="3">
        <v>69.0</v>
      </c>
      <c r="B5702" s="3" t="s">
        <v>11280</v>
      </c>
      <c r="C5702" s="3" t="s">
        <v>11281</v>
      </c>
      <c r="D5702" s="3" t="s">
        <v>11495</v>
      </c>
      <c r="E5702" s="3" t="s">
        <v>11496</v>
      </c>
      <c r="F5702" s="3" t="s">
        <v>11497</v>
      </c>
    </row>
    <row r="5703">
      <c r="A5703" s="3">
        <v>70.0</v>
      </c>
      <c r="B5703" s="3" t="s">
        <v>11280</v>
      </c>
      <c r="C5703" s="3" t="s">
        <v>11281</v>
      </c>
      <c r="D5703" s="3" t="s">
        <v>11498</v>
      </c>
      <c r="E5703" s="3" t="s">
        <v>11499</v>
      </c>
      <c r="F5703" s="3" t="s">
        <v>11500</v>
      </c>
    </row>
    <row r="5704">
      <c r="A5704" s="3">
        <v>71.0</v>
      </c>
      <c r="B5704" s="3" t="s">
        <v>11280</v>
      </c>
      <c r="C5704" s="3" t="s">
        <v>11281</v>
      </c>
      <c r="D5704" s="3" t="s">
        <v>11501</v>
      </c>
      <c r="E5704" s="3" t="s">
        <v>11502</v>
      </c>
      <c r="F5704" s="3" t="s">
        <v>11503</v>
      </c>
    </row>
    <row r="5705">
      <c r="A5705" s="3">
        <v>72.0</v>
      </c>
      <c r="B5705" s="3" t="s">
        <v>11280</v>
      </c>
      <c r="C5705" s="3" t="s">
        <v>11281</v>
      </c>
      <c r="D5705" s="3" t="s">
        <v>11504</v>
      </c>
      <c r="E5705" s="3" t="s">
        <v>11505</v>
      </c>
      <c r="F5705" s="3" t="s">
        <v>11506</v>
      </c>
      <c r="G5705" s="3"/>
      <c r="H5705" s="3" t="s">
        <v>11507</v>
      </c>
    </row>
    <row r="5706">
      <c r="A5706" s="3">
        <v>73.0</v>
      </c>
      <c r="B5706" s="3" t="s">
        <v>11280</v>
      </c>
      <c r="C5706" s="3" t="s">
        <v>11281</v>
      </c>
      <c r="D5706" s="3" t="s">
        <v>11508</v>
      </c>
      <c r="E5706" s="3" t="s">
        <v>11509</v>
      </c>
      <c r="F5706" s="3" t="s">
        <v>11510</v>
      </c>
    </row>
    <row r="5707">
      <c r="A5707" s="3">
        <v>74.0</v>
      </c>
      <c r="B5707" s="3" t="s">
        <v>11280</v>
      </c>
      <c r="C5707" s="3" t="s">
        <v>11281</v>
      </c>
      <c r="D5707" s="3" t="s">
        <v>11511</v>
      </c>
      <c r="E5707" s="3" t="s">
        <v>11512</v>
      </c>
      <c r="F5707" s="3" t="s">
        <v>11513</v>
      </c>
    </row>
    <row r="5708">
      <c r="A5708" s="3">
        <v>75.0</v>
      </c>
      <c r="B5708" s="3" t="s">
        <v>11280</v>
      </c>
      <c r="C5708" s="3" t="s">
        <v>11281</v>
      </c>
      <c r="D5708" s="3" t="s">
        <v>11514</v>
      </c>
      <c r="E5708" s="3" t="s">
        <v>11515</v>
      </c>
      <c r="F5708" s="3" t="s">
        <v>11516</v>
      </c>
    </row>
    <row r="5709">
      <c r="A5709" s="3">
        <v>76.0</v>
      </c>
      <c r="B5709" s="3" t="s">
        <v>11280</v>
      </c>
      <c r="C5709" s="3" t="s">
        <v>11281</v>
      </c>
      <c r="D5709" s="3" t="s">
        <v>11517</v>
      </c>
      <c r="E5709" s="3" t="s">
        <v>11518</v>
      </c>
      <c r="F5709" s="3" t="s">
        <v>11519</v>
      </c>
    </row>
    <row r="5710">
      <c r="A5710" s="3">
        <v>77.0</v>
      </c>
      <c r="B5710" s="3" t="s">
        <v>11280</v>
      </c>
      <c r="C5710" s="3" t="s">
        <v>11281</v>
      </c>
      <c r="D5710" s="3" t="s">
        <v>11520</v>
      </c>
      <c r="E5710" s="3" t="s">
        <v>11521</v>
      </c>
      <c r="F5710" s="3" t="s">
        <v>11522</v>
      </c>
    </row>
    <row r="5711">
      <c r="A5711" s="3">
        <v>78.0</v>
      </c>
      <c r="B5711" s="3" t="s">
        <v>11280</v>
      </c>
      <c r="C5711" s="3" t="s">
        <v>11281</v>
      </c>
      <c r="D5711" s="3" t="s">
        <v>11523</v>
      </c>
      <c r="E5711" s="3" t="s">
        <v>11524</v>
      </c>
      <c r="F5711" s="3" t="s">
        <v>11525</v>
      </c>
    </row>
    <row r="5712">
      <c r="A5712" s="3">
        <v>79.0</v>
      </c>
      <c r="B5712" s="3" t="s">
        <v>11280</v>
      </c>
      <c r="C5712" s="3" t="s">
        <v>11281</v>
      </c>
      <c r="D5712" s="3" t="s">
        <v>11526</v>
      </c>
      <c r="E5712" s="3" t="s">
        <v>11527</v>
      </c>
      <c r="F5712" s="3" t="s">
        <v>11528</v>
      </c>
    </row>
    <row r="5713">
      <c r="A5713" s="3">
        <v>80.0</v>
      </c>
      <c r="B5713" s="3" t="s">
        <v>11280</v>
      </c>
      <c r="C5713" s="3" t="s">
        <v>11281</v>
      </c>
      <c r="D5713" s="3" t="s">
        <v>11529</v>
      </c>
      <c r="E5713" s="3" t="s">
        <v>11530</v>
      </c>
      <c r="F5713" s="3" t="s">
        <v>11531</v>
      </c>
    </row>
    <row r="5714">
      <c r="A5714" s="3">
        <v>81.0</v>
      </c>
      <c r="B5714" s="3" t="s">
        <v>11280</v>
      </c>
      <c r="C5714" s="3" t="s">
        <v>11281</v>
      </c>
      <c r="D5714" s="3" t="s">
        <v>11532</v>
      </c>
      <c r="E5714" s="3" t="s">
        <v>11533</v>
      </c>
      <c r="F5714" s="3" t="s">
        <v>11534</v>
      </c>
    </row>
    <row r="5715">
      <c r="A5715" s="3">
        <v>82.0</v>
      </c>
      <c r="B5715" s="3" t="s">
        <v>11280</v>
      </c>
      <c r="C5715" s="3" t="s">
        <v>11281</v>
      </c>
      <c r="D5715" s="3" t="s">
        <v>11535</v>
      </c>
      <c r="E5715" s="3" t="s">
        <v>11536</v>
      </c>
      <c r="F5715" s="3" t="s">
        <v>11537</v>
      </c>
      <c r="G5715" s="3"/>
      <c r="H5715" s="3" t="s">
        <v>3596</v>
      </c>
      <c r="I5715" s="3" t="s">
        <v>3563</v>
      </c>
      <c r="J5715" s="3" t="s">
        <v>3564</v>
      </c>
      <c r="K5715" s="3" t="s">
        <v>11538</v>
      </c>
      <c r="L5715" s="3" t="s">
        <v>11539</v>
      </c>
      <c r="M5715" s="3" t="s">
        <v>11540</v>
      </c>
      <c r="N5715" s="3" t="s">
        <v>11541</v>
      </c>
      <c r="O5715" s="3" t="s">
        <v>11542</v>
      </c>
      <c r="P5715" s="3" t="s">
        <v>11543</v>
      </c>
      <c r="Q5715" s="3" t="s">
        <v>11544</v>
      </c>
      <c r="R5715" s="3" t="s">
        <v>11545</v>
      </c>
      <c r="S5715" s="3" t="s">
        <v>11546</v>
      </c>
      <c r="T5715" s="3" t="s">
        <v>11547</v>
      </c>
      <c r="U5715" s="3" t="s">
        <v>11538</v>
      </c>
      <c r="V5715" s="3" t="s">
        <v>11548</v>
      </c>
      <c r="W5715" s="3" t="s">
        <v>11549</v>
      </c>
      <c r="X5715" s="3" t="s">
        <v>11550</v>
      </c>
      <c r="Y5715" s="3" t="s">
        <v>11551</v>
      </c>
      <c r="Z5715" s="3" t="s">
        <v>11552</v>
      </c>
      <c r="AA5715" s="3" t="s">
        <v>11552</v>
      </c>
      <c r="AB5715" s="3" t="s">
        <v>11553</v>
      </c>
      <c r="AC5715" s="3" t="s">
        <v>984</v>
      </c>
      <c r="AD5715" s="3" t="s">
        <v>11554</v>
      </c>
      <c r="AE5715" s="3" t="s">
        <v>11555</v>
      </c>
      <c r="AF5715" s="3" t="s">
        <v>11556</v>
      </c>
    </row>
    <row r="5716">
      <c r="A5716" s="3">
        <v>83.0</v>
      </c>
      <c r="B5716" s="3" t="s">
        <v>11280</v>
      </c>
      <c r="C5716" s="3" t="s">
        <v>11281</v>
      </c>
      <c r="D5716" s="3" t="s">
        <v>11557</v>
      </c>
      <c r="E5716" s="3" t="s">
        <v>11558</v>
      </c>
      <c r="F5716" s="3" t="s">
        <v>11559</v>
      </c>
    </row>
    <row r="5717">
      <c r="A5717" s="3">
        <v>84.0</v>
      </c>
      <c r="B5717" s="3" t="s">
        <v>11280</v>
      </c>
      <c r="C5717" s="3" t="s">
        <v>11281</v>
      </c>
      <c r="D5717" s="3" t="s">
        <v>11560</v>
      </c>
      <c r="E5717" s="3" t="s">
        <v>11561</v>
      </c>
      <c r="F5717" s="3" t="s">
        <v>11562</v>
      </c>
    </row>
    <row r="5718">
      <c r="A5718" s="3">
        <v>85.0</v>
      </c>
      <c r="B5718" s="3" t="s">
        <v>11280</v>
      </c>
      <c r="C5718" s="3" t="s">
        <v>11281</v>
      </c>
      <c r="D5718" s="3" t="s">
        <v>11563</v>
      </c>
      <c r="E5718" s="3" t="s">
        <v>11564</v>
      </c>
      <c r="F5718" s="3" t="s">
        <v>11565</v>
      </c>
    </row>
    <row r="5719">
      <c r="A5719" s="3">
        <v>86.0</v>
      </c>
      <c r="B5719" s="3" t="s">
        <v>11280</v>
      </c>
      <c r="C5719" s="3" t="s">
        <v>11281</v>
      </c>
      <c r="D5719" s="3" t="s">
        <v>11566</v>
      </c>
      <c r="E5719" s="3" t="s">
        <v>11567</v>
      </c>
      <c r="F5719" s="3" t="s">
        <v>11568</v>
      </c>
    </row>
    <row r="5720">
      <c r="A5720" s="3">
        <v>87.0</v>
      </c>
      <c r="B5720" s="3" t="s">
        <v>11280</v>
      </c>
      <c r="C5720" s="3" t="s">
        <v>11281</v>
      </c>
      <c r="D5720" s="3" t="s">
        <v>11569</v>
      </c>
      <c r="E5720" s="3" t="s">
        <v>11570</v>
      </c>
      <c r="F5720" s="3" t="s">
        <v>11571</v>
      </c>
    </row>
    <row r="5721">
      <c r="A5721" s="3">
        <v>88.0</v>
      </c>
      <c r="B5721" s="3" t="s">
        <v>11280</v>
      </c>
      <c r="C5721" s="3" t="s">
        <v>11281</v>
      </c>
      <c r="D5721" s="3" t="s">
        <v>11572</v>
      </c>
      <c r="E5721" s="3" t="s">
        <v>11573</v>
      </c>
      <c r="F5721" s="3" t="s">
        <v>11574</v>
      </c>
    </row>
    <row r="5722">
      <c r="A5722" s="3">
        <v>89.0</v>
      </c>
      <c r="B5722" s="3" t="s">
        <v>11280</v>
      </c>
      <c r="C5722" s="3" t="s">
        <v>11281</v>
      </c>
      <c r="D5722" s="3" t="s">
        <v>11575</v>
      </c>
      <c r="E5722" s="3" t="s">
        <v>11576</v>
      </c>
      <c r="F5722" s="3" t="s">
        <v>11577</v>
      </c>
    </row>
    <row r="5723">
      <c r="A5723" s="3">
        <v>90.0</v>
      </c>
      <c r="B5723" s="3" t="s">
        <v>11280</v>
      </c>
      <c r="C5723" s="3" t="s">
        <v>11281</v>
      </c>
      <c r="D5723" s="3" t="s">
        <v>11578</v>
      </c>
      <c r="E5723" s="3" t="s">
        <v>11579</v>
      </c>
      <c r="F5723" s="3" t="s">
        <v>11580</v>
      </c>
    </row>
    <row r="5724">
      <c r="A5724" s="3">
        <v>91.0</v>
      </c>
      <c r="B5724" s="3" t="s">
        <v>11280</v>
      </c>
      <c r="C5724" s="3" t="s">
        <v>11281</v>
      </c>
      <c r="D5724" s="3" t="s">
        <v>11581</v>
      </c>
      <c r="E5724" s="3" t="s">
        <v>11582</v>
      </c>
      <c r="F5724" s="3" t="s">
        <v>11583</v>
      </c>
    </row>
    <row r="5725">
      <c r="A5725" s="3">
        <v>92.0</v>
      </c>
      <c r="B5725" s="3" t="s">
        <v>11280</v>
      </c>
      <c r="C5725" s="3" t="s">
        <v>11281</v>
      </c>
      <c r="D5725" s="3" t="s">
        <v>11584</v>
      </c>
      <c r="E5725" s="3" t="s">
        <v>11585</v>
      </c>
      <c r="F5725" s="3" t="s">
        <v>11586</v>
      </c>
    </row>
    <row r="5726">
      <c r="A5726" s="3">
        <v>93.0</v>
      </c>
      <c r="B5726" s="3" t="s">
        <v>11280</v>
      </c>
      <c r="C5726" s="3" t="s">
        <v>11281</v>
      </c>
      <c r="D5726" s="3" t="s">
        <v>11587</v>
      </c>
      <c r="E5726" s="3" t="s">
        <v>11588</v>
      </c>
      <c r="F5726" s="3" t="s">
        <v>11589</v>
      </c>
    </row>
    <row r="5727">
      <c r="A5727" s="3">
        <v>94.0</v>
      </c>
      <c r="B5727" s="3" t="s">
        <v>11280</v>
      </c>
      <c r="C5727" s="3" t="s">
        <v>11281</v>
      </c>
      <c r="D5727" s="3" t="s">
        <v>11590</v>
      </c>
      <c r="E5727" s="3" t="s">
        <v>11591</v>
      </c>
      <c r="F5727" s="3" t="s">
        <v>11592</v>
      </c>
    </row>
    <row r="5728">
      <c r="A5728" s="3">
        <v>95.0</v>
      </c>
      <c r="B5728" s="3" t="s">
        <v>11280</v>
      </c>
      <c r="C5728" s="3" t="s">
        <v>11281</v>
      </c>
      <c r="D5728" s="3" t="s">
        <v>11593</v>
      </c>
      <c r="E5728" s="3" t="s">
        <v>11594</v>
      </c>
      <c r="F5728" s="3" t="s">
        <v>11595</v>
      </c>
    </row>
    <row r="5729">
      <c r="A5729" s="3">
        <v>96.0</v>
      </c>
      <c r="B5729" s="3" t="s">
        <v>11280</v>
      </c>
      <c r="C5729" s="3" t="s">
        <v>11281</v>
      </c>
      <c r="D5729" s="3" t="s">
        <v>11596</v>
      </c>
      <c r="E5729" s="3" t="s">
        <v>11597</v>
      </c>
      <c r="F5729" s="3" t="s">
        <v>11598</v>
      </c>
      <c r="G5729" s="3"/>
      <c r="H5729" s="3" t="s">
        <v>11599</v>
      </c>
      <c r="I5729" s="3" t="s">
        <v>11600</v>
      </c>
    </row>
    <row r="5730">
      <c r="A5730" s="3">
        <v>97.0</v>
      </c>
      <c r="B5730" s="3" t="s">
        <v>11280</v>
      </c>
      <c r="C5730" s="3" t="s">
        <v>11281</v>
      </c>
      <c r="D5730" s="3" t="s">
        <v>11601</v>
      </c>
      <c r="E5730" s="3" t="s">
        <v>11602</v>
      </c>
      <c r="F5730" s="3" t="s">
        <v>11603</v>
      </c>
    </row>
    <row r="5731">
      <c r="A5731" s="3">
        <v>98.0</v>
      </c>
      <c r="B5731" s="3" t="s">
        <v>11280</v>
      </c>
      <c r="C5731" s="3" t="s">
        <v>11281</v>
      </c>
      <c r="D5731" s="3" t="s">
        <v>11604</v>
      </c>
      <c r="E5731" s="3" t="s">
        <v>11605</v>
      </c>
      <c r="F5731" s="3" t="s">
        <v>11606</v>
      </c>
    </row>
    <row r="5732">
      <c r="A5732" s="3">
        <v>99.0</v>
      </c>
      <c r="B5732" s="3" t="s">
        <v>11280</v>
      </c>
      <c r="C5732" s="3" t="s">
        <v>11281</v>
      </c>
      <c r="D5732" s="3" t="s">
        <v>11607</v>
      </c>
      <c r="E5732" s="3" t="s">
        <v>11608</v>
      </c>
      <c r="F5732" s="3" t="s">
        <v>11609</v>
      </c>
    </row>
    <row r="5733">
      <c r="A5733" s="3">
        <v>100.0</v>
      </c>
      <c r="B5733" s="3" t="s">
        <v>11280</v>
      </c>
      <c r="C5733" s="3" t="s">
        <v>11281</v>
      </c>
      <c r="D5733" s="3" t="s">
        <v>11610</v>
      </c>
      <c r="E5733" s="3" t="s">
        <v>11611</v>
      </c>
      <c r="F5733" s="3" t="s">
        <v>11612</v>
      </c>
    </row>
    <row r="5734">
      <c r="A5734" s="3">
        <v>101.0</v>
      </c>
      <c r="B5734" s="3" t="s">
        <v>11280</v>
      </c>
      <c r="C5734" s="3" t="s">
        <v>11281</v>
      </c>
      <c r="D5734" s="3" t="s">
        <v>11613</v>
      </c>
      <c r="E5734" s="3" t="s">
        <v>11614</v>
      </c>
      <c r="F5734" s="3" t="s">
        <v>11615</v>
      </c>
    </row>
    <row r="5735">
      <c r="A5735" s="3">
        <v>102.0</v>
      </c>
      <c r="B5735" s="3" t="s">
        <v>11280</v>
      </c>
      <c r="C5735" s="3" t="s">
        <v>11281</v>
      </c>
      <c r="D5735" s="3" t="s">
        <v>11616</v>
      </c>
      <c r="E5735" s="3" t="s">
        <v>11617</v>
      </c>
      <c r="F5735" s="3" t="s">
        <v>11618</v>
      </c>
    </row>
    <row r="5736">
      <c r="A5736" s="3">
        <v>103.0</v>
      </c>
      <c r="B5736" s="3" t="s">
        <v>11280</v>
      </c>
      <c r="C5736" s="3" t="s">
        <v>11281</v>
      </c>
      <c r="D5736" s="3" t="s">
        <v>11619</v>
      </c>
      <c r="E5736" s="3" t="s">
        <v>11620</v>
      </c>
      <c r="F5736" s="3" t="s">
        <v>11621</v>
      </c>
      <c r="G5736" s="3"/>
      <c r="H5736" s="3" t="s">
        <v>5848</v>
      </c>
      <c r="I5736" s="3" t="s">
        <v>11622</v>
      </c>
      <c r="J5736" s="3" t="s">
        <v>5848</v>
      </c>
      <c r="K5736" s="3" t="s">
        <v>11623</v>
      </c>
    </row>
    <row r="5737">
      <c r="A5737" s="3">
        <v>104.0</v>
      </c>
      <c r="B5737" s="3" t="s">
        <v>11280</v>
      </c>
      <c r="C5737" s="3" t="s">
        <v>11281</v>
      </c>
      <c r="D5737" s="3" t="s">
        <v>11624</v>
      </c>
      <c r="E5737" s="3" t="s">
        <v>11625</v>
      </c>
      <c r="F5737" s="3" t="s">
        <v>11626</v>
      </c>
    </row>
    <row r="5738">
      <c r="A5738" s="3">
        <v>105.0</v>
      </c>
      <c r="B5738" s="3" t="s">
        <v>11280</v>
      </c>
      <c r="C5738" s="3" t="s">
        <v>11281</v>
      </c>
      <c r="D5738" s="3" t="s">
        <v>11627</v>
      </c>
      <c r="E5738" s="3" t="s">
        <v>11628</v>
      </c>
      <c r="F5738" s="3" t="s">
        <v>11629</v>
      </c>
    </row>
    <row r="5739">
      <c r="A5739" s="3">
        <v>106.0</v>
      </c>
      <c r="B5739" s="3" t="s">
        <v>11280</v>
      </c>
      <c r="C5739" s="3" t="s">
        <v>11281</v>
      </c>
      <c r="D5739" s="3" t="s">
        <v>11630</v>
      </c>
      <c r="E5739" s="3" t="s">
        <v>11631</v>
      </c>
      <c r="F5739" s="3" t="s">
        <v>11632</v>
      </c>
    </row>
    <row r="5740">
      <c r="A5740" s="3">
        <v>107.0</v>
      </c>
      <c r="B5740" s="3" t="s">
        <v>11280</v>
      </c>
      <c r="C5740" s="3" t="s">
        <v>11281</v>
      </c>
      <c r="D5740" s="3" t="s">
        <v>11633</v>
      </c>
      <c r="E5740" s="3" t="s">
        <v>11634</v>
      </c>
      <c r="F5740" s="3" t="s">
        <v>11635</v>
      </c>
    </row>
    <row r="5741">
      <c r="A5741" s="3">
        <v>108.0</v>
      </c>
      <c r="B5741" s="3" t="s">
        <v>11280</v>
      </c>
      <c r="C5741" s="3" t="s">
        <v>11281</v>
      </c>
      <c r="D5741" s="3" t="s">
        <v>11636</v>
      </c>
      <c r="E5741" s="3" t="s">
        <v>11637</v>
      </c>
      <c r="F5741" s="3" t="s">
        <v>11638</v>
      </c>
    </row>
    <row r="5742">
      <c r="A5742" s="3">
        <v>109.0</v>
      </c>
      <c r="B5742" s="3" t="s">
        <v>11280</v>
      </c>
      <c r="C5742" s="3" t="s">
        <v>11281</v>
      </c>
      <c r="D5742" s="3" t="s">
        <v>11639</v>
      </c>
      <c r="E5742" s="3" t="s">
        <v>11640</v>
      </c>
      <c r="F5742" s="3" t="s">
        <v>11641</v>
      </c>
    </row>
    <row r="5743">
      <c r="A5743" s="3">
        <v>110.0</v>
      </c>
      <c r="B5743" s="3" t="s">
        <v>11280</v>
      </c>
      <c r="C5743" s="3" t="s">
        <v>11281</v>
      </c>
      <c r="D5743" s="3" t="s">
        <v>11642</v>
      </c>
      <c r="E5743" s="3" t="s">
        <v>11643</v>
      </c>
      <c r="F5743" s="3" t="s">
        <v>11284</v>
      </c>
      <c r="G5743" s="3"/>
      <c r="H5743" s="3" t="s">
        <v>11644</v>
      </c>
    </row>
    <row r="5744">
      <c r="A5744" s="3">
        <v>111.0</v>
      </c>
      <c r="B5744" s="3" t="s">
        <v>11280</v>
      </c>
      <c r="C5744" s="3" t="s">
        <v>11281</v>
      </c>
      <c r="D5744" s="3" t="s">
        <v>11645</v>
      </c>
      <c r="E5744" s="3" t="s">
        <v>11646</v>
      </c>
      <c r="F5744" s="3" t="s">
        <v>11306</v>
      </c>
      <c r="G5744" s="3"/>
      <c r="H5744" s="3" t="s">
        <v>8929</v>
      </c>
      <c r="I5744" s="3" t="s">
        <v>8930</v>
      </c>
      <c r="J5744" s="3" t="s">
        <v>8931</v>
      </c>
      <c r="K5744" s="3" t="s">
        <v>8932</v>
      </c>
      <c r="L5744" s="3" t="s">
        <v>8933</v>
      </c>
      <c r="M5744" s="3" t="s">
        <v>8934</v>
      </c>
    </row>
    <row r="5745">
      <c r="A5745" s="3">
        <v>112.0</v>
      </c>
      <c r="B5745" s="3" t="s">
        <v>11280</v>
      </c>
      <c r="C5745" s="3" t="s">
        <v>11281</v>
      </c>
      <c r="D5745" s="3" t="s">
        <v>11647</v>
      </c>
      <c r="E5745" s="3" t="s">
        <v>11648</v>
      </c>
      <c r="F5745" s="3" t="s">
        <v>11649</v>
      </c>
    </row>
    <row r="5746">
      <c r="A5746" s="3">
        <v>113.0</v>
      </c>
      <c r="B5746" s="3" t="s">
        <v>11280</v>
      </c>
      <c r="C5746" s="3" t="s">
        <v>11281</v>
      </c>
      <c r="D5746" s="3" t="s">
        <v>11650</v>
      </c>
      <c r="E5746" s="3" t="s">
        <v>11651</v>
      </c>
      <c r="F5746" s="3" t="s">
        <v>11652</v>
      </c>
    </row>
    <row r="5747">
      <c r="A5747" s="3">
        <v>114.0</v>
      </c>
      <c r="B5747" s="3" t="s">
        <v>11280</v>
      </c>
      <c r="C5747" s="3" t="s">
        <v>11281</v>
      </c>
      <c r="D5747" s="3" t="s">
        <v>11653</v>
      </c>
      <c r="E5747" s="3" t="s">
        <v>11654</v>
      </c>
      <c r="F5747" s="3" t="s">
        <v>11655</v>
      </c>
    </row>
    <row r="5748">
      <c r="A5748" s="3">
        <v>115.0</v>
      </c>
      <c r="B5748" s="3" t="s">
        <v>11280</v>
      </c>
      <c r="C5748" s="3" t="s">
        <v>11281</v>
      </c>
      <c r="D5748" s="3" t="s">
        <v>11656</v>
      </c>
      <c r="E5748" s="3" t="s">
        <v>11657</v>
      </c>
      <c r="F5748" s="3" t="s">
        <v>11658</v>
      </c>
    </row>
    <row r="5749">
      <c r="A5749" s="3">
        <v>116.0</v>
      </c>
      <c r="B5749" s="3" t="s">
        <v>11280</v>
      </c>
      <c r="C5749" s="3" t="s">
        <v>11281</v>
      </c>
      <c r="D5749" s="3" t="s">
        <v>11659</v>
      </c>
      <c r="E5749" s="3" t="s">
        <v>11660</v>
      </c>
      <c r="F5749" s="3" t="s">
        <v>11661</v>
      </c>
    </row>
    <row r="5750">
      <c r="A5750" s="3">
        <v>117.0</v>
      </c>
      <c r="B5750" s="3" t="s">
        <v>11280</v>
      </c>
      <c r="C5750" s="3" t="s">
        <v>11281</v>
      </c>
      <c r="D5750" s="3" t="s">
        <v>11662</v>
      </c>
      <c r="E5750" s="3" t="s">
        <v>11663</v>
      </c>
      <c r="F5750" s="3" t="s">
        <v>11664</v>
      </c>
    </row>
    <row r="5751">
      <c r="A5751" s="3">
        <v>118.0</v>
      </c>
      <c r="B5751" s="3" t="s">
        <v>11280</v>
      </c>
      <c r="C5751" s="3" t="s">
        <v>11281</v>
      </c>
      <c r="D5751" s="3" t="s">
        <v>11665</v>
      </c>
      <c r="E5751" s="3" t="s">
        <v>11666</v>
      </c>
      <c r="F5751" s="3" t="s">
        <v>11667</v>
      </c>
    </row>
    <row r="5752">
      <c r="A5752" s="3">
        <v>119.0</v>
      </c>
      <c r="B5752" s="3" t="s">
        <v>11280</v>
      </c>
      <c r="C5752" s="3" t="s">
        <v>11281</v>
      </c>
      <c r="D5752" s="3" t="s">
        <v>11668</v>
      </c>
      <c r="E5752" s="3" t="s">
        <v>11669</v>
      </c>
      <c r="F5752" s="3" t="s">
        <v>11670</v>
      </c>
    </row>
    <row r="5753">
      <c r="A5753" s="3">
        <v>120.0</v>
      </c>
      <c r="B5753" s="3" t="s">
        <v>11280</v>
      </c>
      <c r="C5753" s="3" t="s">
        <v>11281</v>
      </c>
      <c r="D5753" s="3" t="s">
        <v>11671</v>
      </c>
      <c r="E5753" s="3" t="s">
        <v>11672</v>
      </c>
      <c r="F5753" s="3" t="s">
        <v>11673</v>
      </c>
    </row>
    <row r="5754">
      <c r="A5754" s="3">
        <v>121.0</v>
      </c>
      <c r="B5754" s="3" t="s">
        <v>11280</v>
      </c>
      <c r="C5754" s="3" t="s">
        <v>11281</v>
      </c>
      <c r="D5754" s="3" t="s">
        <v>11674</v>
      </c>
      <c r="E5754" s="3" t="s">
        <v>11675</v>
      </c>
      <c r="F5754" s="3" t="s">
        <v>11676</v>
      </c>
    </row>
    <row r="5755">
      <c r="A5755" s="3">
        <v>122.0</v>
      </c>
      <c r="B5755" s="3" t="s">
        <v>11280</v>
      </c>
      <c r="C5755" s="3" t="s">
        <v>11281</v>
      </c>
      <c r="D5755" s="3" t="s">
        <v>11677</v>
      </c>
      <c r="E5755" s="3" t="s">
        <v>11678</v>
      </c>
      <c r="F5755" s="3" t="s">
        <v>11679</v>
      </c>
    </row>
    <row r="5756">
      <c r="A5756" s="3">
        <v>123.0</v>
      </c>
      <c r="B5756" s="3" t="s">
        <v>11280</v>
      </c>
      <c r="C5756" s="3" t="s">
        <v>11281</v>
      </c>
      <c r="D5756" s="3" t="s">
        <v>11680</v>
      </c>
      <c r="E5756" s="3" t="s">
        <v>11681</v>
      </c>
      <c r="F5756" s="3" t="s">
        <v>11682</v>
      </c>
    </row>
    <row r="5757">
      <c r="A5757" s="3">
        <v>124.0</v>
      </c>
      <c r="B5757" s="3" t="s">
        <v>11280</v>
      </c>
      <c r="C5757" s="3" t="s">
        <v>11281</v>
      </c>
      <c r="D5757" s="3" t="s">
        <v>11683</v>
      </c>
      <c r="E5757" s="3" t="s">
        <v>11684</v>
      </c>
      <c r="F5757" s="3" t="s">
        <v>11685</v>
      </c>
    </row>
    <row r="5758">
      <c r="A5758" s="3">
        <v>125.0</v>
      </c>
      <c r="B5758" s="3" t="s">
        <v>11280</v>
      </c>
      <c r="C5758" s="3" t="s">
        <v>11281</v>
      </c>
      <c r="D5758" s="3" t="s">
        <v>11686</v>
      </c>
      <c r="E5758" s="3" t="s">
        <v>11687</v>
      </c>
      <c r="F5758" s="3" t="s">
        <v>11688</v>
      </c>
    </row>
    <row r="5759">
      <c r="A5759" s="3">
        <v>126.0</v>
      </c>
      <c r="B5759" s="3" t="s">
        <v>11280</v>
      </c>
      <c r="C5759" s="3" t="s">
        <v>11281</v>
      </c>
      <c r="D5759" s="3" t="s">
        <v>11689</v>
      </c>
      <c r="E5759" s="3" t="s">
        <v>11690</v>
      </c>
      <c r="F5759" s="3" t="s">
        <v>11691</v>
      </c>
    </row>
    <row r="5760">
      <c r="A5760" s="3">
        <v>127.0</v>
      </c>
      <c r="B5760" s="3" t="s">
        <v>11280</v>
      </c>
      <c r="C5760" s="3" t="s">
        <v>11281</v>
      </c>
      <c r="D5760" s="3" t="s">
        <v>11692</v>
      </c>
      <c r="E5760" s="3" t="s">
        <v>11693</v>
      </c>
      <c r="F5760" s="3" t="s">
        <v>11694</v>
      </c>
    </row>
    <row r="5761">
      <c r="A5761" s="3">
        <v>128.0</v>
      </c>
      <c r="B5761" s="3" t="s">
        <v>11280</v>
      </c>
      <c r="C5761" s="3" t="s">
        <v>11281</v>
      </c>
      <c r="D5761" s="3" t="s">
        <v>11695</v>
      </c>
      <c r="E5761" s="3" t="s">
        <v>11696</v>
      </c>
      <c r="F5761" s="3" t="s">
        <v>11697</v>
      </c>
    </row>
    <row r="5762">
      <c r="A5762" s="3">
        <v>129.0</v>
      </c>
      <c r="B5762" s="3" t="s">
        <v>11280</v>
      </c>
      <c r="C5762" s="3" t="s">
        <v>11281</v>
      </c>
      <c r="D5762" s="3" t="s">
        <v>11698</v>
      </c>
      <c r="E5762" s="3" t="s">
        <v>11699</v>
      </c>
      <c r="F5762" s="3" t="s">
        <v>11700</v>
      </c>
    </row>
    <row r="5763">
      <c r="A5763" s="3">
        <v>130.0</v>
      </c>
      <c r="B5763" s="3" t="s">
        <v>11280</v>
      </c>
      <c r="C5763" s="3" t="s">
        <v>11281</v>
      </c>
      <c r="D5763" s="3" t="s">
        <v>11701</v>
      </c>
      <c r="E5763" s="3" t="s">
        <v>11702</v>
      </c>
      <c r="F5763" s="3" t="s">
        <v>11703</v>
      </c>
    </row>
    <row r="5764">
      <c r="A5764" s="3">
        <v>131.0</v>
      </c>
      <c r="B5764" s="3" t="s">
        <v>11280</v>
      </c>
      <c r="C5764" s="3" t="s">
        <v>11281</v>
      </c>
      <c r="D5764" s="3" t="s">
        <v>11704</v>
      </c>
      <c r="E5764" s="3" t="s">
        <v>11705</v>
      </c>
      <c r="F5764" s="3" t="s">
        <v>11706</v>
      </c>
    </row>
    <row r="5765">
      <c r="A5765" s="3">
        <v>132.0</v>
      </c>
      <c r="B5765" s="3" t="s">
        <v>11280</v>
      </c>
      <c r="C5765" s="3" t="s">
        <v>11281</v>
      </c>
      <c r="D5765" s="3" t="s">
        <v>11707</v>
      </c>
      <c r="E5765" s="3" t="s">
        <v>11708</v>
      </c>
      <c r="F5765" s="3" t="s">
        <v>11709</v>
      </c>
    </row>
    <row r="5766">
      <c r="A5766" s="3">
        <v>133.0</v>
      </c>
      <c r="B5766" s="3" t="s">
        <v>11280</v>
      </c>
      <c r="C5766" s="3" t="s">
        <v>11281</v>
      </c>
      <c r="D5766" s="3" t="s">
        <v>11710</v>
      </c>
      <c r="E5766" s="3" t="s">
        <v>11711</v>
      </c>
      <c r="F5766" s="3" t="s">
        <v>11712</v>
      </c>
    </row>
    <row r="5767">
      <c r="A5767" s="3">
        <v>134.0</v>
      </c>
      <c r="B5767" s="3" t="s">
        <v>11280</v>
      </c>
      <c r="C5767" s="3" t="s">
        <v>11281</v>
      </c>
      <c r="D5767" s="3" t="s">
        <v>11713</v>
      </c>
      <c r="E5767" s="3" t="s">
        <v>11714</v>
      </c>
      <c r="F5767" s="3" t="s">
        <v>11715</v>
      </c>
    </row>
    <row r="5768">
      <c r="A5768" s="3">
        <v>135.0</v>
      </c>
      <c r="B5768" s="3" t="s">
        <v>11280</v>
      </c>
      <c r="C5768" s="3" t="s">
        <v>11281</v>
      </c>
      <c r="D5768" s="3" t="s">
        <v>11716</v>
      </c>
      <c r="E5768" s="3" t="s">
        <v>11717</v>
      </c>
      <c r="F5768" s="3" t="s">
        <v>280</v>
      </c>
    </row>
    <row r="5769">
      <c r="A5769" s="3">
        <v>136.0</v>
      </c>
      <c r="B5769" s="3" t="s">
        <v>11280</v>
      </c>
      <c r="C5769" s="3" t="s">
        <v>11281</v>
      </c>
      <c r="D5769" s="3" t="s">
        <v>11718</v>
      </c>
      <c r="E5769" s="3" t="s">
        <v>11719</v>
      </c>
      <c r="F5769" s="3" t="s">
        <v>724</v>
      </c>
    </row>
    <row r="5770">
      <c r="A5770" s="3">
        <v>137.0</v>
      </c>
      <c r="B5770" s="3" t="s">
        <v>11280</v>
      </c>
      <c r="C5770" s="3" t="s">
        <v>11281</v>
      </c>
      <c r="D5770" s="3" t="s">
        <v>11720</v>
      </c>
      <c r="E5770" s="3" t="s">
        <v>11721</v>
      </c>
      <c r="F5770" s="3" t="s">
        <v>11722</v>
      </c>
      <c r="G5770" s="3"/>
      <c r="H5770" s="3" t="s">
        <v>11723</v>
      </c>
      <c r="I5770" s="3" t="s">
        <v>11724</v>
      </c>
      <c r="J5770" s="3" t="s">
        <v>11725</v>
      </c>
      <c r="K5770" s="3" t="s">
        <v>11726</v>
      </c>
      <c r="L5770" s="3" t="s">
        <v>11727</v>
      </c>
      <c r="M5770" s="3" t="s">
        <v>11728</v>
      </c>
      <c r="N5770" s="3" t="s">
        <v>11729</v>
      </c>
      <c r="O5770" s="3" t="s">
        <v>11730</v>
      </c>
      <c r="P5770" s="3" t="s">
        <v>11731</v>
      </c>
      <c r="Q5770" s="3" t="s">
        <v>11732</v>
      </c>
      <c r="R5770" s="3" t="s">
        <v>11727</v>
      </c>
      <c r="S5770" s="3" t="s">
        <v>11733</v>
      </c>
      <c r="T5770" s="3" t="s">
        <v>11734</v>
      </c>
      <c r="U5770" s="3" t="s">
        <v>11735</v>
      </c>
      <c r="V5770" s="3" t="s">
        <v>11736</v>
      </c>
      <c r="W5770" s="3" t="s">
        <v>11737</v>
      </c>
      <c r="X5770" s="3" t="s">
        <v>11738</v>
      </c>
      <c r="Y5770" s="3" t="s">
        <v>11739</v>
      </c>
      <c r="Z5770" s="3" t="s">
        <v>11740</v>
      </c>
      <c r="AA5770" s="3" t="s">
        <v>11741</v>
      </c>
      <c r="AB5770" s="3" t="s">
        <v>11742</v>
      </c>
      <c r="AC5770" s="3" t="s">
        <v>11743</v>
      </c>
      <c r="AD5770" s="3" t="s">
        <v>11744</v>
      </c>
      <c r="AE5770" s="3" t="s">
        <v>11745</v>
      </c>
      <c r="AF5770" s="3" t="s">
        <v>11746</v>
      </c>
      <c r="AG5770" s="3" t="s">
        <v>11747</v>
      </c>
      <c r="AH5770" s="3" t="s">
        <v>11748</v>
      </c>
      <c r="AI5770" s="3" t="s">
        <v>210</v>
      </c>
      <c r="AJ5770" s="3" t="s">
        <v>11749</v>
      </c>
      <c r="AK5770" s="3" t="s">
        <v>11750</v>
      </c>
      <c r="AL5770" s="3" t="s">
        <v>11751</v>
      </c>
      <c r="AM5770" s="3" t="s">
        <v>11723</v>
      </c>
      <c r="AN5770" s="3" t="s">
        <v>11747</v>
      </c>
      <c r="AO5770" s="3" t="s">
        <v>11728</v>
      </c>
      <c r="AP5770" s="3" t="s">
        <v>11752</v>
      </c>
      <c r="AQ5770" s="3" t="s">
        <v>11753</v>
      </c>
      <c r="AR5770" s="3" t="s">
        <v>11754</v>
      </c>
      <c r="AS5770" s="3" t="s">
        <v>11723</v>
      </c>
      <c r="AT5770" s="3" t="s">
        <v>11729</v>
      </c>
      <c r="AU5770" s="3" t="s">
        <v>11755</v>
      </c>
      <c r="AV5770" s="3" t="s">
        <v>11756</v>
      </c>
      <c r="AW5770" s="3" t="s">
        <v>11757</v>
      </c>
      <c r="AX5770" s="3" t="s">
        <v>11758</v>
      </c>
      <c r="AY5770" s="3" t="s">
        <v>11759</v>
      </c>
      <c r="AZ5770" s="3" t="s">
        <v>2149</v>
      </c>
      <c r="BA5770" s="3" t="s">
        <v>11760</v>
      </c>
      <c r="BB5770" s="3" t="s">
        <v>11761</v>
      </c>
      <c r="BC5770" s="3" t="s">
        <v>5311</v>
      </c>
      <c r="BD5770" s="3" t="s">
        <v>11747</v>
      </c>
      <c r="BE5770" s="3" t="s">
        <v>5311</v>
      </c>
      <c r="BF5770" s="3" t="s">
        <v>11747</v>
      </c>
      <c r="BG5770" s="3" t="s">
        <v>11729</v>
      </c>
      <c r="BH5770" s="3" t="s">
        <v>11762</v>
      </c>
      <c r="BI5770" s="3" t="s">
        <v>11733</v>
      </c>
    </row>
    <row r="5771">
      <c r="A5771" s="3">
        <v>138.0</v>
      </c>
      <c r="B5771" s="3" t="s">
        <v>11280</v>
      </c>
      <c r="C5771" s="3" t="s">
        <v>11281</v>
      </c>
      <c r="D5771" s="3" t="s">
        <v>11763</v>
      </c>
      <c r="E5771" s="3" t="s">
        <v>11764</v>
      </c>
      <c r="F5771" s="3" t="s">
        <v>11765</v>
      </c>
    </row>
    <row r="5772">
      <c r="A5772" s="3">
        <v>139.0</v>
      </c>
      <c r="B5772" s="3" t="s">
        <v>11280</v>
      </c>
      <c r="C5772" s="3" t="s">
        <v>11281</v>
      </c>
      <c r="D5772" s="3" t="s">
        <v>11766</v>
      </c>
      <c r="E5772" s="3" t="s">
        <v>11767</v>
      </c>
      <c r="F5772" s="3" t="s">
        <v>11768</v>
      </c>
    </row>
    <row r="5773">
      <c r="A5773" s="3">
        <v>140.0</v>
      </c>
      <c r="B5773" s="3" t="s">
        <v>11280</v>
      </c>
      <c r="C5773" s="3" t="s">
        <v>11281</v>
      </c>
      <c r="D5773" s="3" t="s">
        <v>11769</v>
      </c>
      <c r="E5773" s="3" t="s">
        <v>11770</v>
      </c>
      <c r="F5773" s="3" t="s">
        <v>11771</v>
      </c>
    </row>
    <row r="5774">
      <c r="A5774" s="3">
        <v>141.0</v>
      </c>
      <c r="B5774" s="3" t="s">
        <v>11280</v>
      </c>
      <c r="C5774" s="3" t="s">
        <v>11281</v>
      </c>
      <c r="D5774" s="3" t="s">
        <v>11772</v>
      </c>
      <c r="E5774" s="3" t="s">
        <v>11773</v>
      </c>
      <c r="F5774" s="3" t="s">
        <v>289</v>
      </c>
    </row>
    <row r="5775">
      <c r="A5775" s="3">
        <v>142.0</v>
      </c>
      <c r="B5775" s="3" t="s">
        <v>11280</v>
      </c>
      <c r="C5775" s="3" t="s">
        <v>11281</v>
      </c>
      <c r="D5775" s="3" t="s">
        <v>11774</v>
      </c>
      <c r="E5775" s="3" t="s">
        <v>11775</v>
      </c>
      <c r="F5775" s="3" t="s">
        <v>11776</v>
      </c>
    </row>
    <row r="5776">
      <c r="A5776" s="3">
        <v>143.0</v>
      </c>
      <c r="B5776" s="3" t="s">
        <v>11280</v>
      </c>
      <c r="C5776" s="3" t="s">
        <v>11281</v>
      </c>
      <c r="D5776" s="3" t="s">
        <v>11777</v>
      </c>
      <c r="E5776" s="3" t="s">
        <v>11778</v>
      </c>
      <c r="F5776" s="3" t="s">
        <v>11779</v>
      </c>
    </row>
    <row r="5777">
      <c r="A5777" s="3">
        <v>144.0</v>
      </c>
      <c r="B5777" s="3" t="s">
        <v>11280</v>
      </c>
      <c r="C5777" s="3" t="s">
        <v>11281</v>
      </c>
      <c r="D5777" s="3" t="s">
        <v>11780</v>
      </c>
      <c r="E5777" s="3" t="s">
        <v>11781</v>
      </c>
      <c r="F5777" s="3" t="s">
        <v>11782</v>
      </c>
    </row>
    <row r="5778">
      <c r="A5778" s="3">
        <v>145.0</v>
      </c>
      <c r="B5778" s="3" t="s">
        <v>11280</v>
      </c>
      <c r="C5778" s="3" t="s">
        <v>11281</v>
      </c>
      <c r="D5778" s="3" t="s">
        <v>11783</v>
      </c>
      <c r="E5778" s="3" t="s">
        <v>11784</v>
      </c>
      <c r="F5778" s="3" t="s">
        <v>11785</v>
      </c>
    </row>
    <row r="5779">
      <c r="A5779" s="3">
        <v>146.0</v>
      </c>
      <c r="B5779" s="3" t="s">
        <v>11280</v>
      </c>
      <c r="C5779" s="3" t="s">
        <v>11281</v>
      </c>
      <c r="D5779" s="3" t="s">
        <v>11786</v>
      </c>
      <c r="E5779" s="3" t="s">
        <v>11787</v>
      </c>
      <c r="F5779" s="3" t="s">
        <v>11788</v>
      </c>
    </row>
    <row r="5780">
      <c r="A5780" s="3">
        <v>147.0</v>
      </c>
      <c r="B5780" s="3" t="s">
        <v>11280</v>
      </c>
      <c r="C5780" s="3" t="s">
        <v>11281</v>
      </c>
      <c r="D5780" s="3" t="s">
        <v>11789</v>
      </c>
      <c r="E5780" s="3" t="s">
        <v>11790</v>
      </c>
      <c r="F5780" s="3" t="s">
        <v>11791</v>
      </c>
    </row>
    <row r="5781">
      <c r="A5781" s="3">
        <v>148.0</v>
      </c>
      <c r="B5781" s="3" t="s">
        <v>11280</v>
      </c>
      <c r="C5781" s="3" t="s">
        <v>11281</v>
      </c>
      <c r="D5781" s="3" t="s">
        <v>11792</v>
      </c>
      <c r="E5781" s="3" t="s">
        <v>11793</v>
      </c>
      <c r="F5781" s="3" t="s">
        <v>11794</v>
      </c>
    </row>
    <row r="5782">
      <c r="A5782" s="3">
        <v>149.0</v>
      </c>
      <c r="B5782" s="3" t="s">
        <v>11280</v>
      </c>
      <c r="C5782" s="3" t="s">
        <v>11281</v>
      </c>
      <c r="D5782" s="3" t="s">
        <v>11795</v>
      </c>
      <c r="E5782" s="3" t="s">
        <v>11796</v>
      </c>
      <c r="F5782" s="3" t="s">
        <v>11797</v>
      </c>
    </row>
    <row r="5783">
      <c r="A5783" s="3">
        <v>150.0</v>
      </c>
      <c r="B5783" s="3" t="s">
        <v>11280</v>
      </c>
      <c r="C5783" s="3" t="s">
        <v>11281</v>
      </c>
      <c r="D5783" s="3" t="s">
        <v>11798</v>
      </c>
      <c r="E5783" s="3" t="s">
        <v>11799</v>
      </c>
      <c r="F5783" s="3" t="s">
        <v>11800</v>
      </c>
    </row>
    <row r="5784">
      <c r="A5784" s="3">
        <v>151.0</v>
      </c>
      <c r="B5784" s="3" t="s">
        <v>11280</v>
      </c>
      <c r="C5784" s="3" t="s">
        <v>11281</v>
      </c>
      <c r="D5784" s="3" t="s">
        <v>11801</v>
      </c>
      <c r="E5784" s="3" t="s">
        <v>11802</v>
      </c>
      <c r="F5784" s="3" t="s">
        <v>11803</v>
      </c>
      <c r="G5784" s="3"/>
      <c r="H5784" s="3" t="s">
        <v>11804</v>
      </c>
      <c r="I5784" s="3" t="s">
        <v>11805</v>
      </c>
      <c r="J5784" s="3" t="s">
        <v>10170</v>
      </c>
      <c r="K5784" s="3" t="s">
        <v>10170</v>
      </c>
      <c r="L5784" s="3" t="s">
        <v>11806</v>
      </c>
      <c r="M5784" s="3" t="s">
        <v>11807</v>
      </c>
      <c r="N5784" s="3" t="s">
        <v>11808</v>
      </c>
      <c r="O5784" s="3" t="s">
        <v>11809</v>
      </c>
      <c r="P5784" s="3" t="s">
        <v>10170</v>
      </c>
    </row>
    <row r="5785">
      <c r="A5785" s="3">
        <v>152.0</v>
      </c>
      <c r="B5785" s="3" t="s">
        <v>11280</v>
      </c>
      <c r="C5785" s="3" t="s">
        <v>11281</v>
      </c>
      <c r="D5785" s="3" t="s">
        <v>11810</v>
      </c>
      <c r="E5785" s="3" t="s">
        <v>11811</v>
      </c>
      <c r="F5785" s="3" t="s">
        <v>11812</v>
      </c>
    </row>
    <row r="5786">
      <c r="A5786" s="3">
        <v>153.0</v>
      </c>
      <c r="B5786" s="3" t="s">
        <v>11280</v>
      </c>
      <c r="C5786" s="3" t="s">
        <v>11281</v>
      </c>
      <c r="D5786" s="3" t="s">
        <v>11813</v>
      </c>
      <c r="E5786" s="3" t="s">
        <v>11814</v>
      </c>
      <c r="F5786" s="3" t="s">
        <v>11815</v>
      </c>
    </row>
    <row r="5787">
      <c r="A5787" s="3">
        <v>154.0</v>
      </c>
      <c r="B5787" s="3" t="s">
        <v>11280</v>
      </c>
      <c r="C5787" s="3" t="s">
        <v>11281</v>
      </c>
      <c r="D5787" s="3" t="s">
        <v>11816</v>
      </c>
      <c r="E5787" s="3" t="s">
        <v>11817</v>
      </c>
      <c r="F5787" s="3" t="s">
        <v>11615</v>
      </c>
    </row>
    <row r="5788">
      <c r="A5788" s="3">
        <v>155.0</v>
      </c>
      <c r="B5788" s="3" t="s">
        <v>11280</v>
      </c>
      <c r="C5788" s="3" t="s">
        <v>11281</v>
      </c>
      <c r="D5788" s="3" t="s">
        <v>11818</v>
      </c>
      <c r="E5788" s="3" t="s">
        <v>11819</v>
      </c>
      <c r="F5788" s="3" t="s">
        <v>11618</v>
      </c>
    </row>
    <row r="5789">
      <c r="A5789" s="3">
        <v>156.0</v>
      </c>
      <c r="B5789" s="3" t="s">
        <v>11280</v>
      </c>
      <c r="C5789" s="3" t="s">
        <v>11281</v>
      </c>
      <c r="D5789" s="3" t="s">
        <v>11820</v>
      </c>
      <c r="E5789" s="3" t="s">
        <v>11821</v>
      </c>
      <c r="F5789" s="3" t="s">
        <v>11621</v>
      </c>
      <c r="G5789" s="3"/>
      <c r="H5789" s="3" t="s">
        <v>11822</v>
      </c>
    </row>
    <row r="5790">
      <c r="A5790" s="3">
        <v>157.0</v>
      </c>
      <c r="B5790" s="3" t="s">
        <v>11280</v>
      </c>
      <c r="C5790" s="3" t="s">
        <v>11281</v>
      </c>
      <c r="D5790" s="3" t="s">
        <v>11823</v>
      </c>
      <c r="E5790" s="3" t="s">
        <v>11824</v>
      </c>
      <c r="F5790" s="3" t="s">
        <v>11626</v>
      </c>
    </row>
    <row r="5791">
      <c r="A5791" s="3">
        <v>158.0</v>
      </c>
      <c r="B5791" s="3" t="s">
        <v>11280</v>
      </c>
      <c r="C5791" s="3" t="s">
        <v>11281</v>
      </c>
      <c r="D5791" s="3" t="s">
        <v>11825</v>
      </c>
      <c r="E5791" s="3" t="s">
        <v>11826</v>
      </c>
      <c r="F5791" s="3" t="s">
        <v>11629</v>
      </c>
    </row>
    <row r="5792">
      <c r="A5792" s="3">
        <v>159.0</v>
      </c>
      <c r="B5792" s="3" t="s">
        <v>11280</v>
      </c>
      <c r="C5792" s="3" t="s">
        <v>11281</v>
      </c>
      <c r="D5792" s="3" t="s">
        <v>11827</v>
      </c>
      <c r="E5792" s="3" t="s">
        <v>11828</v>
      </c>
      <c r="F5792" s="3" t="s">
        <v>11632</v>
      </c>
    </row>
    <row r="5793">
      <c r="A5793" s="3">
        <v>160.0</v>
      </c>
      <c r="B5793" s="3" t="s">
        <v>11280</v>
      </c>
      <c r="C5793" s="3" t="s">
        <v>11281</v>
      </c>
      <c r="D5793" s="3" t="s">
        <v>11829</v>
      </c>
      <c r="E5793" s="3" t="s">
        <v>11830</v>
      </c>
      <c r="F5793" s="3" t="s">
        <v>11635</v>
      </c>
    </row>
    <row r="5794">
      <c r="A5794" s="3">
        <v>161.0</v>
      </c>
      <c r="B5794" s="3" t="s">
        <v>11280</v>
      </c>
      <c r="C5794" s="3" t="s">
        <v>11281</v>
      </c>
      <c r="D5794" s="3" t="s">
        <v>11831</v>
      </c>
      <c r="E5794" s="3" t="s">
        <v>11832</v>
      </c>
      <c r="F5794" s="3" t="s">
        <v>269</v>
      </c>
    </row>
    <row r="5795">
      <c r="A5795" s="3">
        <v>162.0</v>
      </c>
      <c r="B5795" s="3" t="s">
        <v>11280</v>
      </c>
      <c r="C5795" s="3" t="s">
        <v>11281</v>
      </c>
      <c r="D5795" s="3" t="s">
        <v>11833</v>
      </c>
      <c r="E5795" s="3" t="s">
        <v>11834</v>
      </c>
      <c r="F5795" s="3" t="s">
        <v>11835</v>
      </c>
    </row>
    <row r="5796">
      <c r="A5796" s="3">
        <v>163.0</v>
      </c>
      <c r="B5796" s="3" t="s">
        <v>11280</v>
      </c>
      <c r="C5796" s="3" t="s">
        <v>11281</v>
      </c>
      <c r="D5796" s="3" t="s">
        <v>11836</v>
      </c>
      <c r="E5796" s="3" t="s">
        <v>11837</v>
      </c>
      <c r="F5796" s="3" t="s">
        <v>11838</v>
      </c>
    </row>
    <row r="5797">
      <c r="A5797" s="3">
        <v>164.0</v>
      </c>
      <c r="B5797" s="3" t="s">
        <v>11280</v>
      </c>
      <c r="C5797" s="3" t="s">
        <v>11281</v>
      </c>
      <c r="D5797" s="3" t="s">
        <v>11839</v>
      </c>
      <c r="E5797" s="3" t="s">
        <v>11840</v>
      </c>
      <c r="F5797" s="3" t="s">
        <v>11841</v>
      </c>
    </row>
    <row r="5798">
      <c r="A5798" s="3">
        <v>165.0</v>
      </c>
      <c r="B5798" s="3" t="s">
        <v>11280</v>
      </c>
      <c r="C5798" s="3" t="s">
        <v>11281</v>
      </c>
      <c r="D5798" s="3" t="s">
        <v>11842</v>
      </c>
      <c r="E5798" s="3" t="s">
        <v>11843</v>
      </c>
      <c r="F5798" s="3" t="s">
        <v>11844</v>
      </c>
    </row>
    <row r="5799">
      <c r="A5799" s="3">
        <v>166.0</v>
      </c>
      <c r="B5799" s="3" t="s">
        <v>11280</v>
      </c>
      <c r="C5799" s="3" t="s">
        <v>11281</v>
      </c>
      <c r="D5799" s="3" t="s">
        <v>11845</v>
      </c>
      <c r="E5799" s="3" t="s">
        <v>11846</v>
      </c>
      <c r="F5799" s="3" t="s">
        <v>11847</v>
      </c>
    </row>
    <row r="5800">
      <c r="A5800" s="3">
        <v>167.0</v>
      </c>
      <c r="B5800" s="3" t="s">
        <v>11280</v>
      </c>
      <c r="C5800" s="3" t="s">
        <v>11281</v>
      </c>
      <c r="D5800" s="3" t="s">
        <v>11848</v>
      </c>
      <c r="E5800" s="3" t="s">
        <v>11849</v>
      </c>
      <c r="F5800" s="3" t="s">
        <v>11850</v>
      </c>
    </row>
    <row r="5801">
      <c r="A5801" s="3">
        <v>168.0</v>
      </c>
      <c r="B5801" s="3" t="s">
        <v>11280</v>
      </c>
      <c r="C5801" s="3" t="s">
        <v>11281</v>
      </c>
      <c r="D5801" s="3" t="s">
        <v>11851</v>
      </c>
      <c r="E5801" s="3" t="s">
        <v>11852</v>
      </c>
      <c r="F5801" s="3" t="s">
        <v>11853</v>
      </c>
    </row>
    <row r="5802">
      <c r="A5802" s="3">
        <v>169.0</v>
      </c>
      <c r="B5802" s="3" t="s">
        <v>11280</v>
      </c>
      <c r="C5802" s="3" t="s">
        <v>11281</v>
      </c>
      <c r="D5802" s="3" t="s">
        <v>11854</v>
      </c>
      <c r="E5802" s="3" t="s">
        <v>11855</v>
      </c>
      <c r="F5802" s="3" t="s">
        <v>11856</v>
      </c>
    </row>
    <row r="5803">
      <c r="A5803" s="3">
        <v>170.0</v>
      </c>
      <c r="B5803" s="3" t="s">
        <v>11280</v>
      </c>
      <c r="C5803" s="3" t="s">
        <v>11281</v>
      </c>
      <c r="D5803" s="3" t="s">
        <v>11857</v>
      </c>
      <c r="E5803" s="3" t="s">
        <v>11858</v>
      </c>
      <c r="F5803" s="3" t="s">
        <v>11859</v>
      </c>
    </row>
    <row r="5804">
      <c r="A5804" s="3">
        <v>171.0</v>
      </c>
      <c r="B5804" s="3" t="s">
        <v>11280</v>
      </c>
      <c r="C5804" s="3" t="s">
        <v>11281</v>
      </c>
      <c r="D5804" s="3" t="s">
        <v>11860</v>
      </c>
      <c r="E5804" s="3" t="s">
        <v>11861</v>
      </c>
      <c r="F5804" s="3" t="s">
        <v>11862</v>
      </c>
    </row>
    <row r="5805">
      <c r="A5805" s="3">
        <v>172.0</v>
      </c>
      <c r="B5805" s="3" t="s">
        <v>11280</v>
      </c>
      <c r="C5805" s="3" t="s">
        <v>11281</v>
      </c>
      <c r="D5805" s="3" t="s">
        <v>11863</v>
      </c>
      <c r="E5805" s="3" t="s">
        <v>11864</v>
      </c>
      <c r="F5805" s="3" t="s">
        <v>11865</v>
      </c>
    </row>
    <row r="5806">
      <c r="A5806" s="3">
        <v>173.0</v>
      </c>
      <c r="B5806" s="3" t="s">
        <v>11280</v>
      </c>
      <c r="C5806" s="3" t="s">
        <v>11281</v>
      </c>
      <c r="D5806" s="3" t="s">
        <v>11866</v>
      </c>
      <c r="E5806" s="3" t="s">
        <v>11867</v>
      </c>
      <c r="F5806" s="3" t="s">
        <v>11868</v>
      </c>
    </row>
    <row r="5807">
      <c r="A5807" s="3">
        <v>174.0</v>
      </c>
      <c r="B5807" s="3" t="s">
        <v>11280</v>
      </c>
      <c r="C5807" s="3" t="s">
        <v>11281</v>
      </c>
      <c r="D5807" s="3" t="s">
        <v>11869</v>
      </c>
      <c r="E5807" s="3" t="s">
        <v>11870</v>
      </c>
      <c r="F5807" s="3" t="s">
        <v>11871</v>
      </c>
    </row>
    <row r="5808">
      <c r="A5808" s="3">
        <v>175.0</v>
      </c>
      <c r="B5808" s="3" t="s">
        <v>11280</v>
      </c>
      <c r="C5808" s="3" t="s">
        <v>11281</v>
      </c>
      <c r="D5808" s="3" t="s">
        <v>11872</v>
      </c>
      <c r="E5808" s="3" t="s">
        <v>11873</v>
      </c>
      <c r="F5808" s="3" t="s">
        <v>11874</v>
      </c>
    </row>
    <row r="5809">
      <c r="A5809" s="3">
        <v>176.0</v>
      </c>
      <c r="B5809" s="3" t="s">
        <v>11280</v>
      </c>
      <c r="C5809" s="3" t="s">
        <v>11281</v>
      </c>
      <c r="D5809" s="3" t="s">
        <v>11875</v>
      </c>
      <c r="E5809" s="3" t="s">
        <v>11876</v>
      </c>
      <c r="F5809" s="3" t="s">
        <v>11877</v>
      </c>
    </row>
    <row r="5810">
      <c r="A5810" s="3">
        <v>177.0</v>
      </c>
      <c r="B5810" s="3" t="s">
        <v>11280</v>
      </c>
      <c r="C5810" s="3" t="s">
        <v>11281</v>
      </c>
      <c r="D5810" s="3" t="s">
        <v>11878</v>
      </c>
      <c r="E5810" s="3" t="s">
        <v>11879</v>
      </c>
      <c r="F5810" s="3" t="s">
        <v>11880</v>
      </c>
    </row>
    <row r="5811">
      <c r="A5811" s="3">
        <v>178.0</v>
      </c>
      <c r="B5811" s="3" t="s">
        <v>11280</v>
      </c>
      <c r="C5811" s="3" t="s">
        <v>11281</v>
      </c>
      <c r="D5811" s="3" t="s">
        <v>362</v>
      </c>
      <c r="E5811" s="3" t="s">
        <v>361</v>
      </c>
      <c r="F5811" s="3" t="s">
        <v>362</v>
      </c>
      <c r="G5811" s="3"/>
      <c r="H5811" s="3" t="s">
        <v>11881</v>
      </c>
      <c r="I5811" s="3" t="s">
        <v>11882</v>
      </c>
      <c r="J5811" s="3" t="s">
        <v>11883</v>
      </c>
      <c r="K5811" s="3" t="s">
        <v>11884</v>
      </c>
    </row>
    <row r="5812">
      <c r="A5812" s="3">
        <v>179.0</v>
      </c>
      <c r="B5812" s="3" t="s">
        <v>11280</v>
      </c>
      <c r="C5812" s="3" t="s">
        <v>11281</v>
      </c>
      <c r="D5812" s="3" t="s">
        <v>480</v>
      </c>
      <c r="E5812" s="3" t="s">
        <v>479</v>
      </c>
      <c r="F5812" s="3" t="s">
        <v>480</v>
      </c>
      <c r="G5812" s="3"/>
      <c r="H5812" s="3" t="s">
        <v>363</v>
      </c>
      <c r="I5812" s="3" t="s">
        <v>364</v>
      </c>
      <c r="J5812" s="3" t="s">
        <v>365</v>
      </c>
      <c r="K5812" s="3" t="s">
        <v>366</v>
      </c>
      <c r="L5812" s="3" t="s">
        <v>363</v>
      </c>
      <c r="M5812" s="3" t="s">
        <v>11885</v>
      </c>
      <c r="N5812" s="3" t="s">
        <v>363</v>
      </c>
      <c r="O5812" s="3" t="s">
        <v>363</v>
      </c>
      <c r="P5812" s="3" t="s">
        <v>9881</v>
      </c>
      <c r="Q5812" s="3" t="s">
        <v>11886</v>
      </c>
    </row>
    <row r="5813">
      <c r="A5813" s="3">
        <v>180.0</v>
      </c>
      <c r="B5813" s="3" t="s">
        <v>11280</v>
      </c>
      <c r="C5813" s="3" t="s">
        <v>11281</v>
      </c>
      <c r="D5813" s="3" t="s">
        <v>11887</v>
      </c>
      <c r="E5813" s="3" t="s">
        <v>11888</v>
      </c>
      <c r="F5813" s="3" t="s">
        <v>11889</v>
      </c>
    </row>
    <row r="5814">
      <c r="A5814" s="3">
        <v>181.0</v>
      </c>
      <c r="B5814" s="3" t="s">
        <v>11280</v>
      </c>
      <c r="C5814" s="3" t="s">
        <v>11281</v>
      </c>
      <c r="D5814" s="3" t="s">
        <v>11890</v>
      </c>
      <c r="E5814" s="3" t="s">
        <v>11891</v>
      </c>
      <c r="F5814" s="3" t="s">
        <v>11892</v>
      </c>
    </row>
    <row r="5815">
      <c r="A5815" s="3">
        <v>182.0</v>
      </c>
      <c r="B5815" s="3" t="s">
        <v>11280</v>
      </c>
      <c r="C5815" s="3" t="s">
        <v>11281</v>
      </c>
      <c r="D5815" s="3" t="s">
        <v>11893</v>
      </c>
      <c r="E5815" s="3" t="s">
        <v>11894</v>
      </c>
      <c r="F5815" s="3" t="s">
        <v>11895</v>
      </c>
    </row>
    <row r="5816">
      <c r="A5816" s="3">
        <v>183.0</v>
      </c>
      <c r="B5816" s="3" t="s">
        <v>11280</v>
      </c>
      <c r="C5816" s="3" t="s">
        <v>11281</v>
      </c>
      <c r="D5816" s="3" t="s">
        <v>11896</v>
      </c>
      <c r="E5816" s="3" t="s">
        <v>11897</v>
      </c>
      <c r="F5816" s="3" t="s">
        <v>11898</v>
      </c>
    </row>
    <row r="5817">
      <c r="A5817" s="3">
        <v>184.0</v>
      </c>
      <c r="B5817" s="3" t="s">
        <v>11280</v>
      </c>
      <c r="C5817" s="3" t="s">
        <v>11281</v>
      </c>
      <c r="D5817" s="3" t="s">
        <v>11899</v>
      </c>
      <c r="E5817" s="3" t="s">
        <v>11900</v>
      </c>
      <c r="F5817" s="3" t="s">
        <v>11901</v>
      </c>
    </row>
    <row r="5818">
      <c r="A5818" s="3">
        <v>185.0</v>
      </c>
      <c r="B5818" s="3" t="s">
        <v>11280</v>
      </c>
      <c r="C5818" s="3" t="s">
        <v>11281</v>
      </c>
      <c r="D5818" s="3" t="s">
        <v>11902</v>
      </c>
      <c r="E5818" s="3" t="s">
        <v>11903</v>
      </c>
      <c r="F5818" s="3" t="s">
        <v>11904</v>
      </c>
    </row>
    <row r="5819">
      <c r="A5819" s="3">
        <v>186.0</v>
      </c>
      <c r="B5819" s="3" t="s">
        <v>11280</v>
      </c>
      <c r="C5819" s="3" t="s">
        <v>11281</v>
      </c>
      <c r="D5819" s="3" t="s">
        <v>11905</v>
      </c>
      <c r="E5819" s="3" t="s">
        <v>11906</v>
      </c>
      <c r="F5819" s="3" t="s">
        <v>11907</v>
      </c>
    </row>
    <row r="5820">
      <c r="A5820" s="3">
        <v>187.0</v>
      </c>
      <c r="B5820" s="3" t="s">
        <v>11280</v>
      </c>
      <c r="C5820" s="3" t="s">
        <v>11281</v>
      </c>
      <c r="D5820" s="3" t="s">
        <v>11908</v>
      </c>
      <c r="E5820" s="3" t="s">
        <v>11909</v>
      </c>
      <c r="F5820" s="3" t="s">
        <v>11908</v>
      </c>
    </row>
    <row r="5821">
      <c r="A5821" s="3">
        <v>188.0</v>
      </c>
      <c r="B5821" s="3" t="s">
        <v>11280</v>
      </c>
      <c r="C5821" s="3" t="s">
        <v>11281</v>
      </c>
      <c r="D5821" s="3" t="s">
        <v>11910</v>
      </c>
      <c r="E5821" s="3" t="s">
        <v>11911</v>
      </c>
      <c r="F5821" s="3" t="s">
        <v>11910</v>
      </c>
    </row>
    <row r="5822">
      <c r="A5822" s="3">
        <v>189.0</v>
      </c>
      <c r="B5822" s="3" t="s">
        <v>11280</v>
      </c>
      <c r="C5822" s="3" t="s">
        <v>11281</v>
      </c>
      <c r="D5822" s="3" t="s">
        <v>11912</v>
      </c>
      <c r="E5822" s="3" t="s">
        <v>11913</v>
      </c>
      <c r="F5822" s="3" t="s">
        <v>11912</v>
      </c>
    </row>
    <row r="5823">
      <c r="A5823" s="3">
        <v>190.0</v>
      </c>
      <c r="B5823" s="3" t="s">
        <v>11280</v>
      </c>
      <c r="C5823" s="3" t="s">
        <v>11281</v>
      </c>
      <c r="D5823" s="3" t="s">
        <v>11914</v>
      </c>
      <c r="E5823" s="3" t="s">
        <v>11915</v>
      </c>
      <c r="F5823" s="3" t="s">
        <v>11914</v>
      </c>
    </row>
    <row r="5824">
      <c r="A5824" s="3">
        <v>191.0</v>
      </c>
      <c r="B5824" s="3" t="s">
        <v>11280</v>
      </c>
      <c r="C5824" s="3" t="s">
        <v>11281</v>
      </c>
      <c r="D5824" s="3" t="s">
        <v>11916</v>
      </c>
      <c r="E5824" s="3" t="s">
        <v>11917</v>
      </c>
      <c r="F5824" s="3" t="s">
        <v>11916</v>
      </c>
    </row>
    <row r="5825">
      <c r="A5825" s="3">
        <v>192.0</v>
      </c>
      <c r="B5825" s="3" t="s">
        <v>11280</v>
      </c>
      <c r="C5825" s="3" t="s">
        <v>11281</v>
      </c>
      <c r="D5825" s="3" t="s">
        <v>11918</v>
      </c>
      <c r="E5825" s="3" t="s">
        <v>11919</v>
      </c>
      <c r="F5825" s="3" t="s">
        <v>11918</v>
      </c>
      <c r="G5825" s="3"/>
      <c r="H5825" s="3" t="s">
        <v>11920</v>
      </c>
      <c r="I5825" s="3" t="s">
        <v>11918</v>
      </c>
    </row>
    <row r="5826">
      <c r="A5826" s="3">
        <v>193.0</v>
      </c>
      <c r="B5826" s="3" t="s">
        <v>11280</v>
      </c>
      <c r="C5826" s="3" t="s">
        <v>11281</v>
      </c>
      <c r="D5826" s="3" t="s">
        <v>489</v>
      </c>
      <c r="E5826" s="3" t="s">
        <v>488</v>
      </c>
      <c r="F5826" s="3" t="s">
        <v>489</v>
      </c>
    </row>
    <row r="5827">
      <c r="A5827" s="3">
        <v>194.0</v>
      </c>
      <c r="B5827" s="3" t="s">
        <v>11280</v>
      </c>
      <c r="C5827" s="3" t="s">
        <v>11281</v>
      </c>
      <c r="D5827" s="3" t="s">
        <v>11921</v>
      </c>
      <c r="E5827" s="3" t="s">
        <v>11922</v>
      </c>
      <c r="F5827" s="3" t="s">
        <v>11923</v>
      </c>
    </row>
    <row r="5828">
      <c r="A5828" s="3">
        <v>195.0</v>
      </c>
      <c r="B5828" s="3" t="s">
        <v>11280</v>
      </c>
      <c r="C5828" s="3" t="s">
        <v>11281</v>
      </c>
      <c r="D5828" s="3" t="s">
        <v>11924</v>
      </c>
      <c r="E5828" s="3" t="s">
        <v>11925</v>
      </c>
      <c r="F5828" s="3" t="s">
        <v>11926</v>
      </c>
    </row>
    <row r="5829">
      <c r="A5829" s="3">
        <v>196.0</v>
      </c>
      <c r="B5829" s="3" t="s">
        <v>11280</v>
      </c>
      <c r="C5829" s="3" t="s">
        <v>11281</v>
      </c>
      <c r="D5829" s="3" t="s">
        <v>11927</v>
      </c>
      <c r="E5829" s="3" t="s">
        <v>11928</v>
      </c>
      <c r="F5829" s="3" t="s">
        <v>11889</v>
      </c>
    </row>
    <row r="5830">
      <c r="A5830" s="3">
        <v>197.0</v>
      </c>
      <c r="B5830" s="3" t="s">
        <v>11280</v>
      </c>
      <c r="C5830" s="3" t="s">
        <v>11281</v>
      </c>
      <c r="D5830" s="3" t="s">
        <v>11929</v>
      </c>
      <c r="E5830" s="3" t="s">
        <v>11930</v>
      </c>
      <c r="F5830" s="3" t="s">
        <v>11892</v>
      </c>
    </row>
    <row r="5831">
      <c r="A5831" s="3">
        <v>198.0</v>
      </c>
      <c r="B5831" s="3" t="s">
        <v>11280</v>
      </c>
      <c r="C5831" s="3" t="s">
        <v>11281</v>
      </c>
      <c r="D5831" s="3" t="s">
        <v>11931</v>
      </c>
      <c r="E5831" s="3" t="s">
        <v>11932</v>
      </c>
      <c r="F5831" s="3" t="s">
        <v>11895</v>
      </c>
    </row>
    <row r="5832">
      <c r="A5832" s="3">
        <v>199.0</v>
      </c>
      <c r="B5832" s="3" t="s">
        <v>11280</v>
      </c>
      <c r="C5832" s="3" t="s">
        <v>11281</v>
      </c>
      <c r="D5832" s="3" t="s">
        <v>11933</v>
      </c>
      <c r="E5832" s="3" t="s">
        <v>11934</v>
      </c>
      <c r="F5832" s="3" t="s">
        <v>11898</v>
      </c>
    </row>
    <row r="5833">
      <c r="A5833" s="3">
        <v>200.0</v>
      </c>
      <c r="B5833" s="3" t="s">
        <v>11280</v>
      </c>
      <c r="C5833" s="3" t="s">
        <v>11281</v>
      </c>
      <c r="D5833" s="3" t="s">
        <v>11935</v>
      </c>
      <c r="E5833" s="3" t="s">
        <v>11936</v>
      </c>
      <c r="F5833" s="3" t="s">
        <v>11901</v>
      </c>
    </row>
    <row r="5834">
      <c r="A5834" s="3">
        <v>201.0</v>
      </c>
      <c r="B5834" s="3" t="s">
        <v>11280</v>
      </c>
      <c r="C5834" s="3" t="s">
        <v>11281</v>
      </c>
      <c r="D5834" s="3" t="s">
        <v>11937</v>
      </c>
      <c r="E5834" s="3" t="s">
        <v>11938</v>
      </c>
      <c r="F5834" s="3" t="s">
        <v>11904</v>
      </c>
    </row>
    <row r="5835">
      <c r="A5835" s="3">
        <v>202.0</v>
      </c>
      <c r="B5835" s="3" t="s">
        <v>11280</v>
      </c>
      <c r="C5835" s="3" t="s">
        <v>11281</v>
      </c>
      <c r="D5835" s="3" t="s">
        <v>11939</v>
      </c>
      <c r="E5835" s="3" t="s">
        <v>11940</v>
      </c>
      <c r="F5835" s="3" t="s">
        <v>11907</v>
      </c>
    </row>
    <row r="5836">
      <c r="A5836" s="3">
        <v>203.0</v>
      </c>
      <c r="B5836" s="3" t="s">
        <v>11280</v>
      </c>
      <c r="C5836" s="3" t="s">
        <v>11281</v>
      </c>
      <c r="D5836" s="3" t="s">
        <v>11941</v>
      </c>
      <c r="E5836" s="3" t="s">
        <v>11942</v>
      </c>
      <c r="F5836" s="3" t="s">
        <v>11943</v>
      </c>
    </row>
    <row r="5837">
      <c r="A5837" s="3">
        <v>204.0</v>
      </c>
      <c r="B5837" s="3" t="s">
        <v>11280</v>
      </c>
      <c r="C5837" s="3" t="s">
        <v>11281</v>
      </c>
      <c r="D5837" s="3" t="s">
        <v>11944</v>
      </c>
      <c r="E5837" s="3" t="s">
        <v>11945</v>
      </c>
      <c r="F5837" s="3" t="s">
        <v>11946</v>
      </c>
    </row>
    <row r="5838">
      <c r="A5838" s="3">
        <v>205.0</v>
      </c>
      <c r="B5838" s="3" t="s">
        <v>11280</v>
      </c>
      <c r="C5838" s="3" t="s">
        <v>11281</v>
      </c>
      <c r="D5838" s="3" t="s">
        <v>11947</v>
      </c>
      <c r="E5838" s="3" t="s">
        <v>11948</v>
      </c>
      <c r="F5838" s="3" t="s">
        <v>11949</v>
      </c>
    </row>
    <row r="5839">
      <c r="A5839" s="3">
        <v>206.0</v>
      </c>
      <c r="B5839" s="3" t="s">
        <v>11280</v>
      </c>
      <c r="C5839" s="3" t="s">
        <v>11281</v>
      </c>
      <c r="D5839" s="3" t="s">
        <v>11950</v>
      </c>
      <c r="E5839" s="3" t="s">
        <v>11951</v>
      </c>
      <c r="F5839" s="3" t="s">
        <v>11952</v>
      </c>
    </row>
    <row r="5840">
      <c r="A5840" s="3">
        <v>207.0</v>
      </c>
      <c r="B5840" s="3" t="s">
        <v>11280</v>
      </c>
      <c r="C5840" s="3" t="s">
        <v>11281</v>
      </c>
      <c r="D5840" s="3" t="s">
        <v>11953</v>
      </c>
      <c r="E5840" s="3" t="s">
        <v>11954</v>
      </c>
      <c r="F5840" s="3" t="s">
        <v>11955</v>
      </c>
    </row>
    <row r="5841">
      <c r="A5841" s="3">
        <v>208.0</v>
      </c>
      <c r="B5841" s="3" t="s">
        <v>11280</v>
      </c>
      <c r="C5841" s="3" t="s">
        <v>11281</v>
      </c>
      <c r="D5841" s="3" t="s">
        <v>11956</v>
      </c>
      <c r="E5841" s="3" t="s">
        <v>11957</v>
      </c>
      <c r="F5841" s="3" t="s">
        <v>11958</v>
      </c>
    </row>
    <row r="5842">
      <c r="A5842" s="3">
        <v>209.0</v>
      </c>
      <c r="B5842" s="3" t="s">
        <v>11280</v>
      </c>
      <c r="C5842" s="3" t="s">
        <v>11281</v>
      </c>
      <c r="D5842" s="3" t="s">
        <v>11959</v>
      </c>
      <c r="E5842" s="3" t="s">
        <v>11960</v>
      </c>
      <c r="F5842" s="3" t="s">
        <v>11961</v>
      </c>
    </row>
    <row r="5843">
      <c r="A5843" s="3">
        <v>210.0</v>
      </c>
      <c r="B5843" s="3" t="s">
        <v>11280</v>
      </c>
      <c r="C5843" s="3" t="s">
        <v>11281</v>
      </c>
      <c r="D5843" s="3" t="s">
        <v>11962</v>
      </c>
      <c r="E5843" s="3" t="s">
        <v>11963</v>
      </c>
      <c r="F5843" s="3" t="s">
        <v>11964</v>
      </c>
    </row>
    <row r="5844">
      <c r="A5844" s="3">
        <v>211.0</v>
      </c>
      <c r="B5844" s="3" t="s">
        <v>11280</v>
      </c>
      <c r="C5844" s="3" t="s">
        <v>11281</v>
      </c>
      <c r="D5844" s="3" t="s">
        <v>11965</v>
      </c>
      <c r="E5844" s="3" t="s">
        <v>11966</v>
      </c>
      <c r="F5844" s="3" t="s">
        <v>11967</v>
      </c>
    </row>
    <row r="5845">
      <c r="A5845" s="3">
        <v>212.0</v>
      </c>
      <c r="B5845" s="3" t="s">
        <v>11280</v>
      </c>
      <c r="C5845" s="3" t="s">
        <v>11281</v>
      </c>
      <c r="D5845" s="3" t="s">
        <v>11968</v>
      </c>
      <c r="E5845" s="3" t="s">
        <v>11969</v>
      </c>
      <c r="F5845" s="3" t="s">
        <v>11970</v>
      </c>
    </row>
    <row r="5846">
      <c r="A5846" s="3">
        <v>213.0</v>
      </c>
      <c r="B5846" s="3" t="s">
        <v>11280</v>
      </c>
      <c r="C5846" s="3" t="s">
        <v>11281</v>
      </c>
      <c r="D5846" s="3" t="s">
        <v>11971</v>
      </c>
      <c r="E5846" s="3" t="s">
        <v>11972</v>
      </c>
      <c r="F5846" s="3" t="s">
        <v>11973</v>
      </c>
    </row>
    <row r="5847">
      <c r="A5847" s="3">
        <v>214.0</v>
      </c>
      <c r="B5847" s="3" t="s">
        <v>11280</v>
      </c>
      <c r="C5847" s="3" t="s">
        <v>11281</v>
      </c>
      <c r="D5847" s="3" t="s">
        <v>11974</v>
      </c>
      <c r="E5847" s="3" t="s">
        <v>11975</v>
      </c>
      <c r="F5847" s="3" t="s">
        <v>11976</v>
      </c>
    </row>
    <row r="5848">
      <c r="A5848" s="3">
        <v>215.0</v>
      </c>
      <c r="B5848" s="3" t="s">
        <v>11280</v>
      </c>
      <c r="C5848" s="3" t="s">
        <v>11281</v>
      </c>
      <c r="D5848" s="3" t="s">
        <v>11977</v>
      </c>
      <c r="E5848" s="3" t="s">
        <v>11978</v>
      </c>
      <c r="F5848" s="3" t="s">
        <v>11979</v>
      </c>
    </row>
    <row r="5849">
      <c r="A5849" s="3">
        <v>216.0</v>
      </c>
      <c r="B5849" s="3" t="s">
        <v>11280</v>
      </c>
      <c r="C5849" s="3" t="s">
        <v>11281</v>
      </c>
      <c r="D5849" s="3" t="s">
        <v>11980</v>
      </c>
      <c r="E5849" s="3" t="s">
        <v>11981</v>
      </c>
      <c r="F5849" s="3" t="s">
        <v>11982</v>
      </c>
    </row>
    <row r="5850">
      <c r="A5850" s="3">
        <v>217.0</v>
      </c>
      <c r="B5850" s="3" t="s">
        <v>11280</v>
      </c>
      <c r="C5850" s="3" t="s">
        <v>11281</v>
      </c>
      <c r="D5850" s="3" t="s">
        <v>11983</v>
      </c>
      <c r="E5850" s="3" t="s">
        <v>11984</v>
      </c>
      <c r="F5850" s="3" t="s">
        <v>11985</v>
      </c>
    </row>
    <row r="5851">
      <c r="A5851" s="3">
        <v>218.0</v>
      </c>
      <c r="B5851" s="3" t="s">
        <v>11280</v>
      </c>
      <c r="C5851" s="3" t="s">
        <v>11281</v>
      </c>
      <c r="D5851" s="3" t="s">
        <v>11986</v>
      </c>
      <c r="E5851" s="3" t="s">
        <v>11987</v>
      </c>
      <c r="F5851" s="3" t="s">
        <v>11988</v>
      </c>
    </row>
    <row r="5852">
      <c r="A5852" s="3">
        <v>219.0</v>
      </c>
      <c r="B5852" s="3" t="s">
        <v>11280</v>
      </c>
      <c r="C5852" s="3" t="s">
        <v>11281</v>
      </c>
      <c r="D5852" s="3" t="s">
        <v>11989</v>
      </c>
      <c r="E5852" s="3" t="s">
        <v>11990</v>
      </c>
      <c r="F5852" s="3" t="s">
        <v>11970</v>
      </c>
    </row>
    <row r="5853">
      <c r="A5853" s="3">
        <v>220.0</v>
      </c>
      <c r="B5853" s="3" t="s">
        <v>11280</v>
      </c>
      <c r="C5853" s="3" t="s">
        <v>11281</v>
      </c>
      <c r="D5853" s="3" t="s">
        <v>11991</v>
      </c>
      <c r="E5853" s="3" t="s">
        <v>11992</v>
      </c>
      <c r="F5853" s="3" t="s">
        <v>11973</v>
      </c>
    </row>
    <row r="5854">
      <c r="A5854" s="3">
        <v>221.0</v>
      </c>
      <c r="B5854" s="3" t="s">
        <v>11280</v>
      </c>
      <c r="C5854" s="3" t="s">
        <v>11281</v>
      </c>
      <c r="D5854" s="3" t="s">
        <v>11993</v>
      </c>
      <c r="E5854" s="3" t="s">
        <v>11994</v>
      </c>
      <c r="F5854" s="3" t="s">
        <v>11976</v>
      </c>
    </row>
    <row r="5855">
      <c r="A5855" s="3">
        <v>222.0</v>
      </c>
      <c r="B5855" s="3" t="s">
        <v>11280</v>
      </c>
      <c r="C5855" s="3" t="s">
        <v>11281</v>
      </c>
      <c r="D5855" s="3" t="s">
        <v>11995</v>
      </c>
      <c r="E5855" s="3" t="s">
        <v>11996</v>
      </c>
      <c r="F5855" s="3" t="s">
        <v>11979</v>
      </c>
    </row>
    <row r="5856">
      <c r="A5856" s="3">
        <v>223.0</v>
      </c>
      <c r="B5856" s="3" t="s">
        <v>11280</v>
      </c>
      <c r="C5856" s="3" t="s">
        <v>11281</v>
      </c>
      <c r="D5856" s="3" t="s">
        <v>11997</v>
      </c>
      <c r="E5856" s="3" t="s">
        <v>11998</v>
      </c>
      <c r="F5856" s="3" t="s">
        <v>11982</v>
      </c>
    </row>
    <row r="5857">
      <c r="A5857" s="3">
        <v>224.0</v>
      </c>
      <c r="B5857" s="3" t="s">
        <v>11280</v>
      </c>
      <c r="C5857" s="3" t="s">
        <v>11281</v>
      </c>
      <c r="D5857" s="3" t="s">
        <v>11999</v>
      </c>
      <c r="E5857" s="3" t="s">
        <v>12000</v>
      </c>
      <c r="F5857" s="3" t="s">
        <v>12001</v>
      </c>
    </row>
    <row r="5858">
      <c r="A5858" s="3">
        <v>225.0</v>
      </c>
      <c r="B5858" s="3" t="s">
        <v>11280</v>
      </c>
      <c r="C5858" s="3" t="s">
        <v>11281</v>
      </c>
      <c r="D5858" s="3" t="s">
        <v>12002</v>
      </c>
      <c r="E5858" s="3" t="s">
        <v>12003</v>
      </c>
      <c r="F5858" s="3" t="s">
        <v>12004</v>
      </c>
    </row>
    <row r="5859">
      <c r="A5859" s="3">
        <v>226.0</v>
      </c>
      <c r="B5859" s="3" t="s">
        <v>11280</v>
      </c>
      <c r="C5859" s="3" t="s">
        <v>11281</v>
      </c>
      <c r="D5859" s="3" t="s">
        <v>12005</v>
      </c>
      <c r="E5859" s="3" t="s">
        <v>12006</v>
      </c>
      <c r="F5859" s="3" t="s">
        <v>12007</v>
      </c>
    </row>
    <row r="5860">
      <c r="A5860" s="3">
        <v>227.0</v>
      </c>
      <c r="B5860" s="3" t="s">
        <v>11280</v>
      </c>
      <c r="C5860" s="3" t="s">
        <v>11281</v>
      </c>
      <c r="D5860" s="3" t="s">
        <v>12008</v>
      </c>
      <c r="E5860" s="3" t="s">
        <v>12009</v>
      </c>
      <c r="F5860" s="3" t="s">
        <v>12010</v>
      </c>
    </row>
    <row r="5861">
      <c r="A5861" s="3">
        <v>228.0</v>
      </c>
      <c r="B5861" s="3" t="s">
        <v>11280</v>
      </c>
      <c r="C5861" s="3" t="s">
        <v>11281</v>
      </c>
      <c r="D5861" s="3" t="s">
        <v>12011</v>
      </c>
      <c r="E5861" s="3" t="s">
        <v>12012</v>
      </c>
      <c r="F5861" s="3" t="s">
        <v>11985</v>
      </c>
    </row>
    <row r="5862">
      <c r="A5862" s="3">
        <v>229.0</v>
      </c>
      <c r="B5862" s="3" t="s">
        <v>11280</v>
      </c>
      <c r="C5862" s="3" t="s">
        <v>11281</v>
      </c>
      <c r="D5862" s="3" t="s">
        <v>12013</v>
      </c>
      <c r="E5862" s="3" t="s">
        <v>12014</v>
      </c>
      <c r="F5862" s="3" t="s">
        <v>11988</v>
      </c>
    </row>
    <row r="5863">
      <c r="A5863" s="3">
        <v>230.0</v>
      </c>
      <c r="B5863" s="3" t="s">
        <v>11280</v>
      </c>
      <c r="C5863" s="3" t="s">
        <v>11281</v>
      </c>
      <c r="D5863" s="3" t="s">
        <v>12015</v>
      </c>
      <c r="E5863" s="3" t="s">
        <v>12016</v>
      </c>
      <c r="F5863" s="3" t="s">
        <v>12015</v>
      </c>
    </row>
    <row r="5864">
      <c r="A5864" s="3">
        <v>231.0</v>
      </c>
      <c r="B5864" s="3" t="s">
        <v>11280</v>
      </c>
      <c r="C5864" s="3" t="s">
        <v>11281</v>
      </c>
      <c r="D5864" s="3" t="s">
        <v>12017</v>
      </c>
      <c r="E5864" s="3" t="s">
        <v>12018</v>
      </c>
      <c r="F5864" s="3" t="s">
        <v>12017</v>
      </c>
    </row>
    <row r="5865">
      <c r="A5865" s="3">
        <v>232.0</v>
      </c>
      <c r="B5865" s="3" t="s">
        <v>11280</v>
      </c>
      <c r="C5865" s="3" t="s">
        <v>11281</v>
      </c>
      <c r="D5865" s="3" t="s">
        <v>447</v>
      </c>
      <c r="E5865" s="3" t="s">
        <v>446</v>
      </c>
      <c r="F5865" s="3" t="s">
        <v>447</v>
      </c>
    </row>
    <row r="5866">
      <c r="A5866" s="3">
        <v>233.0</v>
      </c>
      <c r="B5866" s="3" t="s">
        <v>11280</v>
      </c>
      <c r="C5866" s="3" t="s">
        <v>11281</v>
      </c>
      <c r="D5866" s="3" t="s">
        <v>12019</v>
      </c>
      <c r="E5866" s="3" t="s">
        <v>12020</v>
      </c>
      <c r="F5866" s="3" t="s">
        <v>12019</v>
      </c>
    </row>
    <row r="5867">
      <c r="A5867" s="3">
        <v>234.0</v>
      </c>
      <c r="B5867" s="3" t="s">
        <v>11280</v>
      </c>
      <c r="C5867" s="3" t="s">
        <v>11281</v>
      </c>
      <c r="D5867" s="3" t="s">
        <v>12021</v>
      </c>
      <c r="E5867" s="3" t="s">
        <v>12022</v>
      </c>
      <c r="F5867" s="3" t="s">
        <v>12021</v>
      </c>
    </row>
    <row r="5868">
      <c r="A5868" s="3">
        <v>235.0</v>
      </c>
      <c r="B5868" s="3" t="s">
        <v>11280</v>
      </c>
      <c r="C5868" s="3" t="s">
        <v>11281</v>
      </c>
      <c r="D5868" s="3" t="s">
        <v>12023</v>
      </c>
      <c r="E5868" s="3" t="s">
        <v>12024</v>
      </c>
      <c r="F5868" s="3" t="s">
        <v>12023</v>
      </c>
    </row>
    <row r="5869">
      <c r="A5869" s="3">
        <v>236.0</v>
      </c>
      <c r="B5869" s="3" t="s">
        <v>11280</v>
      </c>
      <c r="C5869" s="3" t="s">
        <v>11281</v>
      </c>
      <c r="D5869" s="3" t="s">
        <v>12025</v>
      </c>
      <c r="E5869" s="3" t="s">
        <v>12026</v>
      </c>
      <c r="F5869" s="3" t="s">
        <v>12025</v>
      </c>
    </row>
    <row r="5870">
      <c r="A5870" s="3">
        <v>237.0</v>
      </c>
      <c r="B5870" s="3" t="s">
        <v>11280</v>
      </c>
      <c r="C5870" s="3" t="s">
        <v>11281</v>
      </c>
      <c r="D5870" s="3" t="s">
        <v>12027</v>
      </c>
      <c r="E5870" s="3" t="s">
        <v>12028</v>
      </c>
      <c r="F5870" s="3" t="s">
        <v>12027</v>
      </c>
    </row>
    <row r="5871">
      <c r="A5871" s="3">
        <v>238.0</v>
      </c>
      <c r="B5871" s="3" t="s">
        <v>11280</v>
      </c>
      <c r="C5871" s="3" t="s">
        <v>11281</v>
      </c>
      <c r="D5871" s="3" t="s">
        <v>456</v>
      </c>
      <c r="E5871" s="3" t="s">
        <v>455</v>
      </c>
      <c r="F5871" s="3" t="s">
        <v>456</v>
      </c>
    </row>
    <row r="5872">
      <c r="A5872" s="3">
        <v>239.0</v>
      </c>
      <c r="B5872" s="3" t="s">
        <v>11280</v>
      </c>
      <c r="C5872" s="3" t="s">
        <v>11281</v>
      </c>
      <c r="D5872" s="3" t="s">
        <v>12029</v>
      </c>
      <c r="E5872" s="3" t="s">
        <v>12030</v>
      </c>
      <c r="F5872" s="3" t="s">
        <v>12029</v>
      </c>
    </row>
    <row r="5873">
      <c r="A5873" s="3">
        <v>240.0</v>
      </c>
      <c r="B5873" s="3" t="s">
        <v>11280</v>
      </c>
      <c r="C5873" s="3" t="s">
        <v>11281</v>
      </c>
      <c r="D5873" s="3" t="s">
        <v>12031</v>
      </c>
      <c r="E5873" s="3" t="s">
        <v>12032</v>
      </c>
      <c r="F5873" s="3" t="s">
        <v>12031</v>
      </c>
    </row>
    <row r="5874">
      <c r="A5874" s="3">
        <v>241.0</v>
      </c>
      <c r="B5874" s="3" t="s">
        <v>11280</v>
      </c>
      <c r="C5874" s="3" t="s">
        <v>11281</v>
      </c>
      <c r="D5874" s="3" t="s">
        <v>12033</v>
      </c>
      <c r="E5874" s="3" t="s">
        <v>12034</v>
      </c>
      <c r="F5874" s="3" t="s">
        <v>12033</v>
      </c>
    </row>
    <row r="5875">
      <c r="A5875" s="3">
        <v>242.0</v>
      </c>
      <c r="B5875" s="3" t="s">
        <v>11280</v>
      </c>
      <c r="C5875" s="3" t="s">
        <v>11281</v>
      </c>
      <c r="D5875" s="3" t="s">
        <v>12035</v>
      </c>
      <c r="E5875" s="3" t="s">
        <v>12036</v>
      </c>
      <c r="F5875" s="3" t="s">
        <v>12035</v>
      </c>
    </row>
    <row r="5876">
      <c r="A5876" s="3">
        <v>243.0</v>
      </c>
      <c r="B5876" s="3" t="s">
        <v>11280</v>
      </c>
      <c r="C5876" s="3" t="s">
        <v>11281</v>
      </c>
      <c r="D5876" s="3" t="s">
        <v>12037</v>
      </c>
      <c r="E5876" s="3" t="s">
        <v>12038</v>
      </c>
      <c r="F5876" s="3" t="s">
        <v>12037</v>
      </c>
    </row>
    <row r="5877">
      <c r="A5877" s="3">
        <v>244.0</v>
      </c>
      <c r="B5877" s="3" t="s">
        <v>11280</v>
      </c>
      <c r="C5877" s="3" t="s">
        <v>11281</v>
      </c>
      <c r="D5877" s="3" t="s">
        <v>12039</v>
      </c>
      <c r="E5877" s="3" t="s">
        <v>12040</v>
      </c>
      <c r="F5877" s="3" t="s">
        <v>12039</v>
      </c>
    </row>
    <row r="5878">
      <c r="A5878" s="3">
        <v>245.0</v>
      </c>
      <c r="B5878" s="3" t="s">
        <v>11280</v>
      </c>
      <c r="C5878" s="3" t="s">
        <v>11281</v>
      </c>
      <c r="D5878" s="3" t="s">
        <v>12041</v>
      </c>
      <c r="E5878" s="3" t="s">
        <v>12042</v>
      </c>
      <c r="F5878" s="3" t="s">
        <v>12041</v>
      </c>
    </row>
    <row r="5879">
      <c r="A5879" s="3">
        <v>246.0</v>
      </c>
      <c r="B5879" s="3" t="s">
        <v>11280</v>
      </c>
      <c r="C5879" s="3" t="s">
        <v>11281</v>
      </c>
      <c r="D5879" s="3" t="s">
        <v>12043</v>
      </c>
      <c r="E5879" s="3" t="s">
        <v>12034</v>
      </c>
      <c r="F5879" s="3" t="s">
        <v>12033</v>
      </c>
    </row>
    <row r="5880">
      <c r="A5880" s="3">
        <v>247.0</v>
      </c>
      <c r="B5880" s="3" t="s">
        <v>11280</v>
      </c>
      <c r="C5880" s="3" t="s">
        <v>11281</v>
      </c>
      <c r="D5880" s="3" t="s">
        <v>12044</v>
      </c>
      <c r="E5880" s="3" t="s">
        <v>12045</v>
      </c>
      <c r="F5880" s="3" t="s">
        <v>12044</v>
      </c>
    </row>
    <row r="5881">
      <c r="A5881" s="3">
        <v>248.0</v>
      </c>
      <c r="B5881" s="3" t="s">
        <v>11280</v>
      </c>
      <c r="C5881" s="3" t="s">
        <v>11281</v>
      </c>
      <c r="D5881" s="3" t="s">
        <v>12046</v>
      </c>
      <c r="E5881" s="3" t="s">
        <v>12047</v>
      </c>
      <c r="F5881" s="3" t="s">
        <v>12046</v>
      </c>
    </row>
    <row r="5882">
      <c r="A5882" s="3">
        <v>249.0</v>
      </c>
      <c r="B5882" s="3" t="s">
        <v>11280</v>
      </c>
      <c r="C5882" s="3" t="s">
        <v>11281</v>
      </c>
      <c r="D5882" s="3" t="s">
        <v>12048</v>
      </c>
      <c r="E5882" s="3" t="s">
        <v>12049</v>
      </c>
      <c r="F5882" s="3" t="s">
        <v>12048</v>
      </c>
    </row>
    <row r="5883">
      <c r="A5883" s="3">
        <v>250.0</v>
      </c>
      <c r="B5883" s="3" t="s">
        <v>11280</v>
      </c>
      <c r="C5883" s="3" t="s">
        <v>11281</v>
      </c>
      <c r="D5883" s="3" t="s">
        <v>12050</v>
      </c>
      <c r="E5883" s="3" t="s">
        <v>12051</v>
      </c>
      <c r="F5883" s="3" t="s">
        <v>12050</v>
      </c>
    </row>
    <row r="5884">
      <c r="A5884" s="3">
        <v>251.0</v>
      </c>
      <c r="B5884" s="3" t="s">
        <v>11280</v>
      </c>
      <c r="C5884" s="3" t="s">
        <v>11281</v>
      </c>
      <c r="D5884" s="3" t="s">
        <v>12052</v>
      </c>
      <c r="E5884" s="3" t="s">
        <v>12053</v>
      </c>
      <c r="F5884" s="3" t="s">
        <v>12052</v>
      </c>
    </row>
    <row r="5885">
      <c r="A5885" s="3">
        <v>252.0</v>
      </c>
      <c r="B5885" s="3" t="s">
        <v>11280</v>
      </c>
      <c r="C5885" s="3" t="s">
        <v>11281</v>
      </c>
      <c r="D5885" s="3" t="s">
        <v>12054</v>
      </c>
      <c r="E5885" s="3" t="s">
        <v>12055</v>
      </c>
      <c r="F5885" s="3" t="s">
        <v>12054</v>
      </c>
    </row>
    <row r="5886">
      <c r="A5886" s="3">
        <v>253.0</v>
      </c>
      <c r="B5886" s="3" t="s">
        <v>11280</v>
      </c>
      <c r="C5886" s="3" t="s">
        <v>11281</v>
      </c>
      <c r="D5886" s="3" t="s">
        <v>12056</v>
      </c>
      <c r="E5886" s="3" t="s">
        <v>12057</v>
      </c>
      <c r="F5886" s="3" t="s">
        <v>12056</v>
      </c>
    </row>
    <row r="5887">
      <c r="A5887" s="3">
        <v>254.0</v>
      </c>
      <c r="B5887" s="3" t="s">
        <v>11280</v>
      </c>
      <c r="C5887" s="3" t="s">
        <v>11281</v>
      </c>
      <c r="D5887" s="3" t="s">
        <v>12058</v>
      </c>
      <c r="E5887" s="3" t="s">
        <v>12059</v>
      </c>
      <c r="F5887" s="3" t="s">
        <v>12060</v>
      </c>
    </row>
    <row r="5888">
      <c r="A5888" s="3">
        <v>255.0</v>
      </c>
      <c r="B5888" s="3" t="s">
        <v>11280</v>
      </c>
      <c r="C5888" s="3" t="s">
        <v>11281</v>
      </c>
      <c r="D5888" s="3" t="s">
        <v>12061</v>
      </c>
      <c r="E5888" s="3" t="s">
        <v>12062</v>
      </c>
      <c r="F5888" s="3" t="s">
        <v>12063</v>
      </c>
    </row>
    <row r="5889">
      <c r="A5889" s="3">
        <v>256.0</v>
      </c>
      <c r="B5889" s="3" t="s">
        <v>11280</v>
      </c>
      <c r="C5889" s="3" t="s">
        <v>11281</v>
      </c>
      <c r="D5889" s="3" t="s">
        <v>12064</v>
      </c>
      <c r="E5889" s="3" t="s">
        <v>12065</v>
      </c>
      <c r="F5889" s="3" t="s">
        <v>12066</v>
      </c>
    </row>
    <row r="5890">
      <c r="A5890" s="3">
        <v>257.0</v>
      </c>
      <c r="B5890" s="3" t="s">
        <v>11280</v>
      </c>
      <c r="C5890" s="3" t="s">
        <v>11281</v>
      </c>
      <c r="D5890" s="3" t="s">
        <v>12067</v>
      </c>
      <c r="E5890" s="3" t="s">
        <v>12068</v>
      </c>
      <c r="F5890" s="3" t="s">
        <v>12069</v>
      </c>
    </row>
    <row r="5891">
      <c r="A5891" s="3">
        <v>258.0</v>
      </c>
      <c r="B5891" s="3" t="s">
        <v>11280</v>
      </c>
      <c r="C5891" s="3" t="s">
        <v>11281</v>
      </c>
      <c r="D5891" s="3" t="s">
        <v>12070</v>
      </c>
      <c r="E5891" s="3" t="s">
        <v>12071</v>
      </c>
      <c r="F5891" s="3" t="s">
        <v>12072</v>
      </c>
    </row>
    <row r="5892">
      <c r="A5892" s="3">
        <v>259.0</v>
      </c>
      <c r="B5892" s="3" t="s">
        <v>11280</v>
      </c>
      <c r="C5892" s="3" t="s">
        <v>11281</v>
      </c>
      <c r="D5892" s="3" t="s">
        <v>12073</v>
      </c>
      <c r="E5892" s="3" t="s">
        <v>12074</v>
      </c>
      <c r="F5892" s="3" t="s">
        <v>12075</v>
      </c>
    </row>
    <row r="5893">
      <c r="A5893" s="3">
        <v>260.0</v>
      </c>
      <c r="B5893" s="3" t="s">
        <v>11280</v>
      </c>
      <c r="C5893" s="3" t="s">
        <v>11281</v>
      </c>
      <c r="D5893" s="3" t="s">
        <v>12076</v>
      </c>
      <c r="E5893" s="3" t="s">
        <v>12077</v>
      </c>
      <c r="F5893" s="3" t="s">
        <v>12078</v>
      </c>
    </row>
    <row r="5894">
      <c r="A5894" s="3">
        <v>261.0</v>
      </c>
      <c r="B5894" s="3" t="s">
        <v>11280</v>
      </c>
      <c r="C5894" s="3" t="s">
        <v>11281</v>
      </c>
      <c r="D5894" s="3" t="s">
        <v>12079</v>
      </c>
      <c r="E5894" s="3" t="s">
        <v>12080</v>
      </c>
      <c r="F5894" s="3" t="s">
        <v>12079</v>
      </c>
    </row>
    <row r="5895">
      <c r="A5895" s="3">
        <v>262.0</v>
      </c>
      <c r="B5895" s="3" t="s">
        <v>11280</v>
      </c>
      <c r="C5895" s="3" t="s">
        <v>11281</v>
      </c>
      <c r="D5895" s="3" t="s">
        <v>12081</v>
      </c>
      <c r="E5895" s="3" t="s">
        <v>12082</v>
      </c>
      <c r="F5895" s="3" t="s">
        <v>12081</v>
      </c>
    </row>
    <row r="5896">
      <c r="A5896" s="3">
        <v>263.0</v>
      </c>
      <c r="B5896" s="3" t="s">
        <v>11280</v>
      </c>
      <c r="C5896" s="3" t="s">
        <v>11281</v>
      </c>
      <c r="D5896" s="3" t="s">
        <v>395</v>
      </c>
      <c r="E5896" s="3" t="s">
        <v>394</v>
      </c>
      <c r="F5896" s="3" t="s">
        <v>395</v>
      </c>
      <c r="G5896" s="3"/>
      <c r="H5896" s="3" t="s">
        <v>8514</v>
      </c>
      <c r="I5896" s="3" t="s">
        <v>8515</v>
      </c>
      <c r="J5896" s="3" t="s">
        <v>8516</v>
      </c>
      <c r="K5896" s="3" t="s">
        <v>8517</v>
      </c>
    </row>
    <row r="5897">
      <c r="A5897" s="3">
        <v>264.0</v>
      </c>
      <c r="B5897" s="3" t="s">
        <v>11280</v>
      </c>
      <c r="C5897" s="3" t="s">
        <v>11281</v>
      </c>
      <c r="D5897" s="3" t="s">
        <v>12083</v>
      </c>
      <c r="E5897" s="3" t="s">
        <v>12084</v>
      </c>
      <c r="F5897" s="3" t="s">
        <v>12085</v>
      </c>
    </row>
    <row r="5898">
      <c r="A5898" s="3">
        <v>265.0</v>
      </c>
      <c r="B5898" s="3" t="s">
        <v>11280</v>
      </c>
      <c r="C5898" s="3" t="s">
        <v>11281</v>
      </c>
      <c r="D5898" s="3" t="s">
        <v>12086</v>
      </c>
      <c r="E5898" s="3" t="s">
        <v>12087</v>
      </c>
      <c r="F5898" s="3" t="s">
        <v>12088</v>
      </c>
    </row>
    <row r="5899">
      <c r="A5899" s="3">
        <v>266.0</v>
      </c>
      <c r="B5899" s="3" t="s">
        <v>11280</v>
      </c>
      <c r="C5899" s="3" t="s">
        <v>11281</v>
      </c>
      <c r="D5899" s="3" t="s">
        <v>12089</v>
      </c>
      <c r="E5899" s="3" t="s">
        <v>12090</v>
      </c>
      <c r="F5899" s="3" t="s">
        <v>12091</v>
      </c>
    </row>
    <row r="5900">
      <c r="A5900" s="3">
        <v>267.0</v>
      </c>
      <c r="B5900" s="3" t="s">
        <v>11280</v>
      </c>
      <c r="C5900" s="3" t="s">
        <v>11281</v>
      </c>
      <c r="D5900" s="3" t="s">
        <v>12092</v>
      </c>
      <c r="E5900" s="3" t="s">
        <v>12093</v>
      </c>
      <c r="F5900" s="3" t="s">
        <v>9285</v>
      </c>
    </row>
    <row r="5901">
      <c r="A5901" s="3">
        <v>268.0</v>
      </c>
      <c r="B5901" s="3" t="s">
        <v>11280</v>
      </c>
      <c r="C5901" s="3" t="s">
        <v>11281</v>
      </c>
      <c r="D5901" s="3" t="s">
        <v>12094</v>
      </c>
      <c r="E5901" s="3" t="s">
        <v>12095</v>
      </c>
      <c r="F5901" s="3" t="s">
        <v>12096</v>
      </c>
    </row>
    <row r="5902">
      <c r="A5902" s="3">
        <v>269.0</v>
      </c>
      <c r="B5902" s="3" t="s">
        <v>11280</v>
      </c>
      <c r="C5902" s="3" t="s">
        <v>11281</v>
      </c>
      <c r="D5902" s="3" t="s">
        <v>12097</v>
      </c>
      <c r="E5902" s="3" t="s">
        <v>12098</v>
      </c>
      <c r="F5902" s="3" t="s">
        <v>12099</v>
      </c>
    </row>
    <row r="5903">
      <c r="A5903" s="3">
        <v>270.0</v>
      </c>
      <c r="B5903" s="3" t="s">
        <v>11280</v>
      </c>
      <c r="C5903" s="3" t="s">
        <v>11281</v>
      </c>
      <c r="D5903" s="3" t="s">
        <v>12100</v>
      </c>
      <c r="E5903" s="3" t="s">
        <v>12101</v>
      </c>
      <c r="F5903" s="3" t="s">
        <v>12102</v>
      </c>
    </row>
    <row r="5904">
      <c r="A5904" s="3">
        <v>271.0</v>
      </c>
      <c r="B5904" s="3" t="s">
        <v>11280</v>
      </c>
      <c r="C5904" s="3" t="s">
        <v>11281</v>
      </c>
      <c r="D5904" s="3" t="s">
        <v>12103</v>
      </c>
      <c r="E5904" s="3" t="s">
        <v>12104</v>
      </c>
      <c r="F5904" s="3" t="s">
        <v>12105</v>
      </c>
    </row>
    <row r="5905">
      <c r="A5905" s="3">
        <v>272.0</v>
      </c>
      <c r="B5905" s="3" t="s">
        <v>11280</v>
      </c>
      <c r="C5905" s="3" t="s">
        <v>11281</v>
      </c>
      <c r="D5905" s="3" t="s">
        <v>12106</v>
      </c>
      <c r="E5905" s="3" t="s">
        <v>12107</v>
      </c>
      <c r="F5905" s="3" t="s">
        <v>12108</v>
      </c>
    </row>
    <row r="5906">
      <c r="A5906" s="3">
        <v>273.0</v>
      </c>
      <c r="B5906" s="3" t="s">
        <v>11280</v>
      </c>
      <c r="C5906" s="3" t="s">
        <v>11281</v>
      </c>
      <c r="D5906" s="3" t="s">
        <v>12109</v>
      </c>
      <c r="E5906" s="3" t="s">
        <v>12110</v>
      </c>
      <c r="F5906" s="3" t="s">
        <v>12111</v>
      </c>
    </row>
    <row r="5907">
      <c r="A5907" s="3">
        <v>274.0</v>
      </c>
      <c r="B5907" s="3" t="s">
        <v>11280</v>
      </c>
      <c r="C5907" s="3" t="s">
        <v>11281</v>
      </c>
      <c r="D5907" s="3" t="s">
        <v>12112</v>
      </c>
      <c r="E5907" s="3" t="s">
        <v>12113</v>
      </c>
      <c r="F5907" s="3" t="s">
        <v>12114</v>
      </c>
    </row>
    <row r="5908">
      <c r="A5908" s="3">
        <v>275.0</v>
      </c>
      <c r="B5908" s="3" t="s">
        <v>11280</v>
      </c>
      <c r="C5908" s="3" t="s">
        <v>11281</v>
      </c>
      <c r="D5908" s="3" t="s">
        <v>12115</v>
      </c>
      <c r="E5908" s="3" t="s">
        <v>12116</v>
      </c>
      <c r="F5908" s="3" t="s">
        <v>12117</v>
      </c>
    </row>
    <row r="5909">
      <c r="A5909" s="3">
        <v>276.0</v>
      </c>
      <c r="B5909" s="3" t="s">
        <v>11280</v>
      </c>
      <c r="C5909" s="3" t="s">
        <v>11281</v>
      </c>
      <c r="D5909" s="3" t="s">
        <v>12118</v>
      </c>
      <c r="E5909" s="3" t="s">
        <v>12119</v>
      </c>
      <c r="F5909" s="3" t="s">
        <v>12120</v>
      </c>
    </row>
    <row r="5910">
      <c r="A5910" s="3">
        <v>277.0</v>
      </c>
      <c r="B5910" s="3" t="s">
        <v>11280</v>
      </c>
      <c r="C5910" s="3" t="s">
        <v>11281</v>
      </c>
      <c r="D5910" s="3" t="s">
        <v>12121</v>
      </c>
      <c r="E5910" s="3" t="s">
        <v>12122</v>
      </c>
      <c r="F5910" s="3" t="s">
        <v>12123</v>
      </c>
    </row>
    <row r="5911">
      <c r="A5911" s="3">
        <v>278.0</v>
      </c>
      <c r="B5911" s="3" t="s">
        <v>11280</v>
      </c>
      <c r="C5911" s="3" t="s">
        <v>11281</v>
      </c>
      <c r="D5911" s="3" t="s">
        <v>530</v>
      </c>
      <c r="E5911" s="3" t="s">
        <v>529</v>
      </c>
      <c r="F5911" s="3" t="s">
        <v>530</v>
      </c>
    </row>
    <row r="5912">
      <c r="A5912" s="3">
        <v>279.0</v>
      </c>
      <c r="B5912" s="3" t="s">
        <v>11280</v>
      </c>
      <c r="C5912" s="3" t="s">
        <v>11281</v>
      </c>
      <c r="D5912" s="3" t="s">
        <v>12124</v>
      </c>
      <c r="E5912" s="3" t="s">
        <v>12125</v>
      </c>
      <c r="F5912" s="3" t="s">
        <v>12124</v>
      </c>
    </row>
    <row r="5913">
      <c r="A5913" s="3">
        <v>280.0</v>
      </c>
      <c r="B5913" s="3" t="s">
        <v>11280</v>
      </c>
      <c r="C5913" s="3" t="s">
        <v>11281</v>
      </c>
      <c r="D5913" s="3" t="s">
        <v>12126</v>
      </c>
      <c r="E5913" s="3" t="s">
        <v>12127</v>
      </c>
      <c r="F5913" s="3" t="s">
        <v>12126</v>
      </c>
    </row>
    <row r="5914">
      <c r="A5914" s="3">
        <v>281.0</v>
      </c>
      <c r="B5914" s="3" t="s">
        <v>11280</v>
      </c>
      <c r="C5914" s="3" t="s">
        <v>11281</v>
      </c>
      <c r="D5914" s="3" t="s">
        <v>12128</v>
      </c>
      <c r="E5914" s="3" t="s">
        <v>12129</v>
      </c>
      <c r="F5914" s="3" t="s">
        <v>12128</v>
      </c>
    </row>
    <row r="5915">
      <c r="A5915" s="3">
        <v>282.0</v>
      </c>
      <c r="B5915" s="3" t="s">
        <v>11280</v>
      </c>
      <c r="C5915" s="3" t="s">
        <v>11281</v>
      </c>
      <c r="D5915" s="3" t="s">
        <v>12130</v>
      </c>
      <c r="E5915" s="3" t="s">
        <v>12131</v>
      </c>
      <c r="F5915" s="3" t="s">
        <v>12130</v>
      </c>
    </row>
    <row r="5916">
      <c r="A5916" s="3">
        <v>283.0</v>
      </c>
      <c r="B5916" s="3" t="s">
        <v>11280</v>
      </c>
      <c r="C5916" s="3" t="s">
        <v>11281</v>
      </c>
      <c r="D5916" s="3" t="s">
        <v>12132</v>
      </c>
      <c r="E5916" s="3" t="s">
        <v>12133</v>
      </c>
      <c r="F5916" s="3" t="s">
        <v>12132</v>
      </c>
    </row>
    <row r="5917">
      <c r="A5917" s="3">
        <v>284.0</v>
      </c>
      <c r="B5917" s="3" t="s">
        <v>11280</v>
      </c>
      <c r="C5917" s="3" t="s">
        <v>11281</v>
      </c>
      <c r="D5917" s="3" t="s">
        <v>12134</v>
      </c>
      <c r="E5917" s="3" t="s">
        <v>12135</v>
      </c>
      <c r="F5917" s="3" t="s">
        <v>12134</v>
      </c>
    </row>
    <row r="5918">
      <c r="A5918" s="3">
        <v>285.0</v>
      </c>
      <c r="B5918" s="3" t="s">
        <v>11280</v>
      </c>
      <c r="C5918" s="3" t="s">
        <v>11281</v>
      </c>
      <c r="D5918" s="3" t="s">
        <v>12136</v>
      </c>
      <c r="E5918" s="3" t="s">
        <v>12137</v>
      </c>
      <c r="F5918" s="3" t="s">
        <v>12136</v>
      </c>
    </row>
    <row r="5919">
      <c r="A5919" s="3">
        <v>286.0</v>
      </c>
      <c r="B5919" s="3" t="s">
        <v>11280</v>
      </c>
      <c r="C5919" s="3" t="s">
        <v>11281</v>
      </c>
      <c r="D5919" s="3" t="s">
        <v>12138</v>
      </c>
      <c r="E5919" s="3" t="s">
        <v>12139</v>
      </c>
      <c r="F5919" s="3" t="s">
        <v>12138</v>
      </c>
      <c r="G5919" s="3"/>
      <c r="H5919" s="3" t="s">
        <v>12140</v>
      </c>
    </row>
    <row r="5920">
      <c r="A5920" s="3">
        <v>287.0</v>
      </c>
      <c r="B5920" s="3" t="s">
        <v>11280</v>
      </c>
      <c r="C5920" s="3" t="s">
        <v>11281</v>
      </c>
      <c r="D5920" s="3" t="s">
        <v>12141</v>
      </c>
      <c r="E5920" s="3" t="s">
        <v>12142</v>
      </c>
      <c r="F5920" s="3" t="s">
        <v>12141</v>
      </c>
    </row>
    <row r="5921">
      <c r="A5921" s="3">
        <v>288.0</v>
      </c>
      <c r="B5921" s="3" t="s">
        <v>11280</v>
      </c>
      <c r="C5921" s="3" t="s">
        <v>11281</v>
      </c>
      <c r="D5921" s="3" t="s">
        <v>12143</v>
      </c>
      <c r="E5921" s="3" t="s">
        <v>12144</v>
      </c>
      <c r="F5921" s="3" t="s">
        <v>12143</v>
      </c>
    </row>
    <row r="5922">
      <c r="A5922" s="3">
        <v>289.0</v>
      </c>
      <c r="B5922" s="3" t="s">
        <v>11280</v>
      </c>
      <c r="C5922" s="3" t="s">
        <v>11281</v>
      </c>
      <c r="D5922" s="3" t="s">
        <v>12145</v>
      </c>
      <c r="E5922" s="3" t="s">
        <v>12146</v>
      </c>
      <c r="F5922" s="3" t="s">
        <v>12145</v>
      </c>
    </row>
    <row r="5923">
      <c r="A5923" s="3">
        <v>290.0</v>
      </c>
      <c r="B5923" s="3" t="s">
        <v>11280</v>
      </c>
      <c r="C5923" s="3" t="s">
        <v>11281</v>
      </c>
      <c r="D5923" s="3" t="s">
        <v>12147</v>
      </c>
      <c r="E5923" s="3" t="s">
        <v>12148</v>
      </c>
      <c r="F5923" s="3" t="s">
        <v>12147</v>
      </c>
    </row>
    <row r="5924">
      <c r="A5924" s="3">
        <v>291.0</v>
      </c>
      <c r="B5924" s="3" t="s">
        <v>11280</v>
      </c>
      <c r="C5924" s="3" t="s">
        <v>11281</v>
      </c>
      <c r="D5924" s="3" t="s">
        <v>12149</v>
      </c>
      <c r="E5924" s="3" t="s">
        <v>12150</v>
      </c>
      <c r="F5924" s="3" t="s">
        <v>12149</v>
      </c>
    </row>
    <row r="5925">
      <c r="A5925" s="3">
        <v>292.0</v>
      </c>
      <c r="B5925" s="3" t="s">
        <v>11280</v>
      </c>
      <c r="C5925" s="3" t="s">
        <v>11281</v>
      </c>
      <c r="D5925" s="3" t="s">
        <v>12151</v>
      </c>
      <c r="E5925" s="3" t="s">
        <v>12152</v>
      </c>
      <c r="F5925" s="3" t="s">
        <v>12151</v>
      </c>
    </row>
    <row r="5926">
      <c r="A5926" s="3">
        <v>293.0</v>
      </c>
      <c r="B5926" s="3" t="s">
        <v>11280</v>
      </c>
      <c r="C5926" s="3" t="s">
        <v>11281</v>
      </c>
      <c r="D5926" s="3" t="s">
        <v>12153</v>
      </c>
      <c r="E5926" s="3" t="s">
        <v>12154</v>
      </c>
      <c r="F5926" s="3" t="s">
        <v>12153</v>
      </c>
    </row>
    <row r="5927">
      <c r="A5927" s="3">
        <v>294.0</v>
      </c>
      <c r="B5927" s="3" t="s">
        <v>11280</v>
      </c>
      <c r="C5927" s="3" t="s">
        <v>11281</v>
      </c>
      <c r="D5927" s="3" t="s">
        <v>12155</v>
      </c>
      <c r="E5927" s="3" t="s">
        <v>12156</v>
      </c>
      <c r="F5927" s="3" t="s">
        <v>12155</v>
      </c>
    </row>
    <row r="5928">
      <c r="A5928" s="3">
        <v>295.0</v>
      </c>
      <c r="B5928" s="3" t="s">
        <v>11280</v>
      </c>
      <c r="C5928" s="3" t="s">
        <v>11281</v>
      </c>
      <c r="D5928" s="3" t="s">
        <v>12157</v>
      </c>
      <c r="E5928" s="3" t="s">
        <v>12158</v>
      </c>
      <c r="F5928" s="3" t="s">
        <v>12157</v>
      </c>
    </row>
    <row r="5929">
      <c r="A5929" s="3">
        <v>296.0</v>
      </c>
      <c r="B5929" s="3" t="s">
        <v>11280</v>
      </c>
      <c r="C5929" s="3" t="s">
        <v>11281</v>
      </c>
      <c r="D5929" s="3" t="s">
        <v>12159</v>
      </c>
      <c r="E5929" s="3" t="s">
        <v>12160</v>
      </c>
      <c r="F5929" s="3" t="s">
        <v>12159</v>
      </c>
    </row>
    <row r="5930">
      <c r="A5930" s="3">
        <v>297.0</v>
      </c>
      <c r="B5930" s="3" t="s">
        <v>11280</v>
      </c>
      <c r="C5930" s="3" t="s">
        <v>11281</v>
      </c>
      <c r="D5930" s="3" t="s">
        <v>12161</v>
      </c>
      <c r="E5930" s="3" t="s">
        <v>12162</v>
      </c>
      <c r="F5930" s="3" t="s">
        <v>12161</v>
      </c>
    </row>
    <row r="5931">
      <c r="A5931" s="3">
        <v>298.0</v>
      </c>
      <c r="B5931" s="3" t="s">
        <v>11280</v>
      </c>
      <c r="C5931" s="3" t="s">
        <v>11281</v>
      </c>
      <c r="D5931" s="3" t="s">
        <v>12163</v>
      </c>
      <c r="E5931" s="3" t="s">
        <v>12164</v>
      </c>
      <c r="F5931" s="3" t="s">
        <v>12163</v>
      </c>
    </row>
    <row r="5932">
      <c r="A5932" s="3">
        <v>299.0</v>
      </c>
      <c r="B5932" s="3" t="s">
        <v>11280</v>
      </c>
      <c r="C5932" s="3" t="s">
        <v>11281</v>
      </c>
      <c r="D5932" s="3" t="s">
        <v>12165</v>
      </c>
      <c r="E5932" s="3" t="s">
        <v>12166</v>
      </c>
      <c r="F5932" s="3" t="s">
        <v>12167</v>
      </c>
    </row>
    <row r="5933">
      <c r="A5933" s="3">
        <v>300.0</v>
      </c>
      <c r="B5933" s="3" t="s">
        <v>11280</v>
      </c>
      <c r="C5933" s="3" t="s">
        <v>11281</v>
      </c>
      <c r="D5933" s="3" t="s">
        <v>12168</v>
      </c>
      <c r="E5933" s="3" t="s">
        <v>12169</v>
      </c>
      <c r="F5933" s="3" t="s">
        <v>12170</v>
      </c>
    </row>
    <row r="5934">
      <c r="A5934" s="3">
        <v>301.0</v>
      </c>
      <c r="B5934" s="3" t="s">
        <v>11280</v>
      </c>
      <c r="C5934" s="3" t="s">
        <v>11281</v>
      </c>
      <c r="D5934" s="3" t="s">
        <v>12171</v>
      </c>
      <c r="E5934" s="3" t="s">
        <v>12172</v>
      </c>
      <c r="F5934" s="3" t="s">
        <v>12173</v>
      </c>
    </row>
    <row r="5935">
      <c r="A5935" s="3">
        <v>302.0</v>
      </c>
      <c r="B5935" s="3" t="s">
        <v>11280</v>
      </c>
      <c r="C5935" s="3" t="s">
        <v>11281</v>
      </c>
      <c r="D5935" s="3" t="s">
        <v>12174</v>
      </c>
      <c r="E5935" s="3" t="s">
        <v>12175</v>
      </c>
      <c r="F5935" s="3" t="s">
        <v>12176</v>
      </c>
    </row>
    <row r="5936">
      <c r="A5936" s="3">
        <v>303.0</v>
      </c>
      <c r="B5936" s="3" t="s">
        <v>11280</v>
      </c>
      <c r="C5936" s="3" t="s">
        <v>11281</v>
      </c>
      <c r="D5936" s="3" t="s">
        <v>12177</v>
      </c>
      <c r="E5936" s="3" t="s">
        <v>12178</v>
      </c>
      <c r="F5936" s="3" t="s">
        <v>12179</v>
      </c>
    </row>
    <row r="5937">
      <c r="A5937" s="3">
        <v>304.0</v>
      </c>
      <c r="B5937" s="3" t="s">
        <v>11280</v>
      </c>
      <c r="C5937" s="3" t="s">
        <v>11281</v>
      </c>
      <c r="D5937" s="3" t="s">
        <v>12180</v>
      </c>
      <c r="E5937" s="3" t="s">
        <v>12181</v>
      </c>
      <c r="F5937" s="3" t="s">
        <v>12182</v>
      </c>
    </row>
    <row r="5938">
      <c r="A5938" s="3">
        <v>305.0</v>
      </c>
      <c r="B5938" s="3" t="s">
        <v>11280</v>
      </c>
      <c r="C5938" s="3" t="s">
        <v>11281</v>
      </c>
      <c r="D5938" s="3" t="s">
        <v>12183</v>
      </c>
      <c r="E5938" s="3" t="s">
        <v>12184</v>
      </c>
      <c r="F5938" s="3" t="s">
        <v>12185</v>
      </c>
    </row>
    <row r="5939">
      <c r="A5939" s="3">
        <v>306.0</v>
      </c>
      <c r="B5939" s="3" t="s">
        <v>11280</v>
      </c>
      <c r="C5939" s="3" t="s">
        <v>11281</v>
      </c>
      <c r="D5939" s="3" t="s">
        <v>404</v>
      </c>
      <c r="E5939" s="3" t="s">
        <v>403</v>
      </c>
      <c r="F5939" s="3" t="s">
        <v>404</v>
      </c>
    </row>
    <row r="5940">
      <c r="A5940" s="3">
        <v>307.0</v>
      </c>
      <c r="B5940" s="3" t="s">
        <v>11280</v>
      </c>
      <c r="C5940" s="3" t="s">
        <v>11281</v>
      </c>
      <c r="D5940" s="3" t="s">
        <v>509</v>
      </c>
      <c r="E5940" s="3" t="s">
        <v>508</v>
      </c>
      <c r="F5940" s="3" t="s">
        <v>509</v>
      </c>
    </row>
    <row r="5941">
      <c r="A5941" s="3">
        <v>308.0</v>
      </c>
      <c r="B5941" s="3" t="s">
        <v>11280</v>
      </c>
      <c r="C5941" s="3" t="s">
        <v>11281</v>
      </c>
      <c r="D5941" s="3" t="s">
        <v>12186</v>
      </c>
      <c r="E5941" s="3" t="s">
        <v>12187</v>
      </c>
      <c r="F5941" s="3" t="s">
        <v>12186</v>
      </c>
    </row>
    <row r="5942">
      <c r="A5942" s="3">
        <v>309.0</v>
      </c>
      <c r="B5942" s="3" t="s">
        <v>11280</v>
      </c>
      <c r="C5942" s="3" t="s">
        <v>11281</v>
      </c>
      <c r="D5942" s="3" t="s">
        <v>12188</v>
      </c>
      <c r="E5942" s="3" t="s">
        <v>12189</v>
      </c>
      <c r="F5942" s="3" t="s">
        <v>12188</v>
      </c>
      <c r="G5942" s="3"/>
      <c r="H5942" s="3" t="s">
        <v>12190</v>
      </c>
      <c r="I5942" s="3" t="s">
        <v>12191</v>
      </c>
    </row>
    <row r="5943">
      <c r="A5943" s="3">
        <v>310.0</v>
      </c>
      <c r="B5943" s="3" t="s">
        <v>11280</v>
      </c>
      <c r="C5943" s="3" t="s">
        <v>11281</v>
      </c>
      <c r="D5943" s="3" t="s">
        <v>12192</v>
      </c>
      <c r="E5943" s="3" t="s">
        <v>12193</v>
      </c>
      <c r="F5943" s="3" t="s">
        <v>12192</v>
      </c>
    </row>
    <row r="5944">
      <c r="A5944" s="3">
        <v>311.0</v>
      </c>
      <c r="B5944" s="3" t="s">
        <v>11280</v>
      </c>
      <c r="C5944" s="3" t="s">
        <v>11281</v>
      </c>
      <c r="D5944" s="3" t="s">
        <v>12194</v>
      </c>
      <c r="E5944" s="3" t="s">
        <v>12195</v>
      </c>
      <c r="F5944" s="3" t="s">
        <v>12194</v>
      </c>
    </row>
    <row r="5945">
      <c r="A5945" s="3">
        <v>312.0</v>
      </c>
      <c r="B5945" s="3" t="s">
        <v>11280</v>
      </c>
      <c r="C5945" s="3" t="s">
        <v>11281</v>
      </c>
      <c r="D5945" s="3" t="s">
        <v>12196</v>
      </c>
      <c r="E5945" s="3" t="s">
        <v>12197</v>
      </c>
      <c r="F5945" s="3" t="s">
        <v>12196</v>
      </c>
    </row>
    <row r="5946">
      <c r="A5946" s="3">
        <v>313.0</v>
      </c>
      <c r="B5946" s="3" t="s">
        <v>11280</v>
      </c>
      <c r="C5946" s="3" t="s">
        <v>11281</v>
      </c>
      <c r="D5946" s="3" t="s">
        <v>518</v>
      </c>
      <c r="E5946" s="3" t="s">
        <v>517</v>
      </c>
      <c r="F5946" s="3" t="s">
        <v>518</v>
      </c>
    </row>
    <row r="5947">
      <c r="A5947" s="3">
        <v>314.0</v>
      </c>
      <c r="B5947" s="3" t="s">
        <v>11280</v>
      </c>
      <c r="C5947" s="3" t="s">
        <v>11281</v>
      </c>
      <c r="D5947" s="3" t="s">
        <v>12198</v>
      </c>
      <c r="E5947" s="3" t="s">
        <v>12199</v>
      </c>
      <c r="F5947" s="3" t="s">
        <v>12200</v>
      </c>
      <c r="G5947" s="3"/>
      <c r="H5947" s="3" t="s">
        <v>8776</v>
      </c>
      <c r="I5947" s="3" t="s">
        <v>8777</v>
      </c>
      <c r="J5947" s="3" t="s">
        <v>8778</v>
      </c>
      <c r="K5947" s="3" t="s">
        <v>8522</v>
      </c>
      <c r="L5947" s="3" t="s">
        <v>8523</v>
      </c>
      <c r="M5947" s="3" t="s">
        <v>12201</v>
      </c>
      <c r="N5947" s="3" t="s">
        <v>12202</v>
      </c>
      <c r="O5947" s="3" t="s">
        <v>12203</v>
      </c>
      <c r="P5947" s="3" t="s">
        <v>555</v>
      </c>
      <c r="Q5947" s="3" t="s">
        <v>556</v>
      </c>
      <c r="R5947" s="3" t="s">
        <v>557</v>
      </c>
      <c r="S5947" s="3" t="s">
        <v>558</v>
      </c>
      <c r="T5947" s="3" t="s">
        <v>559</v>
      </c>
      <c r="U5947" s="3" t="s">
        <v>548</v>
      </c>
    </row>
    <row r="5948">
      <c r="A5948" s="3">
        <v>315.0</v>
      </c>
      <c r="B5948" s="3" t="s">
        <v>11280</v>
      </c>
      <c r="C5948" s="3" t="s">
        <v>11281</v>
      </c>
      <c r="D5948" s="3" t="s">
        <v>12204</v>
      </c>
      <c r="E5948" s="3" t="s">
        <v>12205</v>
      </c>
      <c r="F5948" s="3" t="s">
        <v>12206</v>
      </c>
    </row>
    <row r="5949">
      <c r="A5949" s="3">
        <v>316.0</v>
      </c>
      <c r="B5949" s="3" t="s">
        <v>11280</v>
      </c>
      <c r="C5949" s="3" t="s">
        <v>11281</v>
      </c>
      <c r="D5949" s="3" t="s">
        <v>12207</v>
      </c>
      <c r="E5949" s="3" t="s">
        <v>12208</v>
      </c>
      <c r="F5949" s="3" t="s">
        <v>12209</v>
      </c>
    </row>
    <row r="5950">
      <c r="A5950" s="3">
        <v>317.0</v>
      </c>
      <c r="B5950" s="3" t="s">
        <v>11280</v>
      </c>
      <c r="C5950" s="3" t="s">
        <v>11281</v>
      </c>
      <c r="D5950" s="3" t="s">
        <v>12210</v>
      </c>
      <c r="E5950" s="3" t="s">
        <v>12211</v>
      </c>
      <c r="F5950" s="3" t="s">
        <v>12212</v>
      </c>
    </row>
    <row r="5951">
      <c r="A5951" s="3">
        <v>318.0</v>
      </c>
      <c r="B5951" s="3" t="s">
        <v>11280</v>
      </c>
      <c r="C5951" s="3" t="s">
        <v>11281</v>
      </c>
      <c r="D5951" s="3" t="s">
        <v>12213</v>
      </c>
      <c r="E5951" s="3" t="s">
        <v>12214</v>
      </c>
      <c r="F5951" s="3" t="s">
        <v>12215</v>
      </c>
    </row>
    <row r="5952">
      <c r="A5952" s="3">
        <v>319.0</v>
      </c>
      <c r="B5952" s="3" t="s">
        <v>11280</v>
      </c>
      <c r="C5952" s="3" t="s">
        <v>11281</v>
      </c>
      <c r="D5952" s="3" t="s">
        <v>12216</v>
      </c>
      <c r="E5952" s="3" t="s">
        <v>12217</v>
      </c>
      <c r="F5952" s="3" t="s">
        <v>12218</v>
      </c>
    </row>
    <row r="5953">
      <c r="A5953" s="3">
        <v>320.0</v>
      </c>
      <c r="B5953" s="3" t="s">
        <v>11280</v>
      </c>
      <c r="C5953" s="3" t="s">
        <v>11281</v>
      </c>
      <c r="D5953" s="3" t="s">
        <v>12219</v>
      </c>
      <c r="E5953" s="3" t="s">
        <v>12220</v>
      </c>
      <c r="F5953" s="3" t="s">
        <v>12221</v>
      </c>
    </row>
    <row r="5954">
      <c r="A5954" s="3">
        <v>321.0</v>
      </c>
      <c r="B5954" s="3" t="s">
        <v>11280</v>
      </c>
      <c r="C5954" s="3" t="s">
        <v>11281</v>
      </c>
      <c r="D5954" s="3" t="s">
        <v>12222</v>
      </c>
      <c r="E5954" s="3" t="s">
        <v>12223</v>
      </c>
      <c r="F5954" s="3" t="s">
        <v>12222</v>
      </c>
    </row>
    <row r="5955">
      <c r="A5955" s="3">
        <v>322.0</v>
      </c>
      <c r="B5955" s="3" t="s">
        <v>11280</v>
      </c>
      <c r="C5955" s="3" t="s">
        <v>11281</v>
      </c>
      <c r="D5955" s="3" t="s">
        <v>12224</v>
      </c>
      <c r="E5955" s="3" t="s">
        <v>12225</v>
      </c>
      <c r="F5955" s="3" t="s">
        <v>12224</v>
      </c>
    </row>
    <row r="5956">
      <c r="A5956" s="3">
        <v>323.0</v>
      </c>
      <c r="B5956" s="3" t="s">
        <v>11280</v>
      </c>
      <c r="C5956" s="3" t="s">
        <v>11281</v>
      </c>
      <c r="D5956" s="3" t="s">
        <v>12226</v>
      </c>
      <c r="E5956" s="3" t="s">
        <v>12227</v>
      </c>
      <c r="F5956" s="3" t="s">
        <v>12226</v>
      </c>
    </row>
    <row r="5957">
      <c r="A5957" s="3">
        <v>324.0</v>
      </c>
      <c r="B5957" s="3" t="s">
        <v>11280</v>
      </c>
      <c r="C5957" s="3" t="s">
        <v>11281</v>
      </c>
      <c r="D5957" s="3" t="s">
        <v>12228</v>
      </c>
      <c r="E5957" s="3" t="s">
        <v>12229</v>
      </c>
      <c r="F5957" s="3" t="s">
        <v>12228</v>
      </c>
    </row>
    <row r="5958">
      <c r="A5958" s="3">
        <v>325.0</v>
      </c>
      <c r="B5958" s="3" t="s">
        <v>11280</v>
      </c>
      <c r="C5958" s="3" t="s">
        <v>11281</v>
      </c>
      <c r="D5958" s="3" t="s">
        <v>12230</v>
      </c>
      <c r="E5958" s="3" t="s">
        <v>12231</v>
      </c>
      <c r="F5958" s="3" t="s">
        <v>12230</v>
      </c>
    </row>
    <row r="5959">
      <c r="A5959" s="3">
        <v>326.0</v>
      </c>
      <c r="B5959" s="3" t="s">
        <v>11280</v>
      </c>
      <c r="C5959" s="3" t="s">
        <v>11281</v>
      </c>
      <c r="D5959" s="3" t="s">
        <v>12232</v>
      </c>
      <c r="E5959" s="3" t="s">
        <v>12233</v>
      </c>
      <c r="F5959" s="3" t="s">
        <v>12232</v>
      </c>
    </row>
    <row r="5960">
      <c r="A5960" s="3">
        <v>327.0</v>
      </c>
      <c r="B5960" s="3" t="s">
        <v>11280</v>
      </c>
      <c r="C5960" s="3" t="s">
        <v>11281</v>
      </c>
      <c r="D5960" s="3" t="s">
        <v>12234</v>
      </c>
      <c r="E5960" s="3" t="s">
        <v>12235</v>
      </c>
      <c r="F5960" s="3" t="s">
        <v>12234</v>
      </c>
    </row>
    <row r="5961">
      <c r="A5961" s="3">
        <v>328.0</v>
      </c>
      <c r="B5961" s="3" t="s">
        <v>11280</v>
      </c>
      <c r="C5961" s="3" t="s">
        <v>11281</v>
      </c>
      <c r="D5961" s="3" t="s">
        <v>12236</v>
      </c>
      <c r="E5961" s="3" t="s">
        <v>12237</v>
      </c>
      <c r="F5961" s="3" t="s">
        <v>12236</v>
      </c>
    </row>
    <row r="5962">
      <c r="A5962" s="3">
        <v>329.0</v>
      </c>
      <c r="B5962" s="3" t="s">
        <v>11280</v>
      </c>
      <c r="C5962" s="3" t="s">
        <v>11281</v>
      </c>
      <c r="D5962" s="3" t="s">
        <v>12238</v>
      </c>
      <c r="E5962" s="3" t="s">
        <v>12239</v>
      </c>
      <c r="F5962" s="3" t="s">
        <v>12238</v>
      </c>
    </row>
    <row r="5963">
      <c r="A5963" s="3">
        <v>330.0</v>
      </c>
      <c r="B5963" s="3" t="s">
        <v>11280</v>
      </c>
      <c r="C5963" s="3" t="s">
        <v>11281</v>
      </c>
      <c r="D5963" s="3" t="s">
        <v>12240</v>
      </c>
      <c r="E5963" s="3" t="s">
        <v>12241</v>
      </c>
      <c r="F5963" s="3" t="s">
        <v>12240</v>
      </c>
    </row>
    <row r="5964">
      <c r="A5964" s="3">
        <v>331.0</v>
      </c>
      <c r="B5964" s="3" t="s">
        <v>11280</v>
      </c>
      <c r="C5964" s="3" t="s">
        <v>11281</v>
      </c>
      <c r="D5964" s="3" t="s">
        <v>12242</v>
      </c>
      <c r="E5964" s="3" t="s">
        <v>12243</v>
      </c>
      <c r="F5964" s="3" t="s">
        <v>12242</v>
      </c>
    </row>
    <row r="5965">
      <c r="A5965" s="3">
        <v>332.0</v>
      </c>
      <c r="B5965" s="3" t="s">
        <v>11280</v>
      </c>
      <c r="C5965" s="3" t="s">
        <v>11281</v>
      </c>
      <c r="D5965" s="3" t="s">
        <v>12244</v>
      </c>
      <c r="E5965" s="3" t="s">
        <v>12245</v>
      </c>
      <c r="F5965" s="3" t="s">
        <v>12244</v>
      </c>
    </row>
    <row r="5966">
      <c r="A5966" s="3">
        <v>333.0</v>
      </c>
      <c r="B5966" s="3" t="s">
        <v>11280</v>
      </c>
      <c r="C5966" s="3" t="s">
        <v>11281</v>
      </c>
      <c r="D5966" s="3" t="s">
        <v>12246</v>
      </c>
      <c r="E5966" s="3" t="s">
        <v>12247</v>
      </c>
      <c r="F5966" s="3" t="s">
        <v>12246</v>
      </c>
    </row>
    <row r="5967">
      <c r="A5967" s="3">
        <v>334.0</v>
      </c>
      <c r="B5967" s="3" t="s">
        <v>11280</v>
      </c>
      <c r="C5967" s="3" t="s">
        <v>11281</v>
      </c>
      <c r="D5967" s="3" t="s">
        <v>12248</v>
      </c>
      <c r="E5967" s="3" t="s">
        <v>12249</v>
      </c>
      <c r="F5967" s="3" t="s">
        <v>12248</v>
      </c>
    </row>
    <row r="5968">
      <c r="A5968" s="3">
        <v>335.0</v>
      </c>
      <c r="B5968" s="3" t="s">
        <v>11280</v>
      </c>
      <c r="C5968" s="3" t="s">
        <v>11281</v>
      </c>
      <c r="D5968" s="3" t="s">
        <v>12250</v>
      </c>
      <c r="E5968" s="3" t="s">
        <v>12251</v>
      </c>
      <c r="F5968" s="3" t="s">
        <v>12250</v>
      </c>
    </row>
    <row r="5969">
      <c r="A5969" s="3">
        <v>336.0</v>
      </c>
      <c r="B5969" s="3" t="s">
        <v>11280</v>
      </c>
      <c r="C5969" s="3" t="s">
        <v>11281</v>
      </c>
      <c r="D5969" s="3" t="s">
        <v>12252</v>
      </c>
      <c r="E5969" s="3" t="s">
        <v>12253</v>
      </c>
      <c r="F5969" s="3" t="s">
        <v>12252</v>
      </c>
    </row>
    <row r="5970">
      <c r="A5970" s="3">
        <v>337.0</v>
      </c>
      <c r="B5970" s="3" t="s">
        <v>11280</v>
      </c>
      <c r="C5970" s="3" t="s">
        <v>11281</v>
      </c>
      <c r="D5970" s="3" t="s">
        <v>12254</v>
      </c>
      <c r="E5970" s="3" t="s">
        <v>12255</v>
      </c>
      <c r="F5970" s="3" t="s">
        <v>12254</v>
      </c>
    </row>
    <row r="5971">
      <c r="A5971" s="3">
        <v>338.0</v>
      </c>
      <c r="B5971" s="3" t="s">
        <v>11280</v>
      </c>
      <c r="C5971" s="3" t="s">
        <v>11281</v>
      </c>
      <c r="D5971" s="3" t="s">
        <v>12256</v>
      </c>
      <c r="E5971" s="3" t="s">
        <v>12257</v>
      </c>
      <c r="F5971" s="3" t="s">
        <v>12256</v>
      </c>
    </row>
    <row r="5972">
      <c r="A5972" s="3">
        <v>339.0</v>
      </c>
      <c r="B5972" s="3" t="s">
        <v>11280</v>
      </c>
      <c r="C5972" s="3" t="s">
        <v>11281</v>
      </c>
      <c r="D5972" s="3" t="s">
        <v>12258</v>
      </c>
      <c r="E5972" s="3" t="s">
        <v>12259</v>
      </c>
      <c r="F5972" s="3" t="s">
        <v>12258</v>
      </c>
    </row>
    <row r="5973">
      <c r="A5973" s="3">
        <v>340.0</v>
      </c>
      <c r="B5973" s="3" t="s">
        <v>11280</v>
      </c>
      <c r="C5973" s="3" t="s">
        <v>11281</v>
      </c>
      <c r="D5973" s="3" t="s">
        <v>12260</v>
      </c>
      <c r="E5973" s="3" t="s">
        <v>12261</v>
      </c>
      <c r="F5973" s="3" t="s">
        <v>12260</v>
      </c>
    </row>
    <row r="5974">
      <c r="A5974" s="3">
        <v>341.0</v>
      </c>
      <c r="B5974" s="3" t="s">
        <v>11280</v>
      </c>
      <c r="C5974" s="3" t="s">
        <v>11281</v>
      </c>
      <c r="D5974" s="3" t="s">
        <v>12262</v>
      </c>
      <c r="E5974" s="3" t="s">
        <v>12263</v>
      </c>
      <c r="F5974" s="3" t="s">
        <v>12262</v>
      </c>
    </row>
    <row r="5975">
      <c r="A5975" s="3">
        <v>342.0</v>
      </c>
      <c r="B5975" s="3" t="s">
        <v>11280</v>
      </c>
      <c r="C5975" s="3" t="s">
        <v>11281</v>
      </c>
      <c r="D5975" s="3" t="s">
        <v>12264</v>
      </c>
      <c r="E5975" s="3" t="s">
        <v>12265</v>
      </c>
      <c r="F5975" s="3" t="s">
        <v>12264</v>
      </c>
    </row>
    <row r="5976">
      <c r="A5976" s="3">
        <v>343.0</v>
      </c>
      <c r="B5976" s="3" t="s">
        <v>11280</v>
      </c>
      <c r="C5976" s="3" t="s">
        <v>11281</v>
      </c>
      <c r="D5976" s="3" t="s">
        <v>12266</v>
      </c>
      <c r="E5976" s="3" t="s">
        <v>12267</v>
      </c>
      <c r="F5976" s="3" t="s">
        <v>12266</v>
      </c>
    </row>
    <row r="5977">
      <c r="A5977" s="3">
        <v>344.0</v>
      </c>
      <c r="B5977" s="3" t="s">
        <v>11280</v>
      </c>
      <c r="C5977" s="3" t="s">
        <v>11281</v>
      </c>
      <c r="D5977" s="3" t="s">
        <v>12268</v>
      </c>
      <c r="E5977" s="3" t="s">
        <v>12269</v>
      </c>
      <c r="F5977" s="3" t="s">
        <v>12268</v>
      </c>
    </row>
    <row r="5978">
      <c r="A5978" s="3">
        <v>345.0</v>
      </c>
      <c r="B5978" s="3" t="s">
        <v>11280</v>
      </c>
      <c r="C5978" s="3" t="s">
        <v>11281</v>
      </c>
      <c r="D5978" s="3" t="s">
        <v>12270</v>
      </c>
      <c r="E5978" s="3" t="s">
        <v>12271</v>
      </c>
      <c r="F5978" s="3" t="s">
        <v>12270</v>
      </c>
    </row>
    <row r="5979">
      <c r="A5979" s="3">
        <v>346.0</v>
      </c>
      <c r="B5979" s="3" t="s">
        <v>11280</v>
      </c>
      <c r="C5979" s="3" t="s">
        <v>11281</v>
      </c>
      <c r="D5979" s="3" t="s">
        <v>12272</v>
      </c>
      <c r="E5979" s="3" t="s">
        <v>12273</v>
      </c>
      <c r="F5979" s="3" t="s">
        <v>12272</v>
      </c>
    </row>
    <row r="5980">
      <c r="A5980" s="3">
        <v>347.0</v>
      </c>
      <c r="B5980" s="3" t="s">
        <v>11280</v>
      </c>
      <c r="C5980" s="3" t="s">
        <v>11281</v>
      </c>
      <c r="D5980" s="3" t="s">
        <v>12274</v>
      </c>
      <c r="E5980" s="3" t="s">
        <v>12275</v>
      </c>
      <c r="F5980" s="3" t="s">
        <v>12274</v>
      </c>
    </row>
    <row r="5981">
      <c r="A5981" s="3">
        <v>348.0</v>
      </c>
      <c r="B5981" s="3" t="s">
        <v>11280</v>
      </c>
      <c r="C5981" s="3" t="s">
        <v>11281</v>
      </c>
      <c r="D5981" s="3" t="s">
        <v>12276</v>
      </c>
      <c r="E5981" s="3" t="s">
        <v>12277</v>
      </c>
      <c r="F5981" s="3" t="s">
        <v>12276</v>
      </c>
    </row>
    <row r="5982">
      <c r="A5982" s="3">
        <v>349.0</v>
      </c>
      <c r="B5982" s="3" t="s">
        <v>11280</v>
      </c>
      <c r="C5982" s="3" t="s">
        <v>11281</v>
      </c>
      <c r="D5982" s="3" t="s">
        <v>12278</v>
      </c>
      <c r="E5982" s="3" t="s">
        <v>12279</v>
      </c>
      <c r="F5982" s="3" t="s">
        <v>12278</v>
      </c>
    </row>
    <row r="5983">
      <c r="A5983" s="3">
        <v>350.0</v>
      </c>
      <c r="B5983" s="3" t="s">
        <v>11280</v>
      </c>
      <c r="C5983" s="3" t="s">
        <v>11281</v>
      </c>
      <c r="D5983" s="3" t="s">
        <v>12280</v>
      </c>
      <c r="E5983" s="3" t="s">
        <v>12281</v>
      </c>
      <c r="F5983" s="3" t="s">
        <v>12280</v>
      </c>
    </row>
    <row r="5984">
      <c r="A5984" s="3">
        <v>351.0</v>
      </c>
      <c r="B5984" s="3" t="s">
        <v>11280</v>
      </c>
      <c r="C5984" s="3" t="s">
        <v>11281</v>
      </c>
      <c r="D5984" s="3" t="s">
        <v>12282</v>
      </c>
      <c r="E5984" s="3" t="s">
        <v>12283</v>
      </c>
      <c r="F5984" s="3" t="s">
        <v>12282</v>
      </c>
    </row>
    <row r="5985">
      <c r="A5985" s="3">
        <v>352.0</v>
      </c>
      <c r="B5985" s="3" t="s">
        <v>11280</v>
      </c>
      <c r="C5985" s="3" t="s">
        <v>11281</v>
      </c>
      <c r="D5985" s="3" t="s">
        <v>12284</v>
      </c>
      <c r="E5985" s="3" t="s">
        <v>12285</v>
      </c>
      <c r="F5985" s="3" t="s">
        <v>12284</v>
      </c>
    </row>
    <row r="5986">
      <c r="A5986" s="3">
        <v>353.0</v>
      </c>
      <c r="B5986" s="3" t="s">
        <v>11280</v>
      </c>
      <c r="C5986" s="3" t="s">
        <v>11281</v>
      </c>
      <c r="D5986" s="3" t="s">
        <v>12286</v>
      </c>
      <c r="E5986" s="3" t="s">
        <v>12287</v>
      </c>
      <c r="F5986" s="3" t="s">
        <v>12286</v>
      </c>
    </row>
    <row r="5987">
      <c r="A5987" s="3">
        <v>354.0</v>
      </c>
      <c r="B5987" s="3" t="s">
        <v>11280</v>
      </c>
      <c r="C5987" s="3" t="s">
        <v>11281</v>
      </c>
      <c r="D5987" s="3" t="s">
        <v>12288</v>
      </c>
      <c r="E5987" s="3" t="s">
        <v>12289</v>
      </c>
      <c r="F5987" s="3" t="s">
        <v>12288</v>
      </c>
    </row>
    <row r="5988">
      <c r="A5988" s="3">
        <v>355.0</v>
      </c>
      <c r="B5988" s="3" t="s">
        <v>11280</v>
      </c>
      <c r="C5988" s="3" t="s">
        <v>11281</v>
      </c>
      <c r="D5988" s="3" t="s">
        <v>12290</v>
      </c>
      <c r="E5988" s="3" t="s">
        <v>12291</v>
      </c>
      <c r="F5988" s="3" t="s">
        <v>12290</v>
      </c>
    </row>
    <row r="5989">
      <c r="A5989" s="3">
        <v>356.0</v>
      </c>
      <c r="B5989" s="3" t="s">
        <v>11280</v>
      </c>
      <c r="C5989" s="3" t="s">
        <v>11281</v>
      </c>
      <c r="D5989" s="3" t="s">
        <v>12292</v>
      </c>
      <c r="E5989" s="3" t="s">
        <v>12293</v>
      </c>
      <c r="F5989" s="3" t="s">
        <v>12292</v>
      </c>
    </row>
    <row r="5990">
      <c r="A5990" s="3">
        <v>357.0</v>
      </c>
      <c r="B5990" s="3" t="s">
        <v>11280</v>
      </c>
      <c r="C5990" s="3" t="s">
        <v>11281</v>
      </c>
      <c r="D5990" s="3" t="s">
        <v>12294</v>
      </c>
      <c r="E5990" s="3" t="s">
        <v>8063</v>
      </c>
      <c r="F5990" s="3" t="s">
        <v>8062</v>
      </c>
    </row>
    <row r="5991">
      <c r="A5991" s="3">
        <v>358.0</v>
      </c>
      <c r="B5991" s="3" t="s">
        <v>11280</v>
      </c>
      <c r="C5991" s="3" t="s">
        <v>11281</v>
      </c>
      <c r="D5991" s="3" t="s">
        <v>567</v>
      </c>
      <c r="E5991" s="3" t="s">
        <v>568</v>
      </c>
      <c r="F5991" s="3" t="s">
        <v>567</v>
      </c>
      <c r="G5991" s="3"/>
      <c r="H5991" s="3" t="s">
        <v>567</v>
      </c>
    </row>
    <row r="5992">
      <c r="A5992" s="3">
        <v>359.0</v>
      </c>
      <c r="B5992" s="3" t="s">
        <v>11280</v>
      </c>
      <c r="C5992" s="3" t="s">
        <v>11281</v>
      </c>
      <c r="D5992" s="3" t="s">
        <v>12295</v>
      </c>
      <c r="E5992" s="3" t="s">
        <v>12296</v>
      </c>
      <c r="F5992" s="3" t="s">
        <v>12297</v>
      </c>
    </row>
    <row r="5993">
      <c r="A5993" s="3">
        <v>360.0</v>
      </c>
      <c r="B5993" s="3" t="s">
        <v>11280</v>
      </c>
      <c r="C5993" s="3" t="s">
        <v>11281</v>
      </c>
      <c r="D5993" s="3" t="s">
        <v>12298</v>
      </c>
      <c r="E5993" s="3" t="s">
        <v>12299</v>
      </c>
      <c r="F5993" s="3" t="s">
        <v>12300</v>
      </c>
    </row>
    <row r="5994">
      <c r="A5994" s="3">
        <v>361.0</v>
      </c>
      <c r="B5994" s="3" t="s">
        <v>11280</v>
      </c>
      <c r="C5994" s="3" t="s">
        <v>11281</v>
      </c>
      <c r="D5994" s="3" t="s">
        <v>12301</v>
      </c>
      <c r="E5994" s="3" t="s">
        <v>12302</v>
      </c>
      <c r="F5994" s="3" t="s">
        <v>12303</v>
      </c>
      <c r="G5994" s="3"/>
      <c r="H5994" s="3" t="s">
        <v>12304</v>
      </c>
      <c r="I5994" s="3" t="s">
        <v>12305</v>
      </c>
      <c r="J5994" s="3" t="s">
        <v>12306</v>
      </c>
      <c r="K5994" s="3" t="s">
        <v>12307</v>
      </c>
      <c r="L5994" s="3" t="s">
        <v>12308</v>
      </c>
      <c r="M5994" s="3" t="s">
        <v>12304</v>
      </c>
      <c r="N5994" s="3" t="s">
        <v>12305</v>
      </c>
      <c r="O5994" s="3" t="s">
        <v>12309</v>
      </c>
      <c r="P5994" s="3" t="s">
        <v>12310</v>
      </c>
      <c r="Q5994" s="3" t="s">
        <v>12311</v>
      </c>
      <c r="R5994" s="3" t="s">
        <v>12312</v>
      </c>
      <c r="S5994" s="3" t="s">
        <v>12304</v>
      </c>
      <c r="T5994" s="3" t="s">
        <v>12305</v>
      </c>
      <c r="U5994" s="3" t="s">
        <v>12313</v>
      </c>
      <c r="V5994" s="3" t="s">
        <v>12314</v>
      </c>
    </row>
    <row r="5995">
      <c r="A5995" s="3">
        <v>362.0</v>
      </c>
      <c r="B5995" s="3" t="s">
        <v>11280</v>
      </c>
      <c r="C5995" s="3" t="s">
        <v>11281</v>
      </c>
      <c r="D5995" s="3" t="s">
        <v>12315</v>
      </c>
      <c r="E5995" s="3" t="s">
        <v>12316</v>
      </c>
      <c r="F5995" s="3" t="s">
        <v>12317</v>
      </c>
    </row>
    <row r="5996">
      <c r="A5996" s="3">
        <v>363.0</v>
      </c>
      <c r="B5996" s="3" t="s">
        <v>11280</v>
      </c>
      <c r="C5996" s="3" t="s">
        <v>11281</v>
      </c>
      <c r="D5996" s="3" t="s">
        <v>12318</v>
      </c>
      <c r="E5996" s="3" t="s">
        <v>12319</v>
      </c>
      <c r="F5996" s="3" t="s">
        <v>12320</v>
      </c>
    </row>
    <row r="5997">
      <c r="A5997" s="3">
        <v>364.0</v>
      </c>
      <c r="B5997" s="3" t="s">
        <v>11280</v>
      </c>
      <c r="C5997" s="3" t="s">
        <v>11281</v>
      </c>
      <c r="D5997" s="3" t="s">
        <v>12321</v>
      </c>
      <c r="E5997" s="3" t="s">
        <v>12322</v>
      </c>
      <c r="F5997" s="3" t="s">
        <v>12323</v>
      </c>
    </row>
    <row r="5998">
      <c r="A5998" s="3">
        <v>365.0</v>
      </c>
      <c r="B5998" s="3" t="s">
        <v>11280</v>
      </c>
      <c r="C5998" s="3" t="s">
        <v>11281</v>
      </c>
      <c r="D5998" s="3" t="s">
        <v>12324</v>
      </c>
      <c r="E5998" s="3" t="s">
        <v>12325</v>
      </c>
      <c r="F5998" s="3" t="s">
        <v>12326</v>
      </c>
    </row>
    <row r="5999">
      <c r="A5999" s="3">
        <v>366.0</v>
      </c>
      <c r="B5999" s="3" t="s">
        <v>11280</v>
      </c>
      <c r="C5999" s="3" t="s">
        <v>11281</v>
      </c>
      <c r="D5999" s="3" t="s">
        <v>9419</v>
      </c>
      <c r="E5999" s="3" t="s">
        <v>9418</v>
      </c>
      <c r="F5999" s="3" t="s">
        <v>9419</v>
      </c>
    </row>
    <row r="6000">
      <c r="A6000" s="3">
        <v>367.0</v>
      </c>
      <c r="B6000" s="3" t="s">
        <v>11280</v>
      </c>
      <c r="C6000" s="3" t="s">
        <v>11281</v>
      </c>
      <c r="D6000" s="3" t="s">
        <v>12327</v>
      </c>
      <c r="E6000" s="3" t="s">
        <v>12328</v>
      </c>
      <c r="F6000" s="3" t="s">
        <v>12327</v>
      </c>
    </row>
    <row r="6001">
      <c r="A6001" s="3">
        <v>368.0</v>
      </c>
      <c r="B6001" s="3" t="s">
        <v>11280</v>
      </c>
      <c r="C6001" s="3" t="s">
        <v>11281</v>
      </c>
      <c r="D6001" s="3" t="s">
        <v>12329</v>
      </c>
      <c r="E6001" s="3" t="s">
        <v>12330</v>
      </c>
      <c r="F6001" s="3" t="s">
        <v>12329</v>
      </c>
      <c r="G6001" s="3"/>
      <c r="H6001" s="3" t="s">
        <v>12331</v>
      </c>
      <c r="I6001" s="3" t="s">
        <v>12332</v>
      </c>
      <c r="J6001" s="3" t="s">
        <v>12333</v>
      </c>
      <c r="K6001" s="3" t="s">
        <v>12334</v>
      </c>
    </row>
    <row r="6002">
      <c r="A6002" s="3">
        <v>369.0</v>
      </c>
      <c r="B6002" s="3" t="s">
        <v>11280</v>
      </c>
      <c r="C6002" s="3" t="s">
        <v>11281</v>
      </c>
      <c r="D6002" s="3" t="s">
        <v>12335</v>
      </c>
      <c r="E6002" s="3" t="s">
        <v>12336</v>
      </c>
      <c r="F6002" s="3" t="s">
        <v>12335</v>
      </c>
    </row>
    <row r="6003">
      <c r="A6003" s="3">
        <v>370.0</v>
      </c>
      <c r="B6003" s="3" t="s">
        <v>11280</v>
      </c>
      <c r="C6003" s="3" t="s">
        <v>11281</v>
      </c>
      <c r="D6003" s="3" t="s">
        <v>12337</v>
      </c>
      <c r="E6003" s="3" t="s">
        <v>12338</v>
      </c>
      <c r="F6003" s="3" t="s">
        <v>12337</v>
      </c>
    </row>
    <row r="6004">
      <c r="A6004" s="3">
        <v>371.0</v>
      </c>
      <c r="B6004" s="3" t="s">
        <v>11280</v>
      </c>
      <c r="C6004" s="3" t="s">
        <v>11281</v>
      </c>
      <c r="D6004" s="3" t="s">
        <v>12339</v>
      </c>
      <c r="E6004" s="3" t="s">
        <v>12340</v>
      </c>
      <c r="F6004" s="3" t="s">
        <v>12339</v>
      </c>
    </row>
    <row r="6005">
      <c r="A6005" s="3">
        <v>372.0</v>
      </c>
      <c r="B6005" s="3" t="s">
        <v>11280</v>
      </c>
      <c r="C6005" s="3" t="s">
        <v>11281</v>
      </c>
      <c r="D6005" s="3" t="s">
        <v>12341</v>
      </c>
      <c r="E6005" s="3" t="s">
        <v>12342</v>
      </c>
      <c r="F6005" s="3" t="s">
        <v>12341</v>
      </c>
    </row>
    <row r="6006">
      <c r="A6006" s="3">
        <v>373.0</v>
      </c>
      <c r="B6006" s="3" t="s">
        <v>11280</v>
      </c>
      <c r="C6006" s="3" t="s">
        <v>11281</v>
      </c>
      <c r="D6006" s="3" t="s">
        <v>12343</v>
      </c>
      <c r="E6006" s="3" t="s">
        <v>12344</v>
      </c>
      <c r="F6006" s="3" t="s">
        <v>12343</v>
      </c>
    </row>
    <row r="6007">
      <c r="A6007" s="3">
        <v>374.0</v>
      </c>
      <c r="B6007" s="3" t="s">
        <v>11280</v>
      </c>
      <c r="C6007" s="3" t="s">
        <v>11281</v>
      </c>
      <c r="D6007" s="3" t="s">
        <v>12345</v>
      </c>
      <c r="E6007" s="3" t="s">
        <v>12346</v>
      </c>
      <c r="F6007" s="3" t="s">
        <v>12345</v>
      </c>
    </row>
    <row r="6008">
      <c r="A6008" s="3">
        <v>375.0</v>
      </c>
      <c r="B6008" s="3" t="s">
        <v>11280</v>
      </c>
      <c r="C6008" s="3" t="s">
        <v>11281</v>
      </c>
      <c r="D6008" s="3" t="s">
        <v>12347</v>
      </c>
      <c r="E6008" s="3" t="s">
        <v>12348</v>
      </c>
      <c r="F6008" s="3" t="s">
        <v>12347</v>
      </c>
    </row>
    <row r="6009">
      <c r="A6009" s="3">
        <v>376.0</v>
      </c>
      <c r="B6009" s="3" t="s">
        <v>11280</v>
      </c>
      <c r="C6009" s="3" t="s">
        <v>11281</v>
      </c>
      <c r="D6009" s="3" t="s">
        <v>12349</v>
      </c>
      <c r="E6009" s="3" t="s">
        <v>12350</v>
      </c>
      <c r="F6009" s="3" t="s">
        <v>12349</v>
      </c>
      <c r="G6009" s="3"/>
      <c r="H6009" s="3" t="s">
        <v>12351</v>
      </c>
      <c r="I6009" s="3" t="s">
        <v>12352</v>
      </c>
    </row>
    <row r="6010">
      <c r="A6010" s="3">
        <v>377.0</v>
      </c>
      <c r="B6010" s="3" t="s">
        <v>11280</v>
      </c>
      <c r="C6010" s="3" t="s">
        <v>11281</v>
      </c>
      <c r="D6010" s="3" t="s">
        <v>613</v>
      </c>
      <c r="E6010" s="3" t="s">
        <v>6799</v>
      </c>
      <c r="F6010" s="3" t="s">
        <v>613</v>
      </c>
    </row>
    <row r="6011">
      <c r="A6011" s="3">
        <v>378.0</v>
      </c>
      <c r="B6011" s="3" t="s">
        <v>11280</v>
      </c>
      <c r="C6011" s="3" t="s">
        <v>11281</v>
      </c>
      <c r="D6011" s="3" t="s">
        <v>617</v>
      </c>
      <c r="E6011" s="3" t="s">
        <v>6800</v>
      </c>
      <c r="F6011" s="3" t="s">
        <v>617</v>
      </c>
      <c r="G6011" s="3"/>
      <c r="H6011" s="3" t="s">
        <v>617</v>
      </c>
      <c r="I6011" s="3" t="s">
        <v>619</v>
      </c>
      <c r="J6011" s="3" t="s">
        <v>620</v>
      </c>
      <c r="K6011" s="3" t="s">
        <v>621</v>
      </c>
      <c r="L6011" s="3" t="s">
        <v>622</v>
      </c>
      <c r="M6011" s="3" t="s">
        <v>623</v>
      </c>
      <c r="N6011" s="3" t="s">
        <v>620</v>
      </c>
      <c r="O6011" s="3" t="s">
        <v>3086</v>
      </c>
      <c r="P6011" s="3" t="s">
        <v>3093</v>
      </c>
      <c r="Q6011" s="3" t="s">
        <v>621</v>
      </c>
      <c r="R6011" s="3" t="s">
        <v>3094</v>
      </c>
      <c r="S6011" s="3" t="s">
        <v>12353</v>
      </c>
      <c r="T6011" s="3" t="s">
        <v>12354</v>
      </c>
      <c r="U6011" s="3" t="s">
        <v>12355</v>
      </c>
      <c r="V6011" s="3" t="s">
        <v>12356</v>
      </c>
      <c r="W6011" s="3" t="s">
        <v>12357</v>
      </c>
      <c r="X6011" s="3" t="s">
        <v>12358</v>
      </c>
      <c r="Y6011" s="3" t="s">
        <v>12359</v>
      </c>
      <c r="Z6011" s="3" t="s">
        <v>12360</v>
      </c>
      <c r="AA6011" s="3" t="s">
        <v>12361</v>
      </c>
      <c r="AB6011" s="3" t="s">
        <v>12362</v>
      </c>
      <c r="AC6011" s="3" t="s">
        <v>12363</v>
      </c>
      <c r="AD6011" s="3" t="s">
        <v>12364</v>
      </c>
      <c r="AE6011" s="3" t="s">
        <v>12365</v>
      </c>
    </row>
    <row r="6012">
      <c r="A6012" s="3">
        <v>379.0</v>
      </c>
      <c r="B6012" s="3" t="s">
        <v>11280</v>
      </c>
      <c r="C6012" s="3" t="s">
        <v>11281</v>
      </c>
      <c r="D6012" s="3" t="s">
        <v>12366</v>
      </c>
      <c r="E6012" s="3" t="s">
        <v>12367</v>
      </c>
      <c r="F6012" s="3" t="s">
        <v>12368</v>
      </c>
    </row>
    <row r="6013">
      <c r="A6013" s="3">
        <v>380.0</v>
      </c>
      <c r="B6013" s="3" t="s">
        <v>11280</v>
      </c>
      <c r="C6013" s="3" t="s">
        <v>11281</v>
      </c>
      <c r="D6013" s="3" t="s">
        <v>12369</v>
      </c>
      <c r="E6013" s="3" t="s">
        <v>12370</v>
      </c>
      <c r="F6013" s="3" t="s">
        <v>12371</v>
      </c>
    </row>
    <row r="6014">
      <c r="A6014" s="3">
        <v>381.0</v>
      </c>
      <c r="B6014" s="3" t="s">
        <v>11280</v>
      </c>
      <c r="C6014" s="3" t="s">
        <v>11281</v>
      </c>
      <c r="D6014" s="3" t="s">
        <v>12372</v>
      </c>
      <c r="E6014" s="3" t="s">
        <v>12373</v>
      </c>
      <c r="F6014" s="3" t="s">
        <v>12374</v>
      </c>
    </row>
    <row r="6015">
      <c r="A6015" s="3">
        <v>382.0</v>
      </c>
      <c r="B6015" s="3" t="s">
        <v>11280</v>
      </c>
      <c r="C6015" s="3" t="s">
        <v>11281</v>
      </c>
      <c r="D6015" s="3" t="s">
        <v>12375</v>
      </c>
      <c r="E6015" s="3" t="s">
        <v>12376</v>
      </c>
      <c r="F6015" s="3" t="s">
        <v>12377</v>
      </c>
    </row>
    <row r="6016">
      <c r="A6016" s="3">
        <v>383.0</v>
      </c>
      <c r="B6016" s="3" t="s">
        <v>11280</v>
      </c>
      <c r="C6016" s="3" t="s">
        <v>11281</v>
      </c>
      <c r="D6016" s="3" t="s">
        <v>12378</v>
      </c>
      <c r="E6016" s="3" t="s">
        <v>12379</v>
      </c>
      <c r="F6016" s="3" t="s">
        <v>12380</v>
      </c>
    </row>
    <row r="6017">
      <c r="A6017" s="3">
        <v>384.0</v>
      </c>
      <c r="B6017" s="3" t="s">
        <v>11280</v>
      </c>
      <c r="C6017" s="3" t="s">
        <v>11281</v>
      </c>
      <c r="D6017" s="3" t="s">
        <v>12381</v>
      </c>
      <c r="E6017" s="3" t="s">
        <v>12382</v>
      </c>
      <c r="F6017" s="3" t="s">
        <v>12383</v>
      </c>
    </row>
    <row r="6018">
      <c r="A6018" s="3">
        <v>385.0</v>
      </c>
      <c r="B6018" s="3" t="s">
        <v>11280</v>
      </c>
      <c r="C6018" s="3" t="s">
        <v>11281</v>
      </c>
      <c r="D6018" s="3" t="s">
        <v>12384</v>
      </c>
      <c r="E6018" s="3" t="s">
        <v>12385</v>
      </c>
      <c r="F6018" s="3" t="s">
        <v>12386</v>
      </c>
    </row>
    <row r="6019">
      <c r="A6019" s="3">
        <v>386.0</v>
      </c>
      <c r="B6019" s="3" t="s">
        <v>11280</v>
      </c>
      <c r="C6019" s="3" t="s">
        <v>11281</v>
      </c>
      <c r="D6019" s="3" t="s">
        <v>12387</v>
      </c>
      <c r="E6019" s="3" t="s">
        <v>12388</v>
      </c>
      <c r="F6019" s="3" t="s">
        <v>12387</v>
      </c>
    </row>
    <row r="6020">
      <c r="A6020" s="3">
        <v>387.0</v>
      </c>
      <c r="B6020" s="3" t="s">
        <v>11280</v>
      </c>
      <c r="C6020" s="3" t="s">
        <v>11281</v>
      </c>
      <c r="D6020" s="3" t="s">
        <v>12389</v>
      </c>
      <c r="E6020" s="3" t="s">
        <v>12390</v>
      </c>
      <c r="F6020" s="3" t="s">
        <v>12389</v>
      </c>
      <c r="G6020" s="3"/>
      <c r="H6020" s="3" t="s">
        <v>12391</v>
      </c>
      <c r="I6020" s="3" t="s">
        <v>12392</v>
      </c>
      <c r="J6020" s="3" t="s">
        <v>12393</v>
      </c>
      <c r="K6020" s="3" t="s">
        <v>12394</v>
      </c>
      <c r="L6020" s="3" t="s">
        <v>12395</v>
      </c>
      <c r="M6020" s="3" t="s">
        <v>12396</v>
      </c>
      <c r="N6020" s="3" t="s">
        <v>12397</v>
      </c>
      <c r="O6020" s="3" t="s">
        <v>12398</v>
      </c>
      <c r="P6020" s="3" t="s">
        <v>12399</v>
      </c>
      <c r="Q6020" s="3" t="s">
        <v>8913</v>
      </c>
      <c r="R6020" s="3" t="s">
        <v>12400</v>
      </c>
      <c r="S6020" s="3" t="s">
        <v>12401</v>
      </c>
      <c r="T6020" s="3" t="s">
        <v>8776</v>
      </c>
      <c r="U6020" s="3" t="s">
        <v>12402</v>
      </c>
      <c r="V6020" s="3" t="s">
        <v>12403</v>
      </c>
      <c r="W6020" s="3" t="s">
        <v>12399</v>
      </c>
      <c r="X6020" s="3" t="s">
        <v>11735</v>
      </c>
      <c r="Y6020" s="3" t="s">
        <v>1863</v>
      </c>
      <c r="Z6020" s="3" t="s">
        <v>5831</v>
      </c>
      <c r="AA6020" s="3" t="s">
        <v>8925</v>
      </c>
      <c r="AB6020" s="3" t="s">
        <v>12404</v>
      </c>
      <c r="AC6020" s="3" t="s">
        <v>12405</v>
      </c>
      <c r="AD6020" s="3" t="s">
        <v>12406</v>
      </c>
      <c r="AE6020" s="3" t="s">
        <v>12406</v>
      </c>
      <c r="AF6020" s="3" t="s">
        <v>12407</v>
      </c>
      <c r="AG6020" s="3" t="s">
        <v>12408</v>
      </c>
      <c r="AH6020" s="3" t="s">
        <v>12409</v>
      </c>
      <c r="AI6020" s="3" t="s">
        <v>12410</v>
      </c>
      <c r="AJ6020" s="3" t="s">
        <v>12411</v>
      </c>
      <c r="AK6020" s="3" t="s">
        <v>12412</v>
      </c>
      <c r="AL6020" s="3" t="s">
        <v>12393</v>
      </c>
      <c r="AM6020" s="3" t="s">
        <v>12406</v>
      </c>
      <c r="AN6020" s="3" t="s">
        <v>12413</v>
      </c>
      <c r="AO6020" s="3" t="s">
        <v>12414</v>
      </c>
      <c r="AP6020" s="3" t="s">
        <v>12415</v>
      </c>
      <c r="AQ6020" s="3" t="s">
        <v>12416</v>
      </c>
      <c r="AR6020" s="3" t="s">
        <v>12417</v>
      </c>
      <c r="AS6020" s="3" t="s">
        <v>12418</v>
      </c>
      <c r="AT6020" s="3" t="s">
        <v>12408</v>
      </c>
      <c r="AU6020" s="3" t="s">
        <v>12399</v>
      </c>
      <c r="AV6020" s="3" t="s">
        <v>12398</v>
      </c>
      <c r="AW6020" s="3" t="s">
        <v>12395</v>
      </c>
      <c r="AX6020" s="3" t="s">
        <v>12419</v>
      </c>
      <c r="AY6020" s="3" t="s">
        <v>12406</v>
      </c>
      <c r="AZ6020" s="3" t="s">
        <v>12420</v>
      </c>
      <c r="BA6020" s="3" t="s">
        <v>12421</v>
      </c>
      <c r="BB6020" s="3" t="s">
        <v>12422</v>
      </c>
      <c r="BC6020" s="3" t="s">
        <v>12405</v>
      </c>
      <c r="BD6020" s="3" t="s">
        <v>12423</v>
      </c>
      <c r="BE6020" s="3" t="s">
        <v>12424</v>
      </c>
    </row>
    <row r="6021">
      <c r="A6021" s="3">
        <v>388.0</v>
      </c>
      <c r="B6021" s="3" t="s">
        <v>11280</v>
      </c>
      <c r="C6021" s="3" t="s">
        <v>11281</v>
      </c>
      <c r="D6021" s="3" t="s">
        <v>12425</v>
      </c>
      <c r="E6021" s="3" t="s">
        <v>12426</v>
      </c>
      <c r="F6021" s="3" t="s">
        <v>12425</v>
      </c>
    </row>
    <row r="6022">
      <c r="A6022" s="3">
        <v>389.0</v>
      </c>
      <c r="B6022" s="3" t="s">
        <v>11280</v>
      </c>
      <c r="C6022" s="3" t="s">
        <v>11281</v>
      </c>
      <c r="D6022" s="3" t="s">
        <v>12427</v>
      </c>
      <c r="E6022" s="3" t="s">
        <v>12428</v>
      </c>
      <c r="F6022" s="3" t="s">
        <v>12427</v>
      </c>
    </row>
    <row r="6023">
      <c r="A6023" s="3">
        <v>390.0</v>
      </c>
      <c r="B6023" s="3" t="s">
        <v>11280</v>
      </c>
      <c r="C6023" s="3" t="s">
        <v>11281</v>
      </c>
      <c r="D6023" s="3" t="s">
        <v>12429</v>
      </c>
      <c r="E6023" s="3" t="s">
        <v>12430</v>
      </c>
      <c r="F6023" s="3" t="s">
        <v>12429</v>
      </c>
    </row>
    <row r="6024">
      <c r="A6024" s="3">
        <v>391.0</v>
      </c>
      <c r="B6024" s="3" t="s">
        <v>11280</v>
      </c>
      <c r="C6024" s="3" t="s">
        <v>11281</v>
      </c>
      <c r="D6024" s="3" t="s">
        <v>637</v>
      </c>
      <c r="E6024" s="3" t="s">
        <v>6802</v>
      </c>
      <c r="F6024" s="3" t="s">
        <v>637</v>
      </c>
    </row>
    <row r="6025">
      <c r="A6025" s="3">
        <v>392.0</v>
      </c>
      <c r="B6025" s="3" t="s">
        <v>11280</v>
      </c>
      <c r="C6025" s="3" t="s">
        <v>11281</v>
      </c>
      <c r="D6025" s="3" t="s">
        <v>12431</v>
      </c>
      <c r="E6025" s="3" t="s">
        <v>12432</v>
      </c>
      <c r="F6025" s="3" t="s">
        <v>12431</v>
      </c>
    </row>
    <row r="6026">
      <c r="A6026" s="3">
        <v>393.0</v>
      </c>
      <c r="B6026" s="3" t="s">
        <v>11280</v>
      </c>
      <c r="C6026" s="3" t="s">
        <v>11281</v>
      </c>
      <c r="D6026" s="3" t="s">
        <v>12433</v>
      </c>
      <c r="E6026" s="3" t="s">
        <v>12434</v>
      </c>
      <c r="F6026" s="3" t="s">
        <v>12435</v>
      </c>
    </row>
    <row r="6027">
      <c r="A6027" s="3">
        <v>394.0</v>
      </c>
      <c r="B6027" s="3" t="s">
        <v>11280</v>
      </c>
      <c r="C6027" s="3" t="s">
        <v>11281</v>
      </c>
      <c r="D6027" s="3" t="s">
        <v>12436</v>
      </c>
      <c r="E6027" s="3" t="s">
        <v>12437</v>
      </c>
      <c r="F6027" s="3" t="s">
        <v>12438</v>
      </c>
    </row>
    <row r="6028">
      <c r="A6028" s="3">
        <v>395.0</v>
      </c>
      <c r="B6028" s="3" t="s">
        <v>11280</v>
      </c>
      <c r="C6028" s="3" t="s">
        <v>11281</v>
      </c>
      <c r="D6028" s="3" t="s">
        <v>12439</v>
      </c>
      <c r="E6028" s="3" t="s">
        <v>12440</v>
      </c>
      <c r="F6028" s="3" t="s">
        <v>12441</v>
      </c>
      <c r="G6028" s="3"/>
      <c r="H6028" s="3" t="s">
        <v>12442</v>
      </c>
      <c r="I6028" s="3" t="s">
        <v>12443</v>
      </c>
      <c r="J6028" s="3" t="s">
        <v>12444</v>
      </c>
      <c r="K6028" s="3" t="s">
        <v>12445</v>
      </c>
    </row>
    <row r="6029">
      <c r="A6029" s="3">
        <v>396.0</v>
      </c>
      <c r="B6029" s="3" t="s">
        <v>11280</v>
      </c>
      <c r="C6029" s="3" t="s">
        <v>11281</v>
      </c>
      <c r="D6029" s="3" t="s">
        <v>12446</v>
      </c>
      <c r="E6029" s="3" t="s">
        <v>12447</v>
      </c>
      <c r="F6029" s="3" t="s">
        <v>12448</v>
      </c>
    </row>
    <row r="6030">
      <c r="A6030" s="3">
        <v>397.0</v>
      </c>
      <c r="B6030" s="3" t="s">
        <v>11280</v>
      </c>
      <c r="C6030" s="3" t="s">
        <v>11281</v>
      </c>
      <c r="D6030" s="3" t="s">
        <v>12449</v>
      </c>
      <c r="E6030" s="3" t="s">
        <v>12450</v>
      </c>
      <c r="F6030" s="3" t="s">
        <v>12451</v>
      </c>
    </row>
    <row r="6031">
      <c r="A6031" s="3">
        <v>398.0</v>
      </c>
      <c r="B6031" s="3" t="s">
        <v>11280</v>
      </c>
      <c r="C6031" s="3" t="s">
        <v>11281</v>
      </c>
      <c r="D6031" s="3" t="s">
        <v>12452</v>
      </c>
      <c r="E6031" s="3" t="s">
        <v>12453</v>
      </c>
      <c r="F6031" s="3" t="s">
        <v>12454</v>
      </c>
    </row>
    <row r="6032">
      <c r="A6032" s="3">
        <v>399.0</v>
      </c>
      <c r="B6032" s="3" t="s">
        <v>11280</v>
      </c>
      <c r="C6032" s="3" t="s">
        <v>11281</v>
      </c>
      <c r="D6032" s="3" t="s">
        <v>12455</v>
      </c>
      <c r="E6032" s="3" t="s">
        <v>12456</v>
      </c>
      <c r="F6032" s="3" t="s">
        <v>12457</v>
      </c>
    </row>
    <row r="6033">
      <c r="A6033" s="3">
        <v>400.0</v>
      </c>
      <c r="B6033" s="3" t="s">
        <v>11280</v>
      </c>
      <c r="C6033" s="3" t="s">
        <v>11281</v>
      </c>
      <c r="D6033" s="3" t="s">
        <v>12458</v>
      </c>
      <c r="E6033" s="3" t="s">
        <v>12459</v>
      </c>
      <c r="F6033" s="3" t="s">
        <v>12458</v>
      </c>
    </row>
    <row r="6034">
      <c r="A6034" s="3">
        <v>401.0</v>
      </c>
      <c r="B6034" s="3" t="s">
        <v>11280</v>
      </c>
      <c r="C6034" s="3" t="s">
        <v>11281</v>
      </c>
      <c r="D6034" s="3" t="s">
        <v>12460</v>
      </c>
      <c r="E6034" s="3" t="s">
        <v>12461</v>
      </c>
      <c r="F6034" s="3" t="s">
        <v>12460</v>
      </c>
    </row>
    <row r="6035">
      <c r="A6035" s="3">
        <v>402.0</v>
      </c>
      <c r="B6035" s="3" t="s">
        <v>11280</v>
      </c>
      <c r="C6035" s="3" t="s">
        <v>11281</v>
      </c>
      <c r="D6035" s="3" t="s">
        <v>12462</v>
      </c>
      <c r="E6035" s="3" t="s">
        <v>12463</v>
      </c>
      <c r="F6035" s="3" t="s">
        <v>12462</v>
      </c>
    </row>
    <row r="6036">
      <c r="A6036" s="3">
        <v>403.0</v>
      </c>
      <c r="B6036" s="3" t="s">
        <v>11280</v>
      </c>
      <c r="C6036" s="3" t="s">
        <v>11281</v>
      </c>
      <c r="D6036" s="3" t="s">
        <v>12464</v>
      </c>
      <c r="E6036" s="3" t="s">
        <v>12465</v>
      </c>
      <c r="F6036" s="3" t="s">
        <v>12464</v>
      </c>
    </row>
    <row r="6037">
      <c r="A6037" s="3">
        <v>404.0</v>
      </c>
      <c r="B6037" s="3" t="s">
        <v>11280</v>
      </c>
      <c r="C6037" s="3" t="s">
        <v>11281</v>
      </c>
      <c r="D6037" s="3" t="s">
        <v>12466</v>
      </c>
      <c r="E6037" s="3" t="s">
        <v>12467</v>
      </c>
      <c r="F6037" s="3" t="s">
        <v>12466</v>
      </c>
      <c r="G6037" s="3"/>
      <c r="H6037" s="3" t="s">
        <v>12468</v>
      </c>
      <c r="I6037" s="3" t="s">
        <v>12469</v>
      </c>
      <c r="J6037" s="3" t="s">
        <v>12470</v>
      </c>
      <c r="K6037" s="3" t="s">
        <v>12471</v>
      </c>
      <c r="L6037" s="3" t="s">
        <v>12472</v>
      </c>
      <c r="M6037" s="3" t="s">
        <v>12473</v>
      </c>
      <c r="N6037" s="3" t="s">
        <v>12474</v>
      </c>
      <c r="O6037" s="3" t="s">
        <v>12475</v>
      </c>
      <c r="P6037" s="3" t="s">
        <v>12476</v>
      </c>
      <c r="Q6037" s="3" t="s">
        <v>12477</v>
      </c>
      <c r="R6037" s="3" t="s">
        <v>12478</v>
      </c>
      <c r="S6037" s="3" t="s">
        <v>12479</v>
      </c>
      <c r="T6037" s="3" t="s">
        <v>12480</v>
      </c>
      <c r="U6037" s="3" t="s">
        <v>12481</v>
      </c>
      <c r="V6037" s="3" t="s">
        <v>9436</v>
      </c>
      <c r="W6037" s="3" t="s">
        <v>12482</v>
      </c>
      <c r="X6037" s="3" t="s">
        <v>12483</v>
      </c>
      <c r="Y6037" s="3" t="s">
        <v>1863</v>
      </c>
      <c r="Z6037" s="3" t="s">
        <v>12484</v>
      </c>
      <c r="AA6037" s="3" t="s">
        <v>9436</v>
      </c>
      <c r="AB6037" s="3" t="s">
        <v>10613</v>
      </c>
      <c r="AC6037" s="3" t="s">
        <v>12479</v>
      </c>
      <c r="AD6037" s="3" t="s">
        <v>12485</v>
      </c>
      <c r="AE6037" s="3" t="s">
        <v>12486</v>
      </c>
      <c r="AF6037" s="3" t="s">
        <v>12487</v>
      </c>
      <c r="AG6037" s="3" t="s">
        <v>12488</v>
      </c>
      <c r="AH6037" s="3" t="s">
        <v>12488</v>
      </c>
      <c r="AI6037" s="3" t="s">
        <v>12489</v>
      </c>
      <c r="AJ6037" s="3" t="s">
        <v>12468</v>
      </c>
      <c r="AK6037" s="3" t="s">
        <v>12483</v>
      </c>
      <c r="AL6037" s="3" t="s">
        <v>12490</v>
      </c>
      <c r="AM6037" s="3" t="s">
        <v>12469</v>
      </c>
      <c r="AN6037" s="3" t="s">
        <v>12491</v>
      </c>
      <c r="AO6037" s="3" t="s">
        <v>12473</v>
      </c>
      <c r="AP6037" s="3" t="s">
        <v>12480</v>
      </c>
      <c r="AQ6037" s="3" t="s">
        <v>12492</v>
      </c>
      <c r="AR6037" s="3" t="s">
        <v>12489</v>
      </c>
      <c r="AS6037" s="3" t="s">
        <v>12493</v>
      </c>
      <c r="AT6037" s="3" t="s">
        <v>12494</v>
      </c>
      <c r="AU6037" s="3" t="s">
        <v>12495</v>
      </c>
    </row>
    <row r="6038">
      <c r="A6038" s="3">
        <v>405.0</v>
      </c>
      <c r="B6038" s="3" t="s">
        <v>11280</v>
      </c>
      <c r="C6038" s="3" t="s">
        <v>11281</v>
      </c>
      <c r="D6038" s="3" t="s">
        <v>12496</v>
      </c>
      <c r="E6038" s="3" t="s">
        <v>12497</v>
      </c>
      <c r="F6038" s="3" t="s">
        <v>12496</v>
      </c>
    </row>
    <row r="6039">
      <c r="A6039" s="3">
        <v>406.0</v>
      </c>
      <c r="B6039" s="3" t="s">
        <v>11280</v>
      </c>
      <c r="C6039" s="3" t="s">
        <v>11281</v>
      </c>
      <c r="D6039" s="3" t="s">
        <v>12498</v>
      </c>
      <c r="E6039" s="3" t="s">
        <v>12499</v>
      </c>
      <c r="F6039" s="3" t="s">
        <v>12498</v>
      </c>
    </row>
    <row r="6040">
      <c r="A6040" s="3">
        <v>407.0</v>
      </c>
      <c r="B6040" s="3" t="s">
        <v>11280</v>
      </c>
      <c r="C6040" s="3" t="s">
        <v>11281</v>
      </c>
      <c r="D6040" s="3" t="s">
        <v>12500</v>
      </c>
      <c r="E6040" s="3" t="s">
        <v>12501</v>
      </c>
      <c r="F6040" s="3" t="s">
        <v>12500</v>
      </c>
    </row>
    <row r="6041">
      <c r="A6041" s="3">
        <v>408.0</v>
      </c>
      <c r="B6041" s="3" t="s">
        <v>11280</v>
      </c>
      <c r="C6041" s="3" t="s">
        <v>11281</v>
      </c>
      <c r="D6041" s="3" t="s">
        <v>12502</v>
      </c>
      <c r="E6041" s="3" t="s">
        <v>12503</v>
      </c>
      <c r="F6041" s="3" t="s">
        <v>12502</v>
      </c>
    </row>
    <row r="6042">
      <c r="A6042" s="3">
        <v>409.0</v>
      </c>
      <c r="B6042" s="3" t="s">
        <v>11280</v>
      </c>
      <c r="C6042" s="3" t="s">
        <v>11281</v>
      </c>
      <c r="D6042" s="3" t="s">
        <v>12504</v>
      </c>
      <c r="E6042" s="3" t="s">
        <v>12505</v>
      </c>
      <c r="F6042" s="3" t="s">
        <v>12504</v>
      </c>
      <c r="G6042" s="3"/>
      <c r="H6042" s="3" t="s">
        <v>12506</v>
      </c>
      <c r="I6042" s="3" t="s">
        <v>12507</v>
      </c>
      <c r="J6042" s="3" t="s">
        <v>12508</v>
      </c>
      <c r="K6042" s="3" t="s">
        <v>12509</v>
      </c>
      <c r="L6042" s="3" t="s">
        <v>12510</v>
      </c>
      <c r="M6042" s="3" t="s">
        <v>12511</v>
      </c>
      <c r="N6042" s="3" t="s">
        <v>12512</v>
      </c>
      <c r="O6042" s="3" t="s">
        <v>12513</v>
      </c>
      <c r="P6042" s="3" t="s">
        <v>12514</v>
      </c>
      <c r="Q6042" s="3" t="s">
        <v>12515</v>
      </c>
      <c r="R6042" s="3" t="s">
        <v>12516</v>
      </c>
      <c r="S6042" s="3" t="s">
        <v>12517</v>
      </c>
    </row>
    <row r="6043">
      <c r="A6043" s="3">
        <v>410.0</v>
      </c>
      <c r="B6043" s="3" t="s">
        <v>11280</v>
      </c>
      <c r="C6043" s="3" t="s">
        <v>11281</v>
      </c>
      <c r="D6043" s="3" t="s">
        <v>12518</v>
      </c>
      <c r="E6043" s="3" t="s">
        <v>12519</v>
      </c>
      <c r="F6043" s="3" t="s">
        <v>12518</v>
      </c>
    </row>
    <row r="6044">
      <c r="A6044" s="3">
        <v>411.0</v>
      </c>
      <c r="B6044" s="3" t="s">
        <v>11280</v>
      </c>
      <c r="C6044" s="3" t="s">
        <v>11281</v>
      </c>
      <c r="D6044" s="3" t="s">
        <v>12520</v>
      </c>
      <c r="E6044" s="3" t="s">
        <v>12521</v>
      </c>
      <c r="F6044" s="3" t="s">
        <v>12522</v>
      </c>
    </row>
    <row r="6045">
      <c r="A6045" s="3">
        <v>412.0</v>
      </c>
      <c r="B6045" s="3" t="s">
        <v>11280</v>
      </c>
      <c r="C6045" s="3" t="s">
        <v>11281</v>
      </c>
      <c r="D6045" s="3" t="s">
        <v>12523</v>
      </c>
      <c r="E6045" s="3" t="s">
        <v>12524</v>
      </c>
      <c r="F6045" s="3" t="s">
        <v>12525</v>
      </c>
    </row>
    <row r="6046">
      <c r="A6046" s="3">
        <v>413.0</v>
      </c>
      <c r="B6046" s="3" t="s">
        <v>11280</v>
      </c>
      <c r="C6046" s="3" t="s">
        <v>11281</v>
      </c>
      <c r="D6046" s="3" t="s">
        <v>12526</v>
      </c>
      <c r="E6046" s="3" t="s">
        <v>12527</v>
      </c>
      <c r="F6046" s="3" t="s">
        <v>12526</v>
      </c>
    </row>
    <row r="6047">
      <c r="A6047" s="3">
        <v>414.0</v>
      </c>
      <c r="B6047" s="3" t="s">
        <v>11280</v>
      </c>
      <c r="C6047" s="3" t="s">
        <v>11281</v>
      </c>
      <c r="D6047" s="3" t="s">
        <v>12528</v>
      </c>
      <c r="E6047" s="3" t="s">
        <v>12529</v>
      </c>
      <c r="F6047" s="3" t="s">
        <v>12528</v>
      </c>
    </row>
    <row r="6048">
      <c r="A6048" s="3">
        <v>415.0</v>
      </c>
      <c r="B6048" s="3" t="s">
        <v>11280</v>
      </c>
      <c r="C6048" s="3" t="s">
        <v>11281</v>
      </c>
      <c r="D6048" s="3" t="s">
        <v>12530</v>
      </c>
      <c r="E6048" s="3" t="s">
        <v>12531</v>
      </c>
      <c r="F6048" s="3" t="s">
        <v>12530</v>
      </c>
    </row>
    <row r="6049">
      <c r="A6049" s="3">
        <v>416.0</v>
      </c>
      <c r="B6049" s="3" t="s">
        <v>11280</v>
      </c>
      <c r="C6049" s="3" t="s">
        <v>11281</v>
      </c>
      <c r="D6049" s="3" t="s">
        <v>12532</v>
      </c>
      <c r="E6049" s="3" t="s">
        <v>12533</v>
      </c>
      <c r="F6049" s="3" t="s">
        <v>12532</v>
      </c>
    </row>
    <row r="6050">
      <c r="A6050" s="3">
        <v>417.0</v>
      </c>
      <c r="B6050" s="3" t="s">
        <v>11280</v>
      </c>
      <c r="C6050" s="3" t="s">
        <v>11281</v>
      </c>
      <c r="D6050" s="3" t="s">
        <v>12534</v>
      </c>
      <c r="E6050" s="3" t="s">
        <v>12535</v>
      </c>
      <c r="F6050" s="3" t="s">
        <v>12534</v>
      </c>
    </row>
    <row r="6051">
      <c r="A6051" s="3">
        <v>418.0</v>
      </c>
      <c r="B6051" s="3" t="s">
        <v>11280</v>
      </c>
      <c r="C6051" s="3" t="s">
        <v>11281</v>
      </c>
      <c r="D6051" s="3" t="s">
        <v>12536</v>
      </c>
      <c r="E6051" s="3" t="s">
        <v>12537</v>
      </c>
      <c r="F6051" s="3" t="s">
        <v>12536</v>
      </c>
    </row>
    <row r="6052">
      <c r="A6052" s="3">
        <v>419.0</v>
      </c>
      <c r="B6052" s="3" t="s">
        <v>11280</v>
      </c>
      <c r="C6052" s="3" t="s">
        <v>11281</v>
      </c>
      <c r="D6052" s="3" t="s">
        <v>12538</v>
      </c>
      <c r="E6052" s="3" t="s">
        <v>12539</v>
      </c>
      <c r="F6052" s="3" t="s">
        <v>12538</v>
      </c>
    </row>
    <row r="6053">
      <c r="A6053" s="3">
        <v>420.0</v>
      </c>
      <c r="B6053" s="3" t="s">
        <v>11280</v>
      </c>
      <c r="C6053" s="3" t="s">
        <v>11281</v>
      </c>
      <c r="D6053" s="3" t="s">
        <v>12540</v>
      </c>
      <c r="E6053" s="3" t="s">
        <v>12541</v>
      </c>
      <c r="F6053" s="3" t="s">
        <v>12540</v>
      </c>
    </row>
    <row r="6054">
      <c r="A6054" s="3">
        <v>421.0</v>
      </c>
      <c r="B6054" s="3" t="s">
        <v>11280</v>
      </c>
      <c r="C6054" s="3" t="s">
        <v>11281</v>
      </c>
      <c r="D6054" s="3" t="s">
        <v>12542</v>
      </c>
      <c r="E6054" s="3" t="s">
        <v>12543</v>
      </c>
      <c r="F6054" s="3" t="s">
        <v>12544</v>
      </c>
    </row>
    <row r="6055">
      <c r="A6055" s="3">
        <v>422.0</v>
      </c>
      <c r="B6055" s="3" t="s">
        <v>11280</v>
      </c>
      <c r="C6055" s="3" t="s">
        <v>11281</v>
      </c>
      <c r="D6055" s="3" t="s">
        <v>12545</v>
      </c>
      <c r="E6055" s="3" t="s">
        <v>12546</v>
      </c>
      <c r="F6055" s="3" t="s">
        <v>12547</v>
      </c>
    </row>
    <row r="6056">
      <c r="A6056" s="3">
        <v>423.0</v>
      </c>
      <c r="B6056" s="3" t="s">
        <v>11280</v>
      </c>
      <c r="C6056" s="3" t="s">
        <v>11281</v>
      </c>
      <c r="D6056" s="3" t="s">
        <v>12548</v>
      </c>
      <c r="E6056" s="3" t="s">
        <v>12549</v>
      </c>
      <c r="F6056" s="3" t="s">
        <v>12550</v>
      </c>
      <c r="G6056" s="3"/>
      <c r="H6056" s="3" t="s">
        <v>12551</v>
      </c>
      <c r="I6056" s="3" t="s">
        <v>12552</v>
      </c>
      <c r="J6056" s="3" t="s">
        <v>12553</v>
      </c>
      <c r="K6056" s="3" t="s">
        <v>12554</v>
      </c>
      <c r="L6056" s="3" t="s">
        <v>12555</v>
      </c>
      <c r="M6056" s="3" t="s">
        <v>12556</v>
      </c>
      <c r="N6056" s="3" t="s">
        <v>12557</v>
      </c>
      <c r="O6056" s="3" t="s">
        <v>2181</v>
      </c>
      <c r="P6056" s="3" t="s">
        <v>12558</v>
      </c>
      <c r="Q6056" s="3" t="s">
        <v>12559</v>
      </c>
      <c r="R6056" s="3" t="s">
        <v>12560</v>
      </c>
      <c r="S6056" s="3" t="s">
        <v>12561</v>
      </c>
      <c r="T6056" s="3" t="s">
        <v>1208</v>
      </c>
      <c r="U6056" s="3" t="s">
        <v>12561</v>
      </c>
      <c r="V6056" s="3" t="s">
        <v>12562</v>
      </c>
      <c r="W6056" s="3" t="s">
        <v>12563</v>
      </c>
      <c r="X6056" s="3" t="s">
        <v>12555</v>
      </c>
      <c r="Y6056" s="3" t="s">
        <v>12564</v>
      </c>
    </row>
    <row r="6057">
      <c r="A6057" s="3">
        <v>424.0</v>
      </c>
      <c r="B6057" s="3" t="s">
        <v>11280</v>
      </c>
      <c r="C6057" s="3" t="s">
        <v>11281</v>
      </c>
      <c r="D6057" s="3" t="s">
        <v>12565</v>
      </c>
      <c r="E6057" s="3" t="s">
        <v>12566</v>
      </c>
      <c r="F6057" s="3" t="s">
        <v>12567</v>
      </c>
    </row>
    <row r="6058">
      <c r="A6058" s="3">
        <v>425.0</v>
      </c>
      <c r="B6058" s="3" t="s">
        <v>11280</v>
      </c>
      <c r="C6058" s="3" t="s">
        <v>11281</v>
      </c>
      <c r="D6058" s="3" t="s">
        <v>12568</v>
      </c>
      <c r="E6058" s="3" t="s">
        <v>12569</v>
      </c>
      <c r="F6058" s="3" t="s">
        <v>12570</v>
      </c>
    </row>
    <row r="6059">
      <c r="A6059" s="3">
        <v>426.0</v>
      </c>
      <c r="B6059" s="3" t="s">
        <v>11280</v>
      </c>
      <c r="C6059" s="3" t="s">
        <v>11281</v>
      </c>
      <c r="D6059" s="3" t="s">
        <v>12571</v>
      </c>
      <c r="E6059" s="3" t="s">
        <v>12572</v>
      </c>
      <c r="F6059" s="3" t="s">
        <v>12573</v>
      </c>
    </row>
    <row r="6060">
      <c r="A6060" s="3">
        <v>427.0</v>
      </c>
      <c r="B6060" s="3" t="s">
        <v>11280</v>
      </c>
      <c r="C6060" s="3" t="s">
        <v>11281</v>
      </c>
      <c r="D6060" s="3" t="s">
        <v>12574</v>
      </c>
      <c r="E6060" s="3" t="s">
        <v>12575</v>
      </c>
      <c r="F6060" s="3" t="s">
        <v>12576</v>
      </c>
    </row>
    <row r="6061">
      <c r="A6061" s="3">
        <v>428.0</v>
      </c>
      <c r="B6061" s="3" t="s">
        <v>11280</v>
      </c>
      <c r="C6061" s="3" t="s">
        <v>11281</v>
      </c>
      <c r="D6061" s="3" t="s">
        <v>12577</v>
      </c>
      <c r="E6061" s="3" t="s">
        <v>12578</v>
      </c>
      <c r="F6061" s="3" t="s">
        <v>12577</v>
      </c>
    </row>
    <row r="6062">
      <c r="A6062" s="3">
        <v>429.0</v>
      </c>
      <c r="B6062" s="3" t="s">
        <v>11280</v>
      </c>
      <c r="C6062" s="3" t="s">
        <v>11281</v>
      </c>
      <c r="D6062" s="3" t="s">
        <v>12579</v>
      </c>
      <c r="E6062" s="3" t="s">
        <v>12580</v>
      </c>
      <c r="F6062" s="3" t="s">
        <v>12579</v>
      </c>
    </row>
    <row r="6063">
      <c r="A6063" s="3">
        <v>430.0</v>
      </c>
      <c r="B6063" s="3" t="s">
        <v>11280</v>
      </c>
      <c r="C6063" s="3" t="s">
        <v>11281</v>
      </c>
      <c r="D6063" s="3" t="s">
        <v>12581</v>
      </c>
      <c r="E6063" s="3" t="s">
        <v>12582</v>
      </c>
      <c r="F6063" s="3" t="s">
        <v>12581</v>
      </c>
    </row>
    <row r="6064">
      <c r="A6064" s="3">
        <v>431.0</v>
      </c>
      <c r="B6064" s="3" t="s">
        <v>11280</v>
      </c>
      <c r="C6064" s="3" t="s">
        <v>11281</v>
      </c>
      <c r="D6064" s="3" t="s">
        <v>12583</v>
      </c>
      <c r="E6064" s="3" t="s">
        <v>12584</v>
      </c>
      <c r="F6064" s="3" t="s">
        <v>12583</v>
      </c>
    </row>
    <row r="6065">
      <c r="A6065" s="3">
        <v>432.0</v>
      </c>
      <c r="B6065" s="3" t="s">
        <v>11280</v>
      </c>
      <c r="C6065" s="3" t="s">
        <v>11281</v>
      </c>
      <c r="D6065" s="3" t="s">
        <v>12585</v>
      </c>
      <c r="E6065" s="3" t="s">
        <v>12586</v>
      </c>
      <c r="F6065" s="3" t="s">
        <v>12585</v>
      </c>
    </row>
    <row r="6066">
      <c r="A6066" s="3">
        <v>433.0</v>
      </c>
      <c r="B6066" s="3" t="s">
        <v>11280</v>
      </c>
      <c r="C6066" s="3" t="s">
        <v>11281</v>
      </c>
      <c r="D6066" s="3" t="s">
        <v>12587</v>
      </c>
      <c r="E6066" s="3" t="s">
        <v>12588</v>
      </c>
      <c r="F6066" s="3" t="s">
        <v>12587</v>
      </c>
    </row>
    <row r="6067">
      <c r="A6067" s="3">
        <v>434.0</v>
      </c>
      <c r="B6067" s="3" t="s">
        <v>11280</v>
      </c>
      <c r="C6067" s="3" t="s">
        <v>11281</v>
      </c>
      <c r="D6067" s="3" t="s">
        <v>12589</v>
      </c>
      <c r="E6067" s="3" t="s">
        <v>12590</v>
      </c>
      <c r="F6067" s="3" t="s">
        <v>12589</v>
      </c>
    </row>
    <row r="6068">
      <c r="A6068" s="3">
        <v>435.0</v>
      </c>
      <c r="B6068" s="3" t="s">
        <v>11280</v>
      </c>
      <c r="C6068" s="3" t="s">
        <v>11281</v>
      </c>
      <c r="D6068" s="3" t="s">
        <v>12591</v>
      </c>
      <c r="E6068" s="3" t="s">
        <v>12592</v>
      </c>
      <c r="F6068" s="3" t="s">
        <v>12591</v>
      </c>
      <c r="G6068" s="3"/>
      <c r="H6068" s="3" t="s">
        <v>12593</v>
      </c>
      <c r="I6068" s="3" t="s">
        <v>12594</v>
      </c>
      <c r="J6068" s="3" t="s">
        <v>12595</v>
      </c>
    </row>
    <row r="6069">
      <c r="A6069" s="3">
        <v>436.0</v>
      </c>
      <c r="B6069" s="3" t="s">
        <v>11280</v>
      </c>
      <c r="C6069" s="3" t="s">
        <v>11281</v>
      </c>
      <c r="D6069" s="3" t="s">
        <v>12596</v>
      </c>
      <c r="E6069" s="3" t="s">
        <v>12597</v>
      </c>
      <c r="F6069" s="3" t="s">
        <v>12596</v>
      </c>
    </row>
    <row r="6070">
      <c r="A6070" s="3">
        <v>437.0</v>
      </c>
      <c r="B6070" s="3" t="s">
        <v>11280</v>
      </c>
      <c r="C6070" s="3" t="s">
        <v>11281</v>
      </c>
      <c r="D6070" s="3" t="s">
        <v>12598</v>
      </c>
      <c r="E6070" s="3" t="s">
        <v>12599</v>
      </c>
      <c r="F6070" s="3" t="s">
        <v>12598</v>
      </c>
    </row>
    <row r="6071">
      <c r="A6071" s="3">
        <v>438.0</v>
      </c>
      <c r="B6071" s="3" t="s">
        <v>11280</v>
      </c>
      <c r="C6071" s="3" t="s">
        <v>11281</v>
      </c>
      <c r="D6071" s="3" t="s">
        <v>12600</v>
      </c>
      <c r="E6071" s="3" t="s">
        <v>12601</v>
      </c>
      <c r="F6071" s="3" t="s">
        <v>12600</v>
      </c>
    </row>
    <row r="6072">
      <c r="A6072" s="3">
        <v>439.0</v>
      </c>
      <c r="B6072" s="3" t="s">
        <v>11280</v>
      </c>
      <c r="C6072" s="3" t="s">
        <v>11281</v>
      </c>
      <c r="D6072" s="3" t="s">
        <v>12602</v>
      </c>
      <c r="E6072" s="3" t="s">
        <v>12603</v>
      </c>
      <c r="F6072" s="3" t="s">
        <v>12602</v>
      </c>
    </row>
    <row r="6073">
      <c r="A6073" s="3">
        <v>440.0</v>
      </c>
      <c r="B6073" s="3" t="s">
        <v>11280</v>
      </c>
      <c r="C6073" s="3" t="s">
        <v>11281</v>
      </c>
      <c r="D6073" s="3" t="s">
        <v>12604</v>
      </c>
      <c r="E6073" s="3" t="s">
        <v>12605</v>
      </c>
      <c r="F6073" s="3" t="s">
        <v>12604</v>
      </c>
    </row>
    <row r="6074">
      <c r="A6074" s="3">
        <v>441.0</v>
      </c>
      <c r="B6074" s="3" t="s">
        <v>11280</v>
      </c>
      <c r="C6074" s="3" t="s">
        <v>11281</v>
      </c>
      <c r="D6074" s="3" t="s">
        <v>12606</v>
      </c>
      <c r="E6074" s="3" t="s">
        <v>12607</v>
      </c>
      <c r="F6074" s="3" t="s">
        <v>12606</v>
      </c>
    </row>
    <row r="6075">
      <c r="A6075" s="3">
        <v>442.0</v>
      </c>
      <c r="B6075" s="3" t="s">
        <v>11280</v>
      </c>
      <c r="C6075" s="3" t="s">
        <v>11281</v>
      </c>
      <c r="D6075" s="3" t="s">
        <v>12608</v>
      </c>
      <c r="E6075" s="3" t="s">
        <v>12609</v>
      </c>
      <c r="F6075" s="3" t="s">
        <v>12608</v>
      </c>
    </row>
    <row r="6076">
      <c r="A6076" s="3">
        <v>443.0</v>
      </c>
      <c r="B6076" s="3" t="s">
        <v>11280</v>
      </c>
      <c r="C6076" s="3" t="s">
        <v>11281</v>
      </c>
      <c r="D6076" s="3" t="s">
        <v>12610</v>
      </c>
      <c r="E6076" s="3" t="s">
        <v>12611</v>
      </c>
      <c r="F6076" s="3" t="s">
        <v>12610</v>
      </c>
    </row>
    <row r="6077">
      <c r="A6077" s="3">
        <v>444.0</v>
      </c>
      <c r="B6077" s="3" t="s">
        <v>11280</v>
      </c>
      <c r="C6077" s="3" t="s">
        <v>11281</v>
      </c>
      <c r="D6077" s="3" t="s">
        <v>12612</v>
      </c>
      <c r="E6077" s="3" t="s">
        <v>12613</v>
      </c>
      <c r="F6077" s="3" t="s">
        <v>12612</v>
      </c>
    </row>
    <row r="6078">
      <c r="A6078" s="3">
        <v>445.0</v>
      </c>
      <c r="B6078" s="3" t="s">
        <v>11280</v>
      </c>
      <c r="C6078" s="3" t="s">
        <v>11281</v>
      </c>
      <c r="D6078" s="3" t="s">
        <v>12614</v>
      </c>
      <c r="E6078" s="3" t="s">
        <v>12615</v>
      </c>
      <c r="F6078" s="3" t="s">
        <v>12614</v>
      </c>
    </row>
    <row r="6079">
      <c r="A6079" s="3">
        <v>446.0</v>
      </c>
      <c r="B6079" s="3" t="s">
        <v>11280</v>
      </c>
      <c r="C6079" s="3" t="s">
        <v>11281</v>
      </c>
      <c r="D6079" s="3" t="s">
        <v>12616</v>
      </c>
      <c r="E6079" s="3" t="s">
        <v>12617</v>
      </c>
      <c r="F6079" s="3" t="s">
        <v>12616</v>
      </c>
    </row>
    <row r="6080">
      <c r="A6080" s="3">
        <v>447.0</v>
      </c>
      <c r="B6080" s="3" t="s">
        <v>11280</v>
      </c>
      <c r="C6080" s="3" t="s">
        <v>11281</v>
      </c>
      <c r="D6080" s="3" t="s">
        <v>12618</v>
      </c>
      <c r="E6080" s="3" t="s">
        <v>12619</v>
      </c>
      <c r="F6080" s="3" t="s">
        <v>12618</v>
      </c>
    </row>
    <row r="6081">
      <c r="A6081" s="3">
        <v>448.0</v>
      </c>
      <c r="B6081" s="3" t="s">
        <v>11280</v>
      </c>
      <c r="C6081" s="3" t="s">
        <v>11281</v>
      </c>
      <c r="D6081" s="3" t="s">
        <v>12620</v>
      </c>
      <c r="E6081" s="3" t="s">
        <v>12621</v>
      </c>
      <c r="F6081" s="3" t="s">
        <v>12620</v>
      </c>
    </row>
    <row r="6082">
      <c r="A6082" s="3">
        <v>449.0</v>
      </c>
      <c r="B6082" s="3" t="s">
        <v>11280</v>
      </c>
      <c r="C6082" s="3" t="s">
        <v>11281</v>
      </c>
      <c r="D6082" s="3" t="s">
        <v>12622</v>
      </c>
      <c r="E6082" s="3" t="s">
        <v>12623</v>
      </c>
      <c r="F6082" s="3" t="s">
        <v>12622</v>
      </c>
    </row>
    <row r="6083">
      <c r="A6083" s="3">
        <v>450.0</v>
      </c>
      <c r="B6083" s="3" t="s">
        <v>11280</v>
      </c>
      <c r="C6083" s="3" t="s">
        <v>11281</v>
      </c>
      <c r="D6083" s="3" t="s">
        <v>12624</v>
      </c>
      <c r="E6083" s="3" t="s">
        <v>12625</v>
      </c>
      <c r="F6083" s="3" t="s">
        <v>12624</v>
      </c>
    </row>
    <row r="6084">
      <c r="A6084" s="3">
        <v>451.0</v>
      </c>
      <c r="B6084" s="3" t="s">
        <v>11280</v>
      </c>
      <c r="C6084" s="3" t="s">
        <v>11281</v>
      </c>
      <c r="D6084" s="3" t="s">
        <v>12626</v>
      </c>
      <c r="E6084" s="3" t="s">
        <v>12627</v>
      </c>
      <c r="F6084" s="3" t="s">
        <v>12626</v>
      </c>
    </row>
    <row r="6085">
      <c r="A6085" s="3">
        <v>452.0</v>
      </c>
      <c r="B6085" s="3" t="s">
        <v>11280</v>
      </c>
      <c r="C6085" s="3" t="s">
        <v>11281</v>
      </c>
      <c r="D6085" s="3" t="s">
        <v>12628</v>
      </c>
      <c r="E6085" s="3" t="s">
        <v>12629</v>
      </c>
      <c r="F6085" s="3" t="s">
        <v>12628</v>
      </c>
    </row>
    <row r="6086">
      <c r="A6086" s="3">
        <v>453.0</v>
      </c>
      <c r="B6086" s="3" t="s">
        <v>11280</v>
      </c>
      <c r="C6086" s="3" t="s">
        <v>11281</v>
      </c>
      <c r="D6086" s="3" t="s">
        <v>12630</v>
      </c>
      <c r="E6086" s="3" t="s">
        <v>12631</v>
      </c>
      <c r="F6086" s="3" t="s">
        <v>12630</v>
      </c>
    </row>
    <row r="6087">
      <c r="A6087" s="3">
        <v>454.0</v>
      </c>
      <c r="B6087" s="3" t="s">
        <v>11280</v>
      </c>
      <c r="C6087" s="3" t="s">
        <v>11281</v>
      </c>
      <c r="D6087" s="3" t="s">
        <v>12632</v>
      </c>
      <c r="E6087" s="3" t="s">
        <v>12633</v>
      </c>
      <c r="F6087" s="3" t="s">
        <v>12632</v>
      </c>
    </row>
    <row r="6088">
      <c r="A6088" s="3">
        <v>455.0</v>
      </c>
      <c r="B6088" s="3" t="s">
        <v>11280</v>
      </c>
      <c r="C6088" s="3" t="s">
        <v>11281</v>
      </c>
      <c r="D6088" s="3" t="s">
        <v>12634</v>
      </c>
      <c r="E6088" s="3" t="s">
        <v>12635</v>
      </c>
      <c r="F6088" s="3" t="s">
        <v>12634</v>
      </c>
    </row>
    <row r="6089">
      <c r="A6089" s="3">
        <v>456.0</v>
      </c>
      <c r="B6089" s="3" t="s">
        <v>11280</v>
      </c>
      <c r="C6089" s="3" t="s">
        <v>11281</v>
      </c>
      <c r="D6089" s="3" t="s">
        <v>12636</v>
      </c>
      <c r="E6089" s="3" t="s">
        <v>12637</v>
      </c>
      <c r="F6089" s="3" t="s">
        <v>12636</v>
      </c>
    </row>
    <row r="6090">
      <c r="A6090" s="3">
        <v>457.0</v>
      </c>
      <c r="B6090" s="3" t="s">
        <v>11280</v>
      </c>
      <c r="C6090" s="3" t="s">
        <v>11281</v>
      </c>
      <c r="D6090" s="3" t="s">
        <v>12638</v>
      </c>
      <c r="E6090" s="3" t="s">
        <v>12639</v>
      </c>
      <c r="F6090" s="3" t="s">
        <v>12638</v>
      </c>
    </row>
    <row r="6091">
      <c r="A6091" s="3">
        <v>458.0</v>
      </c>
      <c r="B6091" s="3" t="s">
        <v>11280</v>
      </c>
      <c r="C6091" s="3" t="s">
        <v>11281</v>
      </c>
      <c r="D6091" s="3" t="s">
        <v>12640</v>
      </c>
      <c r="E6091" s="3" t="s">
        <v>12641</v>
      </c>
      <c r="F6091" s="3" t="s">
        <v>12640</v>
      </c>
      <c r="G6091" s="3"/>
      <c r="H6091" s="3" t="s">
        <v>9207</v>
      </c>
      <c r="I6091" s="3" t="s">
        <v>12642</v>
      </c>
    </row>
    <row r="6092">
      <c r="A6092" s="3">
        <v>459.0</v>
      </c>
      <c r="B6092" s="3" t="s">
        <v>11280</v>
      </c>
      <c r="C6092" s="3" t="s">
        <v>11281</v>
      </c>
      <c r="D6092" s="3" t="s">
        <v>12643</v>
      </c>
      <c r="E6092" s="3" t="s">
        <v>12644</v>
      </c>
      <c r="F6092" s="3" t="s">
        <v>12643</v>
      </c>
    </row>
    <row r="6093">
      <c r="A6093" s="3">
        <v>460.0</v>
      </c>
      <c r="B6093" s="3" t="s">
        <v>11280</v>
      </c>
      <c r="C6093" s="3" t="s">
        <v>11281</v>
      </c>
      <c r="D6093" s="3" t="s">
        <v>12645</v>
      </c>
      <c r="E6093" s="3" t="s">
        <v>12646</v>
      </c>
      <c r="F6093" s="3" t="s">
        <v>12645</v>
      </c>
    </row>
    <row r="6094">
      <c r="A6094" s="3">
        <v>461.0</v>
      </c>
      <c r="B6094" s="3" t="s">
        <v>11280</v>
      </c>
      <c r="C6094" s="3" t="s">
        <v>11281</v>
      </c>
      <c r="D6094" s="3" t="s">
        <v>12647</v>
      </c>
      <c r="E6094" s="3" t="s">
        <v>12648</v>
      </c>
      <c r="F6094" s="3" t="s">
        <v>12647</v>
      </c>
    </row>
    <row r="6095">
      <c r="A6095" s="3">
        <v>462.0</v>
      </c>
      <c r="B6095" s="3" t="s">
        <v>11280</v>
      </c>
      <c r="C6095" s="3" t="s">
        <v>11281</v>
      </c>
      <c r="D6095" s="3" t="s">
        <v>12649</v>
      </c>
      <c r="E6095" s="3" t="s">
        <v>12650</v>
      </c>
      <c r="F6095" s="3" t="s">
        <v>12649</v>
      </c>
    </row>
    <row r="6096">
      <c r="A6096" s="3">
        <v>463.0</v>
      </c>
      <c r="B6096" s="3" t="s">
        <v>11280</v>
      </c>
      <c r="C6096" s="3" t="s">
        <v>11281</v>
      </c>
      <c r="D6096" s="3" t="s">
        <v>12651</v>
      </c>
      <c r="E6096" s="3" t="s">
        <v>12652</v>
      </c>
      <c r="F6096" s="3" t="s">
        <v>12651</v>
      </c>
    </row>
    <row r="6097">
      <c r="A6097" s="3">
        <v>464.0</v>
      </c>
      <c r="B6097" s="3" t="s">
        <v>11280</v>
      </c>
      <c r="C6097" s="3" t="s">
        <v>11281</v>
      </c>
      <c r="D6097" s="3" t="s">
        <v>12653</v>
      </c>
      <c r="E6097" s="3" t="s">
        <v>12654</v>
      </c>
      <c r="F6097" s="3" t="s">
        <v>12653</v>
      </c>
    </row>
    <row r="6098">
      <c r="A6098" s="3">
        <v>465.0</v>
      </c>
      <c r="B6098" s="3" t="s">
        <v>11280</v>
      </c>
      <c r="C6098" s="3" t="s">
        <v>11281</v>
      </c>
      <c r="D6098" s="3" t="s">
        <v>12655</v>
      </c>
      <c r="E6098" s="3" t="s">
        <v>12656</v>
      </c>
      <c r="F6098" s="3" t="s">
        <v>12655</v>
      </c>
    </row>
    <row r="6099">
      <c r="A6099" s="3">
        <v>466.0</v>
      </c>
      <c r="B6099" s="3" t="s">
        <v>11280</v>
      </c>
      <c r="C6099" s="3" t="s">
        <v>11281</v>
      </c>
      <c r="D6099" s="3" t="s">
        <v>12657</v>
      </c>
      <c r="E6099" s="3" t="s">
        <v>12658</v>
      </c>
      <c r="F6099" s="3" t="s">
        <v>12657</v>
      </c>
      <c r="G6099" s="3"/>
      <c r="H6099" s="3" t="s">
        <v>12659</v>
      </c>
      <c r="I6099" s="3" t="s">
        <v>12660</v>
      </c>
      <c r="J6099" s="3" t="s">
        <v>12661</v>
      </c>
      <c r="K6099" s="3" t="s">
        <v>2132</v>
      </c>
      <c r="L6099" s="3" t="s">
        <v>12662</v>
      </c>
      <c r="M6099" s="3" t="s">
        <v>12661</v>
      </c>
      <c r="N6099" s="3" t="s">
        <v>12659</v>
      </c>
      <c r="O6099" s="3" t="s">
        <v>12663</v>
      </c>
    </row>
    <row r="6100">
      <c r="A6100" s="3">
        <v>467.0</v>
      </c>
      <c r="B6100" s="3" t="s">
        <v>11280</v>
      </c>
      <c r="C6100" s="3" t="s">
        <v>11281</v>
      </c>
      <c r="D6100" s="3" t="s">
        <v>12664</v>
      </c>
      <c r="E6100" s="3" t="s">
        <v>12665</v>
      </c>
      <c r="F6100" s="3" t="s">
        <v>12664</v>
      </c>
    </row>
    <row r="6101">
      <c r="A6101" s="3">
        <v>468.0</v>
      </c>
      <c r="B6101" s="3" t="s">
        <v>11280</v>
      </c>
      <c r="C6101" s="3" t="s">
        <v>11281</v>
      </c>
      <c r="D6101" s="3" t="s">
        <v>12666</v>
      </c>
      <c r="E6101" s="3" t="s">
        <v>12667</v>
      </c>
      <c r="F6101" s="3" t="s">
        <v>12666</v>
      </c>
    </row>
    <row r="6102">
      <c r="A6102" s="3">
        <v>469.0</v>
      </c>
      <c r="B6102" s="3" t="s">
        <v>11280</v>
      </c>
      <c r="C6102" s="3" t="s">
        <v>11281</v>
      </c>
      <c r="D6102" s="3" t="s">
        <v>12668</v>
      </c>
      <c r="E6102" s="3" t="s">
        <v>12669</v>
      </c>
      <c r="F6102" s="3" t="s">
        <v>12668</v>
      </c>
    </row>
    <row r="6103">
      <c r="A6103" s="3">
        <v>470.0</v>
      </c>
      <c r="B6103" s="3" t="s">
        <v>11280</v>
      </c>
      <c r="C6103" s="3" t="s">
        <v>11281</v>
      </c>
      <c r="D6103" s="3" t="s">
        <v>12670</v>
      </c>
      <c r="E6103" s="3" t="s">
        <v>12671</v>
      </c>
      <c r="F6103" s="3" t="s">
        <v>12670</v>
      </c>
    </row>
    <row r="6104">
      <c r="A6104" s="3">
        <v>471.0</v>
      </c>
      <c r="B6104" s="3" t="s">
        <v>11280</v>
      </c>
      <c r="C6104" s="3" t="s">
        <v>11281</v>
      </c>
      <c r="D6104" s="3" t="s">
        <v>12672</v>
      </c>
      <c r="E6104" s="3" t="s">
        <v>12673</v>
      </c>
      <c r="F6104" s="3" t="s">
        <v>12672</v>
      </c>
    </row>
    <row r="6105">
      <c r="A6105" s="3">
        <v>472.0</v>
      </c>
      <c r="B6105" s="3" t="s">
        <v>11280</v>
      </c>
      <c r="C6105" s="3" t="s">
        <v>11281</v>
      </c>
      <c r="D6105" s="3" t="s">
        <v>12674</v>
      </c>
      <c r="E6105" s="3" t="s">
        <v>12675</v>
      </c>
      <c r="F6105" s="3" t="s">
        <v>12674</v>
      </c>
    </row>
    <row r="6106">
      <c r="A6106" s="3">
        <v>473.0</v>
      </c>
      <c r="B6106" s="3" t="s">
        <v>11280</v>
      </c>
      <c r="C6106" s="3" t="s">
        <v>11281</v>
      </c>
      <c r="D6106" s="3" t="s">
        <v>12676</v>
      </c>
      <c r="E6106" s="3" t="s">
        <v>12677</v>
      </c>
      <c r="F6106" s="3" t="s">
        <v>12676</v>
      </c>
    </row>
    <row r="6107">
      <c r="A6107" s="3">
        <v>474.0</v>
      </c>
      <c r="B6107" s="3" t="s">
        <v>11280</v>
      </c>
      <c r="C6107" s="3" t="s">
        <v>11281</v>
      </c>
      <c r="D6107" s="3" t="s">
        <v>12678</v>
      </c>
      <c r="E6107" s="3" t="s">
        <v>12679</v>
      </c>
      <c r="F6107" s="3" t="s">
        <v>12678</v>
      </c>
    </row>
    <row r="6108">
      <c r="A6108" s="3">
        <v>475.0</v>
      </c>
      <c r="B6108" s="3" t="s">
        <v>11280</v>
      </c>
      <c r="C6108" s="3" t="s">
        <v>11281</v>
      </c>
      <c r="D6108" s="3" t="s">
        <v>12680</v>
      </c>
      <c r="E6108" s="3" t="s">
        <v>12681</v>
      </c>
      <c r="F6108" s="3" t="s">
        <v>12680</v>
      </c>
    </row>
    <row r="6109">
      <c r="A6109" s="3">
        <v>476.0</v>
      </c>
      <c r="B6109" s="3" t="s">
        <v>11280</v>
      </c>
      <c r="C6109" s="3" t="s">
        <v>11281</v>
      </c>
      <c r="D6109" s="3" t="s">
        <v>12682</v>
      </c>
      <c r="E6109" s="3" t="s">
        <v>12683</v>
      </c>
      <c r="F6109" s="3" t="s">
        <v>12682</v>
      </c>
    </row>
    <row r="6110">
      <c r="A6110" s="3">
        <v>477.0</v>
      </c>
      <c r="B6110" s="3" t="s">
        <v>11280</v>
      </c>
      <c r="C6110" s="3" t="s">
        <v>11281</v>
      </c>
      <c r="D6110" s="3" t="s">
        <v>12684</v>
      </c>
      <c r="E6110" s="3" t="s">
        <v>12685</v>
      </c>
      <c r="F6110" s="3" t="s">
        <v>12684</v>
      </c>
    </row>
    <row r="6111">
      <c r="A6111" s="3">
        <v>478.0</v>
      </c>
      <c r="B6111" s="3" t="s">
        <v>11280</v>
      </c>
      <c r="C6111" s="3" t="s">
        <v>11281</v>
      </c>
      <c r="D6111" s="3" t="s">
        <v>12686</v>
      </c>
      <c r="E6111" s="3" t="s">
        <v>12687</v>
      </c>
      <c r="F6111" s="3" t="s">
        <v>12686</v>
      </c>
    </row>
    <row r="6112">
      <c r="A6112" s="3">
        <v>479.0</v>
      </c>
      <c r="B6112" s="3" t="s">
        <v>11280</v>
      </c>
      <c r="C6112" s="3" t="s">
        <v>11281</v>
      </c>
      <c r="D6112" s="3" t="s">
        <v>12688</v>
      </c>
      <c r="E6112" s="3" t="s">
        <v>12689</v>
      </c>
      <c r="F6112" s="3" t="s">
        <v>12688</v>
      </c>
      <c r="G6112" s="3"/>
      <c r="H6112" s="3" t="s">
        <v>12690</v>
      </c>
      <c r="I6112" s="3" t="s">
        <v>6010</v>
      </c>
      <c r="J6112" s="3" t="s">
        <v>11730</v>
      </c>
    </row>
    <row r="6113">
      <c r="A6113" s="3">
        <v>480.0</v>
      </c>
      <c r="B6113" s="3" t="s">
        <v>11280</v>
      </c>
      <c r="C6113" s="3" t="s">
        <v>11281</v>
      </c>
      <c r="D6113" s="3" t="s">
        <v>12691</v>
      </c>
      <c r="E6113" s="3" t="s">
        <v>12692</v>
      </c>
      <c r="F6113" s="3" t="s">
        <v>12691</v>
      </c>
    </row>
    <row r="6114">
      <c r="A6114" s="3">
        <v>481.0</v>
      </c>
      <c r="B6114" s="3" t="s">
        <v>11280</v>
      </c>
      <c r="C6114" s="3" t="s">
        <v>11281</v>
      </c>
      <c r="D6114" s="3" t="s">
        <v>12693</v>
      </c>
      <c r="E6114" s="3" t="s">
        <v>12694</v>
      </c>
      <c r="F6114" s="3" t="s">
        <v>12693</v>
      </c>
    </row>
    <row r="6115">
      <c r="A6115" s="3">
        <v>482.0</v>
      </c>
      <c r="B6115" s="3" t="s">
        <v>11280</v>
      </c>
      <c r="C6115" s="3" t="s">
        <v>11281</v>
      </c>
      <c r="D6115" s="3" t="s">
        <v>12695</v>
      </c>
      <c r="E6115" s="3" t="s">
        <v>12696</v>
      </c>
      <c r="F6115" s="3" t="s">
        <v>12695</v>
      </c>
    </row>
    <row r="6116">
      <c r="A6116" s="3">
        <v>483.0</v>
      </c>
      <c r="B6116" s="3" t="s">
        <v>11280</v>
      </c>
      <c r="C6116" s="3" t="s">
        <v>11281</v>
      </c>
      <c r="D6116" s="3" t="s">
        <v>12697</v>
      </c>
      <c r="E6116" s="3" t="s">
        <v>12698</v>
      </c>
      <c r="F6116" s="3" t="s">
        <v>12697</v>
      </c>
    </row>
    <row r="6117">
      <c r="A6117" s="3">
        <v>484.0</v>
      </c>
      <c r="B6117" s="3" t="s">
        <v>11280</v>
      </c>
      <c r="C6117" s="3" t="s">
        <v>11281</v>
      </c>
      <c r="D6117" s="3" t="s">
        <v>12699</v>
      </c>
      <c r="E6117" s="3" t="s">
        <v>12700</v>
      </c>
      <c r="F6117" s="3" t="s">
        <v>12701</v>
      </c>
    </row>
    <row r="6118">
      <c r="A6118" s="3">
        <v>485.0</v>
      </c>
      <c r="B6118" s="3" t="s">
        <v>11280</v>
      </c>
      <c r="C6118" s="3" t="s">
        <v>11281</v>
      </c>
      <c r="D6118" s="3" t="s">
        <v>12702</v>
      </c>
      <c r="E6118" s="3" t="s">
        <v>12703</v>
      </c>
      <c r="F6118" s="3" t="s">
        <v>12704</v>
      </c>
    </row>
    <row r="6119">
      <c r="A6119" s="3">
        <v>486.0</v>
      </c>
      <c r="B6119" s="3" t="s">
        <v>11280</v>
      </c>
      <c r="C6119" s="3" t="s">
        <v>11281</v>
      </c>
      <c r="D6119" s="3" t="s">
        <v>12705</v>
      </c>
      <c r="E6119" s="3" t="s">
        <v>12706</v>
      </c>
      <c r="F6119" s="3" t="s">
        <v>12707</v>
      </c>
    </row>
    <row r="6120">
      <c r="A6120" s="3">
        <v>487.0</v>
      </c>
      <c r="B6120" s="3" t="s">
        <v>11280</v>
      </c>
      <c r="C6120" s="3" t="s">
        <v>11281</v>
      </c>
      <c r="D6120" s="3" t="s">
        <v>12708</v>
      </c>
      <c r="E6120" s="3" t="s">
        <v>12709</v>
      </c>
      <c r="F6120" s="3" t="s">
        <v>12710</v>
      </c>
    </row>
    <row r="6121">
      <c r="A6121" s="3">
        <v>488.0</v>
      </c>
      <c r="B6121" s="3" t="s">
        <v>11280</v>
      </c>
      <c r="C6121" s="3" t="s">
        <v>11281</v>
      </c>
      <c r="D6121" s="3" t="s">
        <v>12711</v>
      </c>
      <c r="E6121" s="3" t="s">
        <v>12712</v>
      </c>
      <c r="F6121" s="3" t="s">
        <v>12713</v>
      </c>
    </row>
    <row r="6122">
      <c r="A6122" s="3">
        <v>489.0</v>
      </c>
      <c r="B6122" s="3" t="s">
        <v>11280</v>
      </c>
      <c r="C6122" s="3" t="s">
        <v>11281</v>
      </c>
      <c r="D6122" s="3" t="s">
        <v>12714</v>
      </c>
      <c r="E6122" s="3" t="s">
        <v>12715</v>
      </c>
      <c r="F6122" s="3" t="s">
        <v>12716</v>
      </c>
    </row>
    <row r="6123">
      <c r="A6123" s="3">
        <v>490.0</v>
      </c>
      <c r="B6123" s="3" t="s">
        <v>11280</v>
      </c>
      <c r="C6123" s="3" t="s">
        <v>11281</v>
      </c>
      <c r="D6123" s="3" t="s">
        <v>12717</v>
      </c>
      <c r="E6123" s="3" t="s">
        <v>12718</v>
      </c>
      <c r="F6123" s="3" t="s">
        <v>12719</v>
      </c>
    </row>
    <row r="6124">
      <c r="A6124" s="3">
        <v>491.0</v>
      </c>
      <c r="B6124" s="3" t="s">
        <v>11280</v>
      </c>
      <c r="C6124" s="3" t="s">
        <v>11281</v>
      </c>
      <c r="D6124" s="3" t="s">
        <v>12720</v>
      </c>
      <c r="E6124" s="3" t="s">
        <v>12721</v>
      </c>
      <c r="F6124" s="3" t="s">
        <v>12722</v>
      </c>
    </row>
    <row r="6125">
      <c r="A6125" s="3">
        <v>492.0</v>
      </c>
      <c r="B6125" s="3" t="s">
        <v>11280</v>
      </c>
      <c r="C6125" s="3" t="s">
        <v>11281</v>
      </c>
      <c r="D6125" s="3" t="s">
        <v>12723</v>
      </c>
      <c r="E6125" s="3" t="s">
        <v>12724</v>
      </c>
      <c r="F6125" s="3" t="s">
        <v>12725</v>
      </c>
    </row>
    <row r="6126">
      <c r="A6126" s="3">
        <v>493.0</v>
      </c>
      <c r="B6126" s="3" t="s">
        <v>11280</v>
      </c>
      <c r="C6126" s="3" t="s">
        <v>11281</v>
      </c>
      <c r="D6126" s="3" t="s">
        <v>8173</v>
      </c>
      <c r="E6126" s="3" t="s">
        <v>8172</v>
      </c>
      <c r="F6126" s="3" t="s">
        <v>8173</v>
      </c>
      <c r="G6126" s="3"/>
      <c r="H6126" s="3" t="s">
        <v>12726</v>
      </c>
      <c r="I6126" s="3" t="s">
        <v>12727</v>
      </c>
      <c r="J6126" s="3" t="s">
        <v>12726</v>
      </c>
    </row>
    <row r="6127">
      <c r="A6127" s="3">
        <v>494.0</v>
      </c>
      <c r="B6127" s="3" t="s">
        <v>11280</v>
      </c>
      <c r="C6127" s="3" t="s">
        <v>11281</v>
      </c>
      <c r="D6127" s="3" t="s">
        <v>12728</v>
      </c>
      <c r="E6127" s="3" t="s">
        <v>12729</v>
      </c>
      <c r="F6127" s="3" t="s">
        <v>12728</v>
      </c>
    </row>
    <row r="6128">
      <c r="A6128" s="3">
        <v>495.0</v>
      </c>
      <c r="B6128" s="3" t="s">
        <v>11280</v>
      </c>
      <c r="C6128" s="3" t="s">
        <v>11281</v>
      </c>
      <c r="D6128" s="3" t="s">
        <v>12730</v>
      </c>
      <c r="E6128" s="3" t="s">
        <v>12731</v>
      </c>
      <c r="F6128" s="3" t="s">
        <v>12730</v>
      </c>
    </row>
    <row r="6129">
      <c r="A6129" s="3">
        <v>496.0</v>
      </c>
      <c r="B6129" s="3" t="s">
        <v>11280</v>
      </c>
      <c r="C6129" s="3" t="s">
        <v>11281</v>
      </c>
      <c r="D6129" s="3" t="s">
        <v>12732</v>
      </c>
      <c r="E6129" s="3" t="s">
        <v>12733</v>
      </c>
      <c r="F6129" s="3" t="s">
        <v>12732</v>
      </c>
    </row>
    <row r="6130">
      <c r="A6130" s="3">
        <v>497.0</v>
      </c>
      <c r="B6130" s="3" t="s">
        <v>11280</v>
      </c>
      <c r="C6130" s="3" t="s">
        <v>11281</v>
      </c>
      <c r="D6130" s="3" t="s">
        <v>12734</v>
      </c>
      <c r="E6130" s="3" t="s">
        <v>12735</v>
      </c>
      <c r="F6130" s="3" t="s">
        <v>12734</v>
      </c>
      <c r="G6130" s="3"/>
      <c r="H6130" s="3" t="s">
        <v>12736</v>
      </c>
    </row>
    <row r="6131">
      <c r="A6131" s="3">
        <v>498.0</v>
      </c>
      <c r="B6131" s="3" t="s">
        <v>11280</v>
      </c>
      <c r="C6131" s="3" t="s">
        <v>11281</v>
      </c>
      <c r="D6131" s="3" t="s">
        <v>12737</v>
      </c>
      <c r="E6131" s="3" t="s">
        <v>12738</v>
      </c>
      <c r="F6131" s="3" t="s">
        <v>12737</v>
      </c>
    </row>
    <row r="6132">
      <c r="A6132" s="3">
        <v>499.0</v>
      </c>
      <c r="B6132" s="3" t="s">
        <v>11280</v>
      </c>
      <c r="C6132" s="3" t="s">
        <v>11281</v>
      </c>
      <c r="D6132" s="3" t="s">
        <v>12739</v>
      </c>
      <c r="E6132" s="3" t="s">
        <v>12740</v>
      </c>
      <c r="F6132" s="3" t="s">
        <v>12739</v>
      </c>
      <c r="G6132" s="3"/>
      <c r="H6132" s="3" t="s">
        <v>12741</v>
      </c>
      <c r="I6132" s="3" t="s">
        <v>2909</v>
      </c>
      <c r="J6132" s="3" t="s">
        <v>12742</v>
      </c>
      <c r="K6132" s="3" t="s">
        <v>12743</v>
      </c>
      <c r="L6132" s="3" t="s">
        <v>12744</v>
      </c>
      <c r="M6132" s="3" t="s">
        <v>12745</v>
      </c>
    </row>
    <row r="6133">
      <c r="A6133" s="3">
        <v>500.0</v>
      </c>
      <c r="B6133" s="3" t="s">
        <v>11280</v>
      </c>
      <c r="C6133" s="3" t="s">
        <v>11281</v>
      </c>
      <c r="D6133" s="3" t="s">
        <v>12746</v>
      </c>
      <c r="E6133" s="3" t="s">
        <v>12747</v>
      </c>
      <c r="F6133" s="3" t="s">
        <v>12746</v>
      </c>
    </row>
    <row r="6134">
      <c r="A6134" s="3">
        <v>501.0</v>
      </c>
      <c r="B6134" s="3" t="s">
        <v>11280</v>
      </c>
      <c r="C6134" s="3" t="s">
        <v>11281</v>
      </c>
      <c r="D6134" s="3" t="s">
        <v>12748</v>
      </c>
      <c r="E6134" s="3" t="s">
        <v>12749</v>
      </c>
      <c r="F6134" s="3" t="s">
        <v>12748</v>
      </c>
    </row>
    <row r="6135">
      <c r="A6135" s="3">
        <v>502.0</v>
      </c>
      <c r="B6135" s="3" t="s">
        <v>11280</v>
      </c>
      <c r="C6135" s="3" t="s">
        <v>11281</v>
      </c>
      <c r="D6135" s="3" t="s">
        <v>12750</v>
      </c>
      <c r="E6135" s="3" t="s">
        <v>12751</v>
      </c>
      <c r="F6135" s="3" t="s">
        <v>12750</v>
      </c>
    </row>
    <row r="6136">
      <c r="A6136" s="3">
        <v>503.0</v>
      </c>
      <c r="B6136" s="3" t="s">
        <v>11280</v>
      </c>
      <c r="C6136" s="3" t="s">
        <v>11281</v>
      </c>
      <c r="D6136" s="3" t="s">
        <v>12752</v>
      </c>
      <c r="E6136" s="3" t="s">
        <v>12753</v>
      </c>
      <c r="F6136" s="3" t="s">
        <v>12752</v>
      </c>
    </row>
    <row r="6137">
      <c r="A6137" s="3">
        <v>504.0</v>
      </c>
      <c r="B6137" s="3" t="s">
        <v>11280</v>
      </c>
      <c r="C6137" s="3" t="s">
        <v>11281</v>
      </c>
      <c r="D6137" s="3" t="s">
        <v>12754</v>
      </c>
      <c r="E6137" s="3" t="s">
        <v>12755</v>
      </c>
      <c r="F6137" s="3" t="s">
        <v>12754</v>
      </c>
    </row>
    <row r="6138">
      <c r="A6138" s="3">
        <v>505.0</v>
      </c>
      <c r="B6138" s="3" t="s">
        <v>11280</v>
      </c>
      <c r="C6138" s="3" t="s">
        <v>11281</v>
      </c>
      <c r="D6138" s="3" t="s">
        <v>12756</v>
      </c>
      <c r="E6138" s="3" t="s">
        <v>12757</v>
      </c>
      <c r="F6138" s="3" t="s">
        <v>12756</v>
      </c>
    </row>
    <row r="6139">
      <c r="A6139" s="3">
        <v>506.0</v>
      </c>
      <c r="B6139" s="3" t="s">
        <v>11280</v>
      </c>
      <c r="C6139" s="3" t="s">
        <v>11281</v>
      </c>
      <c r="D6139" s="3" t="s">
        <v>12758</v>
      </c>
      <c r="E6139" s="3" t="s">
        <v>12759</v>
      </c>
      <c r="F6139" s="3" t="s">
        <v>12758</v>
      </c>
    </row>
    <row r="6140">
      <c r="A6140" s="3">
        <v>507.0</v>
      </c>
      <c r="B6140" s="3" t="s">
        <v>11280</v>
      </c>
      <c r="C6140" s="3" t="s">
        <v>11281</v>
      </c>
      <c r="D6140" s="3" t="s">
        <v>12760</v>
      </c>
      <c r="E6140" s="3" t="s">
        <v>12761</v>
      </c>
      <c r="F6140" s="3" t="s">
        <v>12760</v>
      </c>
    </row>
    <row r="6141">
      <c r="A6141" s="3">
        <v>508.0</v>
      </c>
      <c r="B6141" s="3" t="s">
        <v>11280</v>
      </c>
      <c r="C6141" s="3" t="s">
        <v>11281</v>
      </c>
      <c r="D6141" s="3" t="s">
        <v>12762</v>
      </c>
      <c r="E6141" s="3" t="s">
        <v>12763</v>
      </c>
      <c r="F6141" s="3" t="s">
        <v>12762</v>
      </c>
    </row>
    <row r="6142">
      <c r="A6142" s="3">
        <v>509.0</v>
      </c>
      <c r="B6142" s="3" t="s">
        <v>11280</v>
      </c>
      <c r="C6142" s="3" t="s">
        <v>11281</v>
      </c>
      <c r="D6142" s="3" t="s">
        <v>12764</v>
      </c>
      <c r="E6142" s="3" t="s">
        <v>12765</v>
      </c>
      <c r="F6142" s="3" t="s">
        <v>12764</v>
      </c>
    </row>
    <row r="6143">
      <c r="A6143" s="3">
        <v>510.0</v>
      </c>
      <c r="B6143" s="3" t="s">
        <v>11280</v>
      </c>
      <c r="C6143" s="3" t="s">
        <v>11281</v>
      </c>
      <c r="D6143" s="3" t="s">
        <v>12766</v>
      </c>
      <c r="E6143" s="3" t="s">
        <v>9859</v>
      </c>
      <c r="F6143" s="3" t="s">
        <v>9860</v>
      </c>
    </row>
    <row r="6144">
      <c r="A6144" s="3">
        <v>511.0</v>
      </c>
      <c r="B6144" s="3" t="s">
        <v>11280</v>
      </c>
      <c r="C6144" s="3" t="s">
        <v>11281</v>
      </c>
      <c r="D6144" s="3" t="s">
        <v>12767</v>
      </c>
      <c r="E6144" s="3" t="s">
        <v>12768</v>
      </c>
      <c r="F6144" s="3" t="s">
        <v>12769</v>
      </c>
    </row>
    <row r="6145">
      <c r="A6145" s="3">
        <v>512.0</v>
      </c>
      <c r="B6145" s="3" t="s">
        <v>11280</v>
      </c>
      <c r="C6145" s="3" t="s">
        <v>11281</v>
      </c>
      <c r="D6145" s="3" t="s">
        <v>12770</v>
      </c>
      <c r="E6145" s="3" t="s">
        <v>12771</v>
      </c>
      <c r="F6145" s="3" t="s">
        <v>12772</v>
      </c>
    </row>
    <row r="6146">
      <c r="A6146" s="3">
        <v>513.0</v>
      </c>
      <c r="B6146" s="3" t="s">
        <v>11280</v>
      </c>
      <c r="C6146" s="3" t="s">
        <v>11281</v>
      </c>
      <c r="D6146" s="3" t="s">
        <v>12773</v>
      </c>
      <c r="E6146" s="3" t="s">
        <v>12774</v>
      </c>
      <c r="F6146" s="3" t="s">
        <v>12775</v>
      </c>
    </row>
    <row r="6147">
      <c r="A6147" s="3">
        <v>514.0</v>
      </c>
      <c r="B6147" s="3" t="s">
        <v>11280</v>
      </c>
      <c r="C6147" s="3" t="s">
        <v>11281</v>
      </c>
      <c r="D6147" s="3" t="s">
        <v>12776</v>
      </c>
      <c r="E6147" s="3" t="s">
        <v>12777</v>
      </c>
      <c r="F6147" s="3" t="s">
        <v>12778</v>
      </c>
    </row>
    <row r="6148">
      <c r="A6148" s="3">
        <v>515.0</v>
      </c>
      <c r="B6148" s="3" t="s">
        <v>11280</v>
      </c>
      <c r="C6148" s="3" t="s">
        <v>11281</v>
      </c>
      <c r="D6148" s="3" t="s">
        <v>12779</v>
      </c>
      <c r="E6148" s="3" t="s">
        <v>12780</v>
      </c>
      <c r="F6148" s="3" t="s">
        <v>12781</v>
      </c>
    </row>
    <row r="6149">
      <c r="A6149" s="3">
        <v>516.0</v>
      </c>
      <c r="B6149" s="3" t="s">
        <v>11280</v>
      </c>
      <c r="C6149" s="3" t="s">
        <v>11281</v>
      </c>
      <c r="D6149" s="3" t="s">
        <v>12782</v>
      </c>
      <c r="E6149" s="3" t="s">
        <v>12783</v>
      </c>
      <c r="F6149" s="3" t="s">
        <v>12784</v>
      </c>
    </row>
    <row r="6150">
      <c r="A6150" s="3">
        <v>517.0</v>
      </c>
      <c r="B6150" s="3" t="s">
        <v>11280</v>
      </c>
      <c r="C6150" s="3" t="s">
        <v>11281</v>
      </c>
      <c r="D6150" s="3" t="s">
        <v>827</v>
      </c>
      <c r="E6150" s="3" t="s">
        <v>826</v>
      </c>
      <c r="F6150" s="3" t="s">
        <v>827</v>
      </c>
      <c r="G6150" s="3"/>
      <c r="H6150" s="3" t="s">
        <v>6539</v>
      </c>
      <c r="I6150" s="3" t="s">
        <v>6539</v>
      </c>
      <c r="J6150" s="3" t="s">
        <v>12785</v>
      </c>
      <c r="K6150" s="3" t="s">
        <v>557</v>
      </c>
      <c r="L6150" s="3" t="s">
        <v>12786</v>
      </c>
      <c r="M6150" s="3" t="s">
        <v>12787</v>
      </c>
      <c r="N6150" s="3" t="s">
        <v>12788</v>
      </c>
      <c r="O6150" s="3" t="s">
        <v>12789</v>
      </c>
      <c r="P6150" s="3" t="s">
        <v>12790</v>
      </c>
      <c r="Q6150" s="3" t="s">
        <v>12791</v>
      </c>
      <c r="R6150" s="3" t="s">
        <v>839</v>
      </c>
      <c r="S6150" s="3" t="s">
        <v>12792</v>
      </c>
      <c r="T6150" s="3" t="s">
        <v>12793</v>
      </c>
      <c r="U6150" s="3" t="s">
        <v>12794</v>
      </c>
      <c r="V6150" s="3" t="s">
        <v>12795</v>
      </c>
      <c r="W6150" s="3" t="s">
        <v>12796</v>
      </c>
    </row>
    <row r="6151">
      <c r="A6151" s="3">
        <v>518.0</v>
      </c>
      <c r="B6151" s="3" t="s">
        <v>11280</v>
      </c>
      <c r="C6151" s="3" t="s">
        <v>11281</v>
      </c>
      <c r="D6151" s="3" t="s">
        <v>12797</v>
      </c>
      <c r="E6151" s="3" t="s">
        <v>12798</v>
      </c>
      <c r="F6151" s="3" t="s">
        <v>12797</v>
      </c>
      <c r="G6151" s="3"/>
      <c r="H6151" s="3" t="s">
        <v>12799</v>
      </c>
      <c r="I6151" s="3" t="s">
        <v>5467</v>
      </c>
      <c r="J6151" s="3" t="s">
        <v>12800</v>
      </c>
      <c r="K6151" s="3" t="s">
        <v>1101</v>
      </c>
    </row>
    <row r="6152">
      <c r="A6152" s="3">
        <v>519.0</v>
      </c>
      <c r="B6152" s="3" t="s">
        <v>11280</v>
      </c>
      <c r="C6152" s="3" t="s">
        <v>11281</v>
      </c>
      <c r="D6152" s="3" t="s">
        <v>753</v>
      </c>
      <c r="E6152" s="3" t="s">
        <v>752</v>
      </c>
      <c r="F6152" s="3" t="s">
        <v>753</v>
      </c>
    </row>
    <row r="6153">
      <c r="A6153" s="3">
        <v>520.0</v>
      </c>
      <c r="B6153" s="3" t="s">
        <v>11280</v>
      </c>
      <c r="C6153" s="3" t="s">
        <v>11281</v>
      </c>
      <c r="D6153" s="3" t="s">
        <v>12801</v>
      </c>
      <c r="E6153" s="3" t="s">
        <v>12802</v>
      </c>
      <c r="F6153" s="3" t="s">
        <v>12801</v>
      </c>
    </row>
    <row r="6154">
      <c r="A6154" s="3">
        <v>521.0</v>
      </c>
      <c r="B6154" s="3" t="s">
        <v>11280</v>
      </c>
      <c r="C6154" s="3" t="s">
        <v>11281</v>
      </c>
      <c r="D6154" s="3" t="s">
        <v>12803</v>
      </c>
      <c r="E6154" s="3" t="s">
        <v>12804</v>
      </c>
      <c r="F6154" s="3" t="s">
        <v>12803</v>
      </c>
    </row>
    <row r="6155">
      <c r="A6155" s="3">
        <v>522.0</v>
      </c>
      <c r="B6155" s="3" t="s">
        <v>11280</v>
      </c>
      <c r="C6155" s="3" t="s">
        <v>11281</v>
      </c>
      <c r="D6155" s="3" t="s">
        <v>12805</v>
      </c>
      <c r="E6155" s="3" t="s">
        <v>12806</v>
      </c>
      <c r="F6155" s="3" t="s">
        <v>12805</v>
      </c>
    </row>
    <row r="6156">
      <c r="A6156" s="3">
        <v>523.0</v>
      </c>
      <c r="B6156" s="3" t="s">
        <v>11280</v>
      </c>
      <c r="C6156" s="3" t="s">
        <v>11281</v>
      </c>
      <c r="D6156" s="3" t="s">
        <v>12807</v>
      </c>
      <c r="E6156" s="3" t="s">
        <v>12808</v>
      </c>
      <c r="F6156" s="3" t="s">
        <v>12807</v>
      </c>
    </row>
    <row r="6157">
      <c r="A6157" s="3">
        <v>524.0</v>
      </c>
      <c r="B6157" s="3" t="s">
        <v>11280</v>
      </c>
      <c r="C6157" s="3" t="s">
        <v>11281</v>
      </c>
      <c r="D6157" s="3" t="s">
        <v>12809</v>
      </c>
      <c r="E6157" s="3" t="s">
        <v>12810</v>
      </c>
      <c r="F6157" s="3" t="s">
        <v>12809</v>
      </c>
    </row>
    <row r="6158">
      <c r="A6158" s="3">
        <v>525.0</v>
      </c>
      <c r="B6158" s="3" t="s">
        <v>11280</v>
      </c>
      <c r="C6158" s="3" t="s">
        <v>11281</v>
      </c>
      <c r="D6158" s="3" t="s">
        <v>12811</v>
      </c>
      <c r="E6158" s="3" t="s">
        <v>12812</v>
      </c>
      <c r="F6158" s="3" t="s">
        <v>12811</v>
      </c>
    </row>
    <row r="6159">
      <c r="A6159" s="3">
        <v>526.0</v>
      </c>
      <c r="B6159" s="3" t="s">
        <v>11280</v>
      </c>
      <c r="C6159" s="3" t="s">
        <v>11281</v>
      </c>
      <c r="D6159" s="3" t="s">
        <v>12813</v>
      </c>
      <c r="E6159" s="3" t="s">
        <v>12814</v>
      </c>
      <c r="F6159" s="3" t="s">
        <v>12813</v>
      </c>
    </row>
    <row r="6160">
      <c r="A6160" s="3">
        <v>527.0</v>
      </c>
      <c r="B6160" s="3" t="s">
        <v>11280</v>
      </c>
      <c r="C6160" s="3" t="s">
        <v>11281</v>
      </c>
      <c r="D6160" s="3" t="s">
        <v>12815</v>
      </c>
      <c r="E6160" s="3" t="s">
        <v>12814</v>
      </c>
      <c r="F6160" s="3" t="s">
        <v>12813</v>
      </c>
    </row>
    <row r="6161">
      <c r="A6161" s="3">
        <v>528.0</v>
      </c>
      <c r="B6161" s="3" t="s">
        <v>11280</v>
      </c>
      <c r="C6161" s="3" t="s">
        <v>11281</v>
      </c>
      <c r="D6161" s="3" t="s">
        <v>12816</v>
      </c>
      <c r="E6161" s="3" t="s">
        <v>12817</v>
      </c>
      <c r="F6161" s="3" t="s">
        <v>12816</v>
      </c>
    </row>
    <row r="6162">
      <c r="A6162" s="3">
        <v>529.0</v>
      </c>
      <c r="B6162" s="3" t="s">
        <v>11280</v>
      </c>
      <c r="C6162" s="3" t="s">
        <v>11281</v>
      </c>
      <c r="D6162" s="3" t="s">
        <v>12818</v>
      </c>
      <c r="E6162" s="3" t="s">
        <v>12819</v>
      </c>
      <c r="F6162" s="3" t="s">
        <v>12818</v>
      </c>
    </row>
    <row r="6163">
      <c r="A6163" s="3">
        <v>530.0</v>
      </c>
      <c r="B6163" s="3" t="s">
        <v>11280</v>
      </c>
      <c r="C6163" s="3" t="s">
        <v>11281</v>
      </c>
      <c r="D6163" s="3" t="s">
        <v>12820</v>
      </c>
      <c r="E6163" s="3" t="s">
        <v>12821</v>
      </c>
      <c r="F6163" s="3" t="s">
        <v>12820</v>
      </c>
      <c r="G6163" s="3"/>
      <c r="H6163" s="3" t="s">
        <v>11539</v>
      </c>
    </row>
    <row r="6164">
      <c r="A6164" s="3">
        <v>531.0</v>
      </c>
      <c r="B6164" s="3" t="s">
        <v>11280</v>
      </c>
      <c r="C6164" s="3" t="s">
        <v>11281</v>
      </c>
      <c r="D6164" s="3" t="s">
        <v>12822</v>
      </c>
      <c r="E6164" s="3" t="s">
        <v>12823</v>
      </c>
      <c r="F6164" s="3" t="s">
        <v>12822</v>
      </c>
    </row>
    <row r="6165">
      <c r="A6165" s="3">
        <v>532.0</v>
      </c>
      <c r="B6165" s="3" t="s">
        <v>11280</v>
      </c>
      <c r="C6165" s="3" t="s">
        <v>11281</v>
      </c>
      <c r="D6165" s="3" t="s">
        <v>12824</v>
      </c>
      <c r="E6165" s="3" t="s">
        <v>12825</v>
      </c>
      <c r="F6165" s="3" t="s">
        <v>12824</v>
      </c>
    </row>
    <row r="6166">
      <c r="A6166" s="3">
        <v>533.0</v>
      </c>
      <c r="B6166" s="3" t="s">
        <v>11280</v>
      </c>
      <c r="C6166" s="3" t="s">
        <v>11281</v>
      </c>
      <c r="D6166" s="3" t="s">
        <v>12826</v>
      </c>
      <c r="E6166" s="3" t="s">
        <v>12827</v>
      </c>
      <c r="F6166" s="3" t="s">
        <v>12826</v>
      </c>
    </row>
    <row r="6167">
      <c r="A6167" s="3">
        <v>534.0</v>
      </c>
      <c r="B6167" s="3" t="s">
        <v>11280</v>
      </c>
      <c r="C6167" s="3" t="s">
        <v>11281</v>
      </c>
      <c r="D6167" s="3" t="s">
        <v>12828</v>
      </c>
      <c r="E6167" s="3" t="s">
        <v>12829</v>
      </c>
      <c r="F6167" s="3" t="s">
        <v>12828</v>
      </c>
    </row>
    <row r="6168">
      <c r="A6168" s="3">
        <v>535.0</v>
      </c>
      <c r="B6168" s="3" t="s">
        <v>11280</v>
      </c>
      <c r="C6168" s="3" t="s">
        <v>11281</v>
      </c>
      <c r="D6168" s="3" t="s">
        <v>12830</v>
      </c>
      <c r="E6168" s="3" t="s">
        <v>12831</v>
      </c>
      <c r="F6168" s="3" t="s">
        <v>12830</v>
      </c>
    </row>
    <row r="6169">
      <c r="A6169" s="3">
        <v>536.0</v>
      </c>
      <c r="B6169" s="3" t="s">
        <v>11280</v>
      </c>
      <c r="C6169" s="3" t="s">
        <v>11281</v>
      </c>
      <c r="D6169" s="3" t="s">
        <v>12832</v>
      </c>
      <c r="E6169" s="3" t="s">
        <v>12833</v>
      </c>
      <c r="F6169" s="3" t="s">
        <v>12832</v>
      </c>
    </row>
    <row r="6170">
      <c r="A6170" s="3">
        <v>537.0</v>
      </c>
      <c r="B6170" s="3" t="s">
        <v>11280</v>
      </c>
      <c r="C6170" s="3" t="s">
        <v>11281</v>
      </c>
      <c r="D6170" s="3" t="s">
        <v>777</v>
      </c>
      <c r="E6170" s="3" t="s">
        <v>6858</v>
      </c>
      <c r="F6170" s="3" t="s">
        <v>777</v>
      </c>
    </row>
    <row r="6171">
      <c r="A6171" s="3">
        <v>538.0</v>
      </c>
      <c r="B6171" s="3" t="s">
        <v>11280</v>
      </c>
      <c r="C6171" s="3" t="s">
        <v>11281</v>
      </c>
      <c r="D6171" s="3" t="s">
        <v>12834</v>
      </c>
      <c r="E6171" s="3" t="s">
        <v>12835</v>
      </c>
      <c r="F6171" s="3" t="s">
        <v>12834</v>
      </c>
    </row>
    <row r="6172">
      <c r="A6172" s="3">
        <v>539.0</v>
      </c>
      <c r="B6172" s="3" t="s">
        <v>11280</v>
      </c>
      <c r="C6172" s="3" t="s">
        <v>11281</v>
      </c>
      <c r="D6172" s="3" t="s">
        <v>12836</v>
      </c>
      <c r="E6172" s="3" t="s">
        <v>12837</v>
      </c>
      <c r="F6172" s="3" t="s">
        <v>12836</v>
      </c>
      <c r="G6172" s="3"/>
      <c r="H6172" s="3" t="s">
        <v>12838</v>
      </c>
      <c r="I6172" s="3" t="s">
        <v>12839</v>
      </c>
      <c r="J6172" s="3" t="s">
        <v>12839</v>
      </c>
      <c r="K6172" s="3" t="s">
        <v>12840</v>
      </c>
      <c r="L6172" s="3" t="s">
        <v>12838</v>
      </c>
      <c r="M6172" s="3" t="s">
        <v>12841</v>
      </c>
      <c r="N6172" s="3" t="s">
        <v>11539</v>
      </c>
      <c r="O6172" s="3" t="s">
        <v>12840</v>
      </c>
    </row>
    <row r="6173">
      <c r="A6173" s="3">
        <v>540.0</v>
      </c>
      <c r="B6173" s="3" t="s">
        <v>11280</v>
      </c>
      <c r="C6173" s="3" t="s">
        <v>11281</v>
      </c>
      <c r="D6173" s="3" t="s">
        <v>12842</v>
      </c>
      <c r="E6173" s="3" t="s">
        <v>12843</v>
      </c>
      <c r="F6173" s="3" t="s">
        <v>12842</v>
      </c>
    </row>
    <row r="6174">
      <c r="A6174" s="3">
        <v>541.0</v>
      </c>
      <c r="B6174" s="3" t="s">
        <v>11280</v>
      </c>
      <c r="C6174" s="3" t="s">
        <v>11281</v>
      </c>
      <c r="D6174" s="3" t="s">
        <v>12844</v>
      </c>
      <c r="E6174" s="3" t="s">
        <v>12845</v>
      </c>
      <c r="F6174" s="3" t="s">
        <v>12844</v>
      </c>
    </row>
    <row r="6175">
      <c r="A6175" s="3">
        <v>542.0</v>
      </c>
      <c r="B6175" s="3" t="s">
        <v>11280</v>
      </c>
      <c r="C6175" s="3" t="s">
        <v>11281</v>
      </c>
      <c r="D6175" s="3" t="s">
        <v>12846</v>
      </c>
      <c r="E6175" s="3" t="s">
        <v>12847</v>
      </c>
      <c r="F6175" s="3" t="s">
        <v>12846</v>
      </c>
    </row>
    <row r="6176">
      <c r="A6176" s="3">
        <v>543.0</v>
      </c>
      <c r="B6176" s="3" t="s">
        <v>11280</v>
      </c>
      <c r="C6176" s="3" t="s">
        <v>11281</v>
      </c>
      <c r="D6176" s="3" t="s">
        <v>786</v>
      </c>
      <c r="E6176" s="3" t="s">
        <v>6861</v>
      </c>
      <c r="F6176" s="3" t="s">
        <v>786</v>
      </c>
    </row>
    <row r="6177">
      <c r="A6177" s="3">
        <v>544.0</v>
      </c>
      <c r="B6177" s="3" t="s">
        <v>11280</v>
      </c>
      <c r="C6177" s="3" t="s">
        <v>11281</v>
      </c>
      <c r="D6177" s="3" t="s">
        <v>12848</v>
      </c>
      <c r="E6177" s="3" t="s">
        <v>12849</v>
      </c>
      <c r="F6177" s="3" t="s">
        <v>12848</v>
      </c>
    </row>
    <row r="6178">
      <c r="A6178" s="3">
        <v>545.0</v>
      </c>
      <c r="B6178" s="3" t="s">
        <v>11280</v>
      </c>
      <c r="C6178" s="3" t="s">
        <v>11281</v>
      </c>
      <c r="D6178" s="3" t="s">
        <v>12850</v>
      </c>
      <c r="E6178" s="3" t="s">
        <v>12851</v>
      </c>
      <c r="F6178" s="3" t="s">
        <v>12850</v>
      </c>
    </row>
    <row r="6179">
      <c r="A6179" s="3">
        <v>546.0</v>
      </c>
      <c r="B6179" s="3" t="s">
        <v>11280</v>
      </c>
      <c r="C6179" s="3" t="s">
        <v>11281</v>
      </c>
      <c r="D6179" s="3" t="s">
        <v>12852</v>
      </c>
      <c r="E6179" s="3" t="s">
        <v>12853</v>
      </c>
      <c r="F6179" s="3" t="s">
        <v>12852</v>
      </c>
      <c r="G6179" s="3"/>
      <c r="H6179" s="3" t="s">
        <v>12854</v>
      </c>
      <c r="I6179" s="3" t="s">
        <v>12855</v>
      </c>
      <c r="J6179" s="3" t="s">
        <v>12856</v>
      </c>
      <c r="K6179" s="3" t="s">
        <v>12857</v>
      </c>
      <c r="L6179" s="3" t="s">
        <v>12858</v>
      </c>
      <c r="M6179" s="3" t="s">
        <v>12859</v>
      </c>
      <c r="N6179" s="3" t="s">
        <v>12859</v>
      </c>
      <c r="O6179" s="3" t="s">
        <v>5467</v>
      </c>
      <c r="P6179" s="3" t="s">
        <v>12860</v>
      </c>
      <c r="Q6179" s="3" t="s">
        <v>12861</v>
      </c>
      <c r="R6179" s="3" t="s">
        <v>5467</v>
      </c>
    </row>
    <row r="6180">
      <c r="A6180" s="3">
        <v>547.0</v>
      </c>
      <c r="B6180" s="3" t="s">
        <v>11280</v>
      </c>
      <c r="C6180" s="3" t="s">
        <v>11281</v>
      </c>
      <c r="D6180" s="3" t="s">
        <v>12862</v>
      </c>
      <c r="E6180" s="3" t="s">
        <v>12863</v>
      </c>
      <c r="F6180" s="3" t="s">
        <v>12862</v>
      </c>
    </row>
    <row r="6181">
      <c r="A6181" s="3">
        <v>548.0</v>
      </c>
      <c r="B6181" s="3" t="s">
        <v>11280</v>
      </c>
      <c r="C6181" s="3" t="s">
        <v>11281</v>
      </c>
      <c r="D6181" s="3" t="s">
        <v>12864</v>
      </c>
      <c r="E6181" s="3" t="s">
        <v>12865</v>
      </c>
      <c r="F6181" s="3" t="s">
        <v>12864</v>
      </c>
    </row>
    <row r="6182">
      <c r="A6182" s="3">
        <v>549.0</v>
      </c>
      <c r="B6182" s="3" t="s">
        <v>11280</v>
      </c>
      <c r="C6182" s="3" t="s">
        <v>11281</v>
      </c>
      <c r="D6182" s="3" t="s">
        <v>12866</v>
      </c>
      <c r="E6182" s="3" t="s">
        <v>12867</v>
      </c>
      <c r="F6182" s="3" t="s">
        <v>12866</v>
      </c>
    </row>
    <row r="6183">
      <c r="A6183" s="3">
        <v>550.0</v>
      </c>
      <c r="B6183" s="3" t="s">
        <v>11280</v>
      </c>
      <c r="C6183" s="3" t="s">
        <v>11281</v>
      </c>
      <c r="D6183" s="3" t="s">
        <v>12868</v>
      </c>
      <c r="E6183" s="3" t="s">
        <v>12869</v>
      </c>
      <c r="F6183" s="3" t="s">
        <v>12868</v>
      </c>
      <c r="G6183" s="3"/>
      <c r="H6183" s="3" t="s">
        <v>12870</v>
      </c>
      <c r="I6183" s="3" t="s">
        <v>12871</v>
      </c>
      <c r="J6183" s="3" t="s">
        <v>12872</v>
      </c>
      <c r="K6183" s="3" t="s">
        <v>12873</v>
      </c>
      <c r="L6183" s="3" t="s">
        <v>12874</v>
      </c>
      <c r="M6183" s="3" t="s">
        <v>12840</v>
      </c>
      <c r="N6183" s="3" t="s">
        <v>12875</v>
      </c>
      <c r="O6183" s="3" t="s">
        <v>12876</v>
      </c>
      <c r="P6183" s="3" t="s">
        <v>12875</v>
      </c>
      <c r="Q6183" s="3" t="s">
        <v>12877</v>
      </c>
      <c r="R6183" s="3" t="s">
        <v>12870</v>
      </c>
      <c r="S6183" s="3" t="s">
        <v>12870</v>
      </c>
      <c r="T6183" s="3" t="s">
        <v>12872</v>
      </c>
      <c r="U6183" s="3" t="s">
        <v>12873</v>
      </c>
      <c r="V6183" s="3" t="s">
        <v>12875</v>
      </c>
      <c r="W6183" s="3" t="s">
        <v>12878</v>
      </c>
      <c r="X6183" s="3" t="s">
        <v>12874</v>
      </c>
      <c r="Y6183" s="3" t="s">
        <v>12879</v>
      </c>
    </row>
    <row r="6184">
      <c r="A6184" s="3">
        <v>551.0</v>
      </c>
      <c r="B6184" s="3" t="s">
        <v>11280</v>
      </c>
      <c r="C6184" s="3" t="s">
        <v>11281</v>
      </c>
      <c r="D6184" s="3" t="s">
        <v>12880</v>
      </c>
      <c r="E6184" s="3" t="s">
        <v>12881</v>
      </c>
      <c r="F6184" s="3" t="s">
        <v>12880</v>
      </c>
    </row>
    <row r="6185">
      <c r="A6185" s="3">
        <v>552.0</v>
      </c>
      <c r="B6185" s="3" t="s">
        <v>11280</v>
      </c>
      <c r="C6185" s="3" t="s">
        <v>11281</v>
      </c>
      <c r="D6185" s="3" t="s">
        <v>12882</v>
      </c>
      <c r="E6185" s="3" t="s">
        <v>12883</v>
      </c>
      <c r="F6185" s="3" t="s">
        <v>12882</v>
      </c>
    </row>
    <row r="6186">
      <c r="A6186" s="3">
        <v>553.0</v>
      </c>
      <c r="B6186" s="3" t="s">
        <v>11280</v>
      </c>
      <c r="C6186" s="3" t="s">
        <v>11281</v>
      </c>
      <c r="D6186" s="3" t="s">
        <v>12884</v>
      </c>
      <c r="E6186" s="3" t="s">
        <v>12885</v>
      </c>
      <c r="F6186" s="3" t="s">
        <v>12884</v>
      </c>
    </row>
    <row r="6187">
      <c r="A6187" s="3">
        <v>554.0</v>
      </c>
      <c r="B6187" s="3" t="s">
        <v>11280</v>
      </c>
      <c r="C6187" s="3" t="s">
        <v>11281</v>
      </c>
      <c r="D6187" s="3" t="s">
        <v>12886</v>
      </c>
      <c r="E6187" s="3" t="s">
        <v>12887</v>
      </c>
      <c r="F6187" s="3" t="s">
        <v>12886</v>
      </c>
    </row>
    <row r="6188">
      <c r="A6188" s="3">
        <v>555.0</v>
      </c>
      <c r="B6188" s="3" t="s">
        <v>11280</v>
      </c>
      <c r="C6188" s="3" t="s">
        <v>11281</v>
      </c>
      <c r="D6188" s="3" t="s">
        <v>12888</v>
      </c>
      <c r="E6188" s="3" t="s">
        <v>12889</v>
      </c>
      <c r="F6188" s="3" t="s">
        <v>12888</v>
      </c>
    </row>
    <row r="6189">
      <c r="A6189" s="3">
        <v>556.0</v>
      </c>
      <c r="B6189" s="3" t="s">
        <v>11280</v>
      </c>
      <c r="C6189" s="3" t="s">
        <v>11281</v>
      </c>
      <c r="D6189" s="3" t="s">
        <v>12890</v>
      </c>
      <c r="E6189" s="3" t="s">
        <v>12891</v>
      </c>
      <c r="F6189" s="3" t="s">
        <v>12890</v>
      </c>
    </row>
    <row r="6190">
      <c r="A6190" s="3">
        <v>557.0</v>
      </c>
      <c r="B6190" s="3" t="s">
        <v>11280</v>
      </c>
      <c r="C6190" s="3" t="s">
        <v>11281</v>
      </c>
      <c r="D6190" s="3" t="s">
        <v>12892</v>
      </c>
      <c r="E6190" s="3" t="s">
        <v>12893</v>
      </c>
      <c r="F6190" s="3" t="s">
        <v>12892</v>
      </c>
    </row>
    <row r="6191">
      <c r="A6191" s="3">
        <v>558.0</v>
      </c>
      <c r="B6191" s="3" t="s">
        <v>11280</v>
      </c>
      <c r="C6191" s="3" t="s">
        <v>11281</v>
      </c>
      <c r="D6191" s="3" t="s">
        <v>12894</v>
      </c>
      <c r="E6191" s="3" t="s">
        <v>12895</v>
      </c>
      <c r="F6191" s="3" t="s">
        <v>12894</v>
      </c>
    </row>
    <row r="6192">
      <c r="A6192" s="3">
        <v>559.0</v>
      </c>
      <c r="B6192" s="3" t="s">
        <v>11280</v>
      </c>
      <c r="C6192" s="3" t="s">
        <v>11281</v>
      </c>
      <c r="D6192" s="3" t="s">
        <v>12896</v>
      </c>
      <c r="E6192" s="3" t="s">
        <v>12897</v>
      </c>
      <c r="F6192" s="3" t="s">
        <v>12896</v>
      </c>
    </row>
    <row r="6193">
      <c r="A6193" s="3">
        <v>560.0</v>
      </c>
      <c r="B6193" s="3" t="s">
        <v>11280</v>
      </c>
      <c r="C6193" s="3" t="s">
        <v>11281</v>
      </c>
      <c r="D6193" s="3" t="s">
        <v>12898</v>
      </c>
      <c r="E6193" s="3" t="s">
        <v>12899</v>
      </c>
      <c r="F6193" s="3" t="s">
        <v>12898</v>
      </c>
    </row>
    <row r="6194">
      <c r="A6194" s="3">
        <v>561.0</v>
      </c>
      <c r="B6194" s="3" t="s">
        <v>11280</v>
      </c>
      <c r="C6194" s="3" t="s">
        <v>11281</v>
      </c>
      <c r="D6194" s="3" t="s">
        <v>12900</v>
      </c>
      <c r="E6194" s="3" t="s">
        <v>12901</v>
      </c>
      <c r="F6194" s="3" t="s">
        <v>12900</v>
      </c>
    </row>
    <row r="6195">
      <c r="A6195" s="3">
        <v>562.0</v>
      </c>
      <c r="B6195" s="3" t="s">
        <v>11280</v>
      </c>
      <c r="C6195" s="3" t="s">
        <v>11281</v>
      </c>
      <c r="D6195" s="3" t="s">
        <v>12902</v>
      </c>
      <c r="E6195" s="3" t="s">
        <v>12903</v>
      </c>
      <c r="F6195" s="3" t="s">
        <v>12902</v>
      </c>
    </row>
    <row r="6196">
      <c r="A6196" s="3">
        <v>563.0</v>
      </c>
      <c r="B6196" s="3" t="s">
        <v>11280</v>
      </c>
      <c r="C6196" s="3" t="s">
        <v>11281</v>
      </c>
      <c r="D6196" s="3" t="s">
        <v>12904</v>
      </c>
      <c r="E6196" s="3" t="s">
        <v>12905</v>
      </c>
      <c r="F6196" s="3" t="s">
        <v>12904</v>
      </c>
    </row>
    <row r="6197">
      <c r="A6197" s="3">
        <v>564.0</v>
      </c>
      <c r="B6197" s="3" t="s">
        <v>11280</v>
      </c>
      <c r="C6197" s="3" t="s">
        <v>11281</v>
      </c>
      <c r="D6197" s="3" t="s">
        <v>12906</v>
      </c>
      <c r="E6197" s="3" t="s">
        <v>12907</v>
      </c>
      <c r="F6197" s="3" t="s">
        <v>12906</v>
      </c>
    </row>
    <row r="6198">
      <c r="A6198" s="3">
        <v>565.0</v>
      </c>
      <c r="B6198" s="3" t="s">
        <v>11280</v>
      </c>
      <c r="C6198" s="3" t="s">
        <v>11281</v>
      </c>
      <c r="D6198" s="3" t="s">
        <v>12908</v>
      </c>
      <c r="E6198" s="3" t="s">
        <v>12909</v>
      </c>
      <c r="F6198" s="3" t="s">
        <v>12908</v>
      </c>
    </row>
    <row r="6199">
      <c r="A6199" s="3">
        <v>566.0</v>
      </c>
      <c r="B6199" s="3" t="s">
        <v>11280</v>
      </c>
      <c r="C6199" s="3" t="s">
        <v>11281</v>
      </c>
      <c r="D6199" s="3" t="s">
        <v>12910</v>
      </c>
      <c r="E6199" s="3" t="s">
        <v>888</v>
      </c>
      <c r="F6199" s="3" t="s">
        <v>889</v>
      </c>
    </row>
    <row r="6200">
      <c r="A6200" s="3">
        <v>567.0</v>
      </c>
      <c r="B6200" s="3" t="s">
        <v>11280</v>
      </c>
      <c r="C6200" s="3" t="s">
        <v>11281</v>
      </c>
      <c r="D6200" s="3" t="s">
        <v>12911</v>
      </c>
      <c r="E6200" s="3" t="s">
        <v>12912</v>
      </c>
      <c r="F6200" s="3" t="s">
        <v>12913</v>
      </c>
    </row>
    <row r="6201">
      <c r="A6201" s="3">
        <v>568.0</v>
      </c>
      <c r="B6201" s="3" t="s">
        <v>11280</v>
      </c>
      <c r="C6201" s="3" t="s">
        <v>11281</v>
      </c>
      <c r="D6201" s="3" t="s">
        <v>12914</v>
      </c>
      <c r="E6201" s="3" t="s">
        <v>12915</v>
      </c>
      <c r="F6201" s="3" t="s">
        <v>12916</v>
      </c>
    </row>
    <row r="6202">
      <c r="A6202" s="3">
        <v>569.0</v>
      </c>
      <c r="B6202" s="3" t="s">
        <v>11280</v>
      </c>
      <c r="C6202" s="3" t="s">
        <v>11281</v>
      </c>
      <c r="D6202" s="3" t="s">
        <v>12917</v>
      </c>
      <c r="E6202" s="3" t="s">
        <v>12918</v>
      </c>
      <c r="F6202" s="3" t="s">
        <v>12919</v>
      </c>
    </row>
    <row r="6203">
      <c r="A6203" s="3">
        <v>570.0</v>
      </c>
      <c r="B6203" s="3" t="s">
        <v>11280</v>
      </c>
      <c r="C6203" s="3" t="s">
        <v>11281</v>
      </c>
      <c r="D6203" s="3" t="s">
        <v>12920</v>
      </c>
      <c r="E6203" s="3" t="s">
        <v>12921</v>
      </c>
      <c r="F6203" s="3" t="s">
        <v>12922</v>
      </c>
      <c r="G6203" s="3"/>
      <c r="H6203" s="3" t="s">
        <v>902</v>
      </c>
      <c r="I6203" s="3" t="s">
        <v>902</v>
      </c>
      <c r="J6203" s="3" t="s">
        <v>2231</v>
      </c>
      <c r="K6203" s="3" t="s">
        <v>915</v>
      </c>
      <c r="L6203" s="3" t="s">
        <v>12923</v>
      </c>
      <c r="M6203" s="3" t="s">
        <v>12924</v>
      </c>
      <c r="N6203" s="3" t="s">
        <v>904</v>
      </c>
      <c r="O6203" s="3" t="s">
        <v>902</v>
      </c>
      <c r="P6203" s="3" t="s">
        <v>12925</v>
      </c>
      <c r="Q6203" s="3" t="s">
        <v>902</v>
      </c>
      <c r="R6203" s="3" t="s">
        <v>915</v>
      </c>
      <c r="S6203" s="3" t="s">
        <v>915</v>
      </c>
      <c r="T6203" s="3" t="s">
        <v>904</v>
      </c>
      <c r="U6203" s="3" t="s">
        <v>916</v>
      </c>
      <c r="V6203" s="3" t="s">
        <v>902</v>
      </c>
    </row>
    <row r="6204">
      <c r="A6204" s="3">
        <v>571.0</v>
      </c>
      <c r="B6204" s="3" t="s">
        <v>11280</v>
      </c>
      <c r="C6204" s="3" t="s">
        <v>11281</v>
      </c>
      <c r="D6204" s="3" t="s">
        <v>12926</v>
      </c>
      <c r="E6204" s="3" t="s">
        <v>12927</v>
      </c>
      <c r="F6204" s="3" t="s">
        <v>12928</v>
      </c>
    </row>
    <row r="6205">
      <c r="A6205" s="3">
        <v>572.0</v>
      </c>
      <c r="B6205" s="3" t="s">
        <v>11280</v>
      </c>
      <c r="C6205" s="3" t="s">
        <v>11281</v>
      </c>
      <c r="D6205" s="3" t="s">
        <v>12929</v>
      </c>
      <c r="E6205" s="3" t="s">
        <v>12930</v>
      </c>
      <c r="F6205" s="3" t="s">
        <v>12931</v>
      </c>
    </row>
    <row r="6206">
      <c r="A6206" s="3">
        <v>573.0</v>
      </c>
      <c r="B6206" s="3" t="s">
        <v>11280</v>
      </c>
      <c r="C6206" s="3" t="s">
        <v>11281</v>
      </c>
      <c r="D6206" s="3" t="s">
        <v>12932</v>
      </c>
      <c r="E6206" s="3" t="s">
        <v>12933</v>
      </c>
      <c r="F6206" s="3" t="s">
        <v>12934</v>
      </c>
    </row>
    <row r="6207">
      <c r="A6207" s="3">
        <v>574.0</v>
      </c>
      <c r="B6207" s="3" t="s">
        <v>11280</v>
      </c>
      <c r="C6207" s="3" t="s">
        <v>11281</v>
      </c>
      <c r="D6207" s="3" t="s">
        <v>12935</v>
      </c>
      <c r="E6207" s="3" t="s">
        <v>897</v>
      </c>
      <c r="F6207" s="3" t="s">
        <v>898</v>
      </c>
    </row>
    <row r="6208">
      <c r="A6208" s="3">
        <v>575.0</v>
      </c>
      <c r="B6208" s="3" t="s">
        <v>11280</v>
      </c>
      <c r="C6208" s="3" t="s">
        <v>11281</v>
      </c>
      <c r="D6208" s="3" t="s">
        <v>12936</v>
      </c>
      <c r="E6208" s="3" t="s">
        <v>12937</v>
      </c>
      <c r="F6208" s="3" t="s">
        <v>12938</v>
      </c>
    </row>
    <row r="6209">
      <c r="A6209" s="3">
        <v>576.0</v>
      </c>
      <c r="B6209" s="3" t="s">
        <v>11280</v>
      </c>
      <c r="C6209" s="3" t="s">
        <v>11281</v>
      </c>
      <c r="D6209" s="3" t="s">
        <v>12939</v>
      </c>
      <c r="E6209" s="3" t="s">
        <v>12940</v>
      </c>
      <c r="F6209" s="3" t="s">
        <v>889</v>
      </c>
    </row>
    <row r="6210">
      <c r="A6210" s="3">
        <v>577.0</v>
      </c>
      <c r="B6210" s="3" t="s">
        <v>11280</v>
      </c>
      <c r="C6210" s="3" t="s">
        <v>11281</v>
      </c>
      <c r="D6210" s="3" t="s">
        <v>12941</v>
      </c>
      <c r="E6210" s="3" t="s">
        <v>12942</v>
      </c>
      <c r="F6210" s="3" t="s">
        <v>12919</v>
      </c>
    </row>
    <row r="6211">
      <c r="A6211" s="3">
        <v>578.0</v>
      </c>
      <c r="B6211" s="3" t="s">
        <v>11280</v>
      </c>
      <c r="C6211" s="3" t="s">
        <v>11281</v>
      </c>
      <c r="D6211" s="3" t="s">
        <v>12943</v>
      </c>
      <c r="E6211" s="3" t="s">
        <v>12944</v>
      </c>
      <c r="F6211" s="3" t="s">
        <v>12922</v>
      </c>
      <c r="G6211" s="3"/>
      <c r="H6211" s="3" t="s">
        <v>12945</v>
      </c>
      <c r="I6211" s="3" t="s">
        <v>12946</v>
      </c>
      <c r="J6211" s="3" t="s">
        <v>12947</v>
      </c>
      <c r="K6211" s="3" t="s">
        <v>12948</v>
      </c>
      <c r="L6211" s="3" t="s">
        <v>12949</v>
      </c>
      <c r="M6211" s="3" t="s">
        <v>12950</v>
      </c>
      <c r="N6211" s="3" t="s">
        <v>12951</v>
      </c>
      <c r="O6211" s="3" t="s">
        <v>12952</v>
      </c>
      <c r="P6211" s="3" t="s">
        <v>12953</v>
      </c>
      <c r="Q6211" s="3" t="s">
        <v>12954</v>
      </c>
      <c r="R6211" s="3" t="s">
        <v>12955</v>
      </c>
      <c r="S6211" s="3" t="s">
        <v>12956</v>
      </c>
      <c r="T6211" s="3" t="s">
        <v>12957</v>
      </c>
      <c r="U6211" s="3" t="s">
        <v>12491</v>
      </c>
      <c r="V6211" s="3" t="s">
        <v>12958</v>
      </c>
    </row>
    <row r="6212">
      <c r="A6212" s="3">
        <v>579.0</v>
      </c>
      <c r="B6212" s="3" t="s">
        <v>11280</v>
      </c>
      <c r="C6212" s="3" t="s">
        <v>11281</v>
      </c>
      <c r="D6212" s="3" t="s">
        <v>12959</v>
      </c>
      <c r="E6212" s="3" t="s">
        <v>12960</v>
      </c>
      <c r="F6212" s="3" t="s">
        <v>12928</v>
      </c>
    </row>
    <row r="6213">
      <c r="A6213" s="3">
        <v>580.0</v>
      </c>
      <c r="B6213" s="3" t="s">
        <v>11280</v>
      </c>
      <c r="C6213" s="3" t="s">
        <v>11281</v>
      </c>
      <c r="D6213" s="3" t="s">
        <v>12961</v>
      </c>
      <c r="E6213" s="3" t="s">
        <v>12962</v>
      </c>
      <c r="F6213" s="3" t="s">
        <v>12931</v>
      </c>
    </row>
    <row r="6214">
      <c r="A6214" s="3">
        <v>581.0</v>
      </c>
      <c r="B6214" s="3" t="s">
        <v>11280</v>
      </c>
      <c r="C6214" s="3" t="s">
        <v>11281</v>
      </c>
      <c r="D6214" s="3" t="s">
        <v>12963</v>
      </c>
      <c r="E6214" s="3" t="s">
        <v>12964</v>
      </c>
      <c r="F6214" s="3" t="s">
        <v>12934</v>
      </c>
    </row>
    <row r="6215">
      <c r="A6215" s="3">
        <v>582.0</v>
      </c>
      <c r="B6215" s="3" t="s">
        <v>11280</v>
      </c>
      <c r="C6215" s="3" t="s">
        <v>11281</v>
      </c>
      <c r="D6215" s="3" t="s">
        <v>12965</v>
      </c>
      <c r="E6215" s="3" t="s">
        <v>12966</v>
      </c>
      <c r="F6215" s="3" t="s">
        <v>898</v>
      </c>
    </row>
    <row r="6216">
      <c r="A6216" s="3">
        <v>583.0</v>
      </c>
      <c r="B6216" s="3" t="s">
        <v>11280</v>
      </c>
      <c r="C6216" s="3" t="s">
        <v>11281</v>
      </c>
      <c r="D6216" s="3" t="s">
        <v>12967</v>
      </c>
      <c r="E6216" s="3" t="s">
        <v>12968</v>
      </c>
      <c r="F6216" s="3" t="s">
        <v>12969</v>
      </c>
    </row>
    <row r="6217">
      <c r="A6217" s="3">
        <v>584.0</v>
      </c>
      <c r="B6217" s="3" t="s">
        <v>11280</v>
      </c>
      <c r="C6217" s="3" t="s">
        <v>11281</v>
      </c>
      <c r="D6217" s="3" t="s">
        <v>12970</v>
      </c>
      <c r="E6217" s="3" t="s">
        <v>12971</v>
      </c>
      <c r="F6217" s="3" t="s">
        <v>12972</v>
      </c>
    </row>
    <row r="6218">
      <c r="A6218" s="3">
        <v>585.0</v>
      </c>
      <c r="B6218" s="3" t="s">
        <v>11280</v>
      </c>
      <c r="C6218" s="3" t="s">
        <v>11281</v>
      </c>
      <c r="D6218" s="3" t="s">
        <v>12973</v>
      </c>
      <c r="E6218" s="3" t="s">
        <v>12974</v>
      </c>
      <c r="F6218" s="3" t="s">
        <v>12975</v>
      </c>
    </row>
    <row r="6219">
      <c r="A6219" s="3">
        <v>586.0</v>
      </c>
      <c r="B6219" s="3" t="s">
        <v>11280</v>
      </c>
      <c r="C6219" s="3" t="s">
        <v>11281</v>
      </c>
      <c r="D6219" s="3" t="s">
        <v>12976</v>
      </c>
      <c r="E6219" s="3" t="s">
        <v>12977</v>
      </c>
      <c r="F6219" s="3" t="s">
        <v>12978</v>
      </c>
    </row>
    <row r="6220">
      <c r="A6220" s="3">
        <v>587.0</v>
      </c>
      <c r="B6220" s="3" t="s">
        <v>11280</v>
      </c>
      <c r="C6220" s="3" t="s">
        <v>11281</v>
      </c>
      <c r="D6220" s="3" t="s">
        <v>12979</v>
      </c>
      <c r="E6220" s="3" t="s">
        <v>12980</v>
      </c>
      <c r="F6220" s="3" t="s">
        <v>12981</v>
      </c>
    </row>
    <row r="6221">
      <c r="A6221" s="3">
        <v>588.0</v>
      </c>
      <c r="B6221" s="3" t="s">
        <v>11280</v>
      </c>
      <c r="C6221" s="3" t="s">
        <v>11281</v>
      </c>
      <c r="D6221" s="3" t="s">
        <v>12982</v>
      </c>
      <c r="E6221" s="3" t="s">
        <v>12983</v>
      </c>
      <c r="F6221" s="3" t="s">
        <v>12984</v>
      </c>
    </row>
    <row r="6222">
      <c r="A6222" s="3">
        <v>589.0</v>
      </c>
      <c r="B6222" s="3" t="s">
        <v>11280</v>
      </c>
      <c r="C6222" s="3" t="s">
        <v>11281</v>
      </c>
      <c r="D6222" s="3" t="s">
        <v>12985</v>
      </c>
      <c r="E6222" s="3" t="s">
        <v>12986</v>
      </c>
      <c r="F6222" s="3" t="s">
        <v>12987</v>
      </c>
    </row>
    <row r="6223">
      <c r="A6223" s="3">
        <v>590.0</v>
      </c>
      <c r="B6223" s="3" t="s">
        <v>11280</v>
      </c>
      <c r="C6223" s="3" t="s">
        <v>11281</v>
      </c>
      <c r="D6223" s="3" t="s">
        <v>12988</v>
      </c>
      <c r="E6223" s="3" t="s">
        <v>12989</v>
      </c>
      <c r="F6223" s="3" t="s">
        <v>12990</v>
      </c>
    </row>
    <row r="6224">
      <c r="A6224" s="3">
        <v>591.0</v>
      </c>
      <c r="B6224" s="3" t="s">
        <v>11280</v>
      </c>
      <c r="C6224" s="3" t="s">
        <v>11281</v>
      </c>
      <c r="D6224" s="3" t="s">
        <v>12991</v>
      </c>
      <c r="E6224" s="3" t="s">
        <v>12992</v>
      </c>
      <c r="F6224" s="3" t="s">
        <v>12993</v>
      </c>
    </row>
    <row r="6225">
      <c r="A6225" s="3">
        <v>592.0</v>
      </c>
      <c r="B6225" s="3" t="s">
        <v>11280</v>
      </c>
      <c r="C6225" s="3" t="s">
        <v>11281</v>
      </c>
      <c r="D6225" s="3" t="s">
        <v>12994</v>
      </c>
      <c r="E6225" s="3" t="s">
        <v>12995</v>
      </c>
      <c r="F6225" s="3" t="s">
        <v>12996</v>
      </c>
    </row>
    <row r="6226">
      <c r="A6226" s="3">
        <v>593.0</v>
      </c>
      <c r="B6226" s="3" t="s">
        <v>11280</v>
      </c>
      <c r="C6226" s="3" t="s">
        <v>11281</v>
      </c>
      <c r="D6226" s="3" t="s">
        <v>12997</v>
      </c>
      <c r="E6226" s="3" t="s">
        <v>12998</v>
      </c>
      <c r="F6226" s="3" t="s">
        <v>12999</v>
      </c>
    </row>
    <row r="6227">
      <c r="A6227" s="3">
        <v>594.0</v>
      </c>
      <c r="B6227" s="3" t="s">
        <v>11280</v>
      </c>
      <c r="C6227" s="3" t="s">
        <v>11281</v>
      </c>
      <c r="D6227" s="3" t="s">
        <v>13000</v>
      </c>
      <c r="E6227" s="3" t="s">
        <v>13001</v>
      </c>
      <c r="F6227" s="3" t="s">
        <v>13002</v>
      </c>
    </row>
    <row r="6228">
      <c r="A6228" s="3">
        <v>595.0</v>
      </c>
      <c r="B6228" s="3" t="s">
        <v>11280</v>
      </c>
      <c r="C6228" s="3" t="s">
        <v>11281</v>
      </c>
      <c r="D6228" s="3" t="s">
        <v>13003</v>
      </c>
      <c r="E6228" s="3" t="s">
        <v>13004</v>
      </c>
      <c r="F6228" s="3" t="s">
        <v>13005</v>
      </c>
    </row>
    <row r="6229">
      <c r="A6229" s="3">
        <v>596.0</v>
      </c>
      <c r="B6229" s="3" t="s">
        <v>11280</v>
      </c>
      <c r="C6229" s="3" t="s">
        <v>11281</v>
      </c>
      <c r="D6229" s="3" t="s">
        <v>13006</v>
      </c>
      <c r="E6229" s="3" t="s">
        <v>13007</v>
      </c>
      <c r="F6229" s="3" t="s">
        <v>13008</v>
      </c>
    </row>
    <row r="6230">
      <c r="A6230" s="3">
        <v>597.0</v>
      </c>
      <c r="B6230" s="3" t="s">
        <v>11280</v>
      </c>
      <c r="C6230" s="3" t="s">
        <v>11281</v>
      </c>
      <c r="D6230" s="3" t="s">
        <v>847</v>
      </c>
      <c r="E6230" s="3" t="s">
        <v>846</v>
      </c>
      <c r="F6230" s="3" t="s">
        <v>847</v>
      </c>
    </row>
    <row r="6231">
      <c r="A6231" s="3">
        <v>598.0</v>
      </c>
      <c r="B6231" s="3" t="s">
        <v>11280</v>
      </c>
      <c r="C6231" s="3" t="s">
        <v>11281</v>
      </c>
      <c r="D6231" s="3" t="s">
        <v>13009</v>
      </c>
      <c r="E6231" s="3" t="s">
        <v>13010</v>
      </c>
      <c r="F6231" s="3" t="s">
        <v>13011</v>
      </c>
    </row>
    <row r="6232">
      <c r="A6232" s="3">
        <v>599.0</v>
      </c>
      <c r="B6232" s="3" t="s">
        <v>11280</v>
      </c>
      <c r="C6232" s="3" t="s">
        <v>11281</v>
      </c>
      <c r="D6232" s="3" t="s">
        <v>13012</v>
      </c>
      <c r="E6232" s="3" t="s">
        <v>13013</v>
      </c>
      <c r="F6232" s="3" t="s">
        <v>13014</v>
      </c>
    </row>
    <row r="6233">
      <c r="A6233" s="3">
        <v>600.0</v>
      </c>
      <c r="B6233" s="3" t="s">
        <v>11280</v>
      </c>
      <c r="C6233" s="3" t="s">
        <v>11281</v>
      </c>
      <c r="D6233" s="3" t="s">
        <v>13015</v>
      </c>
      <c r="E6233" s="3" t="s">
        <v>13016</v>
      </c>
      <c r="F6233" s="3" t="s">
        <v>13017</v>
      </c>
    </row>
    <row r="6234">
      <c r="A6234" s="3">
        <v>601.0</v>
      </c>
      <c r="B6234" s="3" t="s">
        <v>11280</v>
      </c>
      <c r="C6234" s="3" t="s">
        <v>11281</v>
      </c>
      <c r="D6234" s="3" t="s">
        <v>13018</v>
      </c>
      <c r="E6234" s="3" t="s">
        <v>13019</v>
      </c>
      <c r="F6234" s="3" t="s">
        <v>13020</v>
      </c>
    </row>
    <row r="6235">
      <c r="A6235" s="3">
        <v>602.0</v>
      </c>
      <c r="B6235" s="3" t="s">
        <v>11280</v>
      </c>
      <c r="C6235" s="3" t="s">
        <v>11281</v>
      </c>
      <c r="D6235" s="3" t="s">
        <v>13021</v>
      </c>
      <c r="E6235" s="3" t="s">
        <v>13022</v>
      </c>
      <c r="F6235" s="3" t="s">
        <v>13023</v>
      </c>
    </row>
    <row r="6236">
      <c r="A6236" s="3">
        <v>603.0</v>
      </c>
      <c r="B6236" s="3" t="s">
        <v>11280</v>
      </c>
      <c r="C6236" s="3" t="s">
        <v>11281</v>
      </c>
      <c r="D6236" s="3" t="s">
        <v>13024</v>
      </c>
      <c r="E6236" s="3" t="s">
        <v>13025</v>
      </c>
      <c r="F6236" s="3" t="s">
        <v>13026</v>
      </c>
    </row>
    <row r="6237">
      <c r="A6237" s="3">
        <v>604.0</v>
      </c>
      <c r="B6237" s="3" t="s">
        <v>11280</v>
      </c>
      <c r="C6237" s="3" t="s">
        <v>11281</v>
      </c>
      <c r="D6237" s="3" t="s">
        <v>13027</v>
      </c>
      <c r="E6237" s="3" t="s">
        <v>13028</v>
      </c>
      <c r="F6237" s="3" t="s">
        <v>13029</v>
      </c>
    </row>
    <row r="6238">
      <c r="A6238" s="3">
        <v>605.0</v>
      </c>
      <c r="B6238" s="3" t="s">
        <v>11280</v>
      </c>
      <c r="C6238" s="3" t="s">
        <v>11281</v>
      </c>
      <c r="D6238" s="3" t="s">
        <v>13030</v>
      </c>
      <c r="E6238" s="3" t="s">
        <v>13031</v>
      </c>
      <c r="F6238" s="3" t="s">
        <v>13030</v>
      </c>
      <c r="G6238" s="3"/>
      <c r="H6238" s="3" t="s">
        <v>13032</v>
      </c>
      <c r="I6238" s="3" t="s">
        <v>13033</v>
      </c>
      <c r="J6238" s="3" t="s">
        <v>13034</v>
      </c>
      <c r="K6238" s="3" t="s">
        <v>13035</v>
      </c>
      <c r="L6238" s="3" t="s">
        <v>13036</v>
      </c>
      <c r="M6238" s="3" t="s">
        <v>13034</v>
      </c>
      <c r="N6238" s="3" t="s">
        <v>13037</v>
      </c>
      <c r="O6238" s="3" t="s">
        <v>13036</v>
      </c>
      <c r="P6238" s="3" t="s">
        <v>13038</v>
      </c>
      <c r="Q6238" s="3" t="s">
        <v>167</v>
      </c>
      <c r="R6238" s="3" t="s">
        <v>13036</v>
      </c>
      <c r="S6238" s="3" t="s">
        <v>13033</v>
      </c>
      <c r="T6238" s="3" t="s">
        <v>13039</v>
      </c>
      <c r="U6238" s="3" t="s">
        <v>13040</v>
      </c>
      <c r="V6238" s="3" t="s">
        <v>3439</v>
      </c>
      <c r="W6238" s="3" t="s">
        <v>13036</v>
      </c>
      <c r="X6238" s="3" t="s">
        <v>13041</v>
      </c>
      <c r="Y6238" s="3" t="s">
        <v>13042</v>
      </c>
      <c r="Z6238" s="3" t="s">
        <v>13035</v>
      </c>
    </row>
    <row r="6239">
      <c r="A6239" s="3">
        <v>606.0</v>
      </c>
      <c r="B6239" s="3" t="s">
        <v>11280</v>
      </c>
      <c r="C6239" s="3" t="s">
        <v>11281</v>
      </c>
      <c r="D6239" s="3" t="s">
        <v>13043</v>
      </c>
      <c r="E6239" s="3" t="s">
        <v>13044</v>
      </c>
      <c r="F6239" s="3" t="s">
        <v>13043</v>
      </c>
    </row>
    <row r="6240">
      <c r="A6240" s="3">
        <v>607.0</v>
      </c>
      <c r="B6240" s="3" t="s">
        <v>11280</v>
      </c>
      <c r="C6240" s="3" t="s">
        <v>11281</v>
      </c>
      <c r="D6240" s="3" t="s">
        <v>13045</v>
      </c>
      <c r="E6240" s="3" t="s">
        <v>13046</v>
      </c>
      <c r="F6240" s="3" t="s">
        <v>13045</v>
      </c>
    </row>
    <row r="6241">
      <c r="A6241" s="3">
        <v>608.0</v>
      </c>
      <c r="B6241" s="3" t="s">
        <v>11280</v>
      </c>
      <c r="C6241" s="3" t="s">
        <v>11281</v>
      </c>
      <c r="D6241" s="3" t="s">
        <v>13047</v>
      </c>
      <c r="E6241" s="3" t="s">
        <v>13048</v>
      </c>
      <c r="F6241" s="3" t="s">
        <v>13047</v>
      </c>
    </row>
    <row r="6242">
      <c r="A6242" s="3">
        <v>609.0</v>
      </c>
      <c r="B6242" s="3" t="s">
        <v>11280</v>
      </c>
      <c r="C6242" s="3" t="s">
        <v>11281</v>
      </c>
      <c r="D6242" s="3" t="s">
        <v>13049</v>
      </c>
      <c r="E6242" s="3" t="s">
        <v>13050</v>
      </c>
      <c r="F6242" s="3" t="s">
        <v>13051</v>
      </c>
    </row>
    <row r="6243">
      <c r="A6243" s="3">
        <v>610.0</v>
      </c>
      <c r="B6243" s="3" t="s">
        <v>11280</v>
      </c>
      <c r="C6243" s="3" t="s">
        <v>11281</v>
      </c>
      <c r="D6243" s="3" t="s">
        <v>13052</v>
      </c>
      <c r="E6243" s="3" t="s">
        <v>13053</v>
      </c>
      <c r="F6243" s="3" t="s">
        <v>13054</v>
      </c>
    </row>
    <row r="6244">
      <c r="A6244" s="3">
        <v>611.0</v>
      </c>
      <c r="B6244" s="3" t="s">
        <v>11280</v>
      </c>
      <c r="C6244" s="3" t="s">
        <v>11281</v>
      </c>
      <c r="D6244" s="3" t="s">
        <v>13055</v>
      </c>
      <c r="E6244" s="3" t="s">
        <v>13056</v>
      </c>
      <c r="F6244" s="3" t="s">
        <v>13057</v>
      </c>
    </row>
    <row r="6245">
      <c r="A6245" s="3">
        <v>612.0</v>
      </c>
      <c r="B6245" s="3" t="s">
        <v>11280</v>
      </c>
      <c r="C6245" s="3" t="s">
        <v>11281</v>
      </c>
      <c r="D6245" s="3" t="s">
        <v>13058</v>
      </c>
      <c r="E6245" s="3" t="s">
        <v>13059</v>
      </c>
      <c r="F6245" s="3" t="s">
        <v>13060</v>
      </c>
    </row>
    <row r="6246">
      <c r="A6246" s="3">
        <v>613.0</v>
      </c>
      <c r="B6246" s="3" t="s">
        <v>11280</v>
      </c>
      <c r="C6246" s="3" t="s">
        <v>11281</v>
      </c>
      <c r="D6246" s="3" t="s">
        <v>13061</v>
      </c>
      <c r="E6246" s="3" t="s">
        <v>13062</v>
      </c>
      <c r="F6246" s="3" t="s">
        <v>13063</v>
      </c>
    </row>
    <row r="6247">
      <c r="A6247" s="3">
        <v>614.0</v>
      </c>
      <c r="B6247" s="3" t="s">
        <v>11280</v>
      </c>
      <c r="C6247" s="3" t="s">
        <v>11281</v>
      </c>
      <c r="D6247" s="3" t="s">
        <v>13064</v>
      </c>
      <c r="E6247" s="3" t="s">
        <v>13065</v>
      </c>
      <c r="F6247" s="3" t="s">
        <v>13066</v>
      </c>
    </row>
    <row r="6248">
      <c r="A6248" s="3">
        <v>615.0</v>
      </c>
      <c r="B6248" s="3" t="s">
        <v>11280</v>
      </c>
      <c r="C6248" s="3" t="s">
        <v>11281</v>
      </c>
      <c r="D6248" s="3" t="s">
        <v>13067</v>
      </c>
      <c r="E6248" s="3" t="s">
        <v>13068</v>
      </c>
      <c r="F6248" s="3" t="s">
        <v>13069</v>
      </c>
    </row>
    <row r="6249">
      <c r="A6249" s="3">
        <v>616.0</v>
      </c>
      <c r="B6249" s="3" t="s">
        <v>11280</v>
      </c>
      <c r="C6249" s="3" t="s">
        <v>11281</v>
      </c>
      <c r="D6249" s="3" t="s">
        <v>13070</v>
      </c>
      <c r="E6249" s="3" t="s">
        <v>13071</v>
      </c>
      <c r="F6249" s="3" t="s">
        <v>13072</v>
      </c>
    </row>
    <row r="6250">
      <c r="A6250" s="3">
        <v>617.0</v>
      </c>
      <c r="B6250" s="3" t="s">
        <v>11280</v>
      </c>
      <c r="C6250" s="3" t="s">
        <v>11281</v>
      </c>
      <c r="D6250" s="3" t="s">
        <v>13073</v>
      </c>
      <c r="E6250" s="3" t="s">
        <v>13074</v>
      </c>
      <c r="F6250" s="3" t="s">
        <v>13075</v>
      </c>
    </row>
    <row r="6251">
      <c r="A6251" s="3">
        <v>618.0</v>
      </c>
      <c r="B6251" s="3" t="s">
        <v>11280</v>
      </c>
      <c r="C6251" s="3" t="s">
        <v>11281</v>
      </c>
      <c r="D6251" s="3" t="s">
        <v>13076</v>
      </c>
      <c r="E6251" s="3" t="s">
        <v>13077</v>
      </c>
      <c r="F6251" s="3" t="s">
        <v>13078</v>
      </c>
      <c r="G6251" s="3"/>
      <c r="H6251" s="3" t="s">
        <v>13079</v>
      </c>
    </row>
    <row r="6252">
      <c r="A6252" s="3">
        <v>619.0</v>
      </c>
      <c r="B6252" s="3" t="s">
        <v>11280</v>
      </c>
      <c r="C6252" s="3" t="s">
        <v>11281</v>
      </c>
      <c r="D6252" s="3" t="s">
        <v>13080</v>
      </c>
      <c r="E6252" s="3" t="s">
        <v>13081</v>
      </c>
      <c r="F6252" s="3" t="s">
        <v>13082</v>
      </c>
    </row>
    <row r="6253">
      <c r="A6253" s="3">
        <v>620.0</v>
      </c>
      <c r="B6253" s="3" t="s">
        <v>11280</v>
      </c>
      <c r="C6253" s="3" t="s">
        <v>11281</v>
      </c>
      <c r="D6253" s="3" t="s">
        <v>13083</v>
      </c>
      <c r="E6253" s="3" t="s">
        <v>13084</v>
      </c>
      <c r="F6253" s="3" t="s">
        <v>13085</v>
      </c>
    </row>
    <row r="6254">
      <c r="A6254" s="3">
        <v>621.0</v>
      </c>
      <c r="B6254" s="3" t="s">
        <v>11280</v>
      </c>
      <c r="C6254" s="3" t="s">
        <v>11281</v>
      </c>
      <c r="D6254" s="3" t="s">
        <v>13086</v>
      </c>
      <c r="E6254" s="3" t="s">
        <v>13087</v>
      </c>
      <c r="F6254" s="3" t="s">
        <v>13088</v>
      </c>
    </row>
    <row r="6255">
      <c r="A6255" s="3">
        <v>622.0</v>
      </c>
      <c r="B6255" s="3" t="s">
        <v>11280</v>
      </c>
      <c r="C6255" s="3" t="s">
        <v>11281</v>
      </c>
      <c r="D6255" s="3" t="s">
        <v>13089</v>
      </c>
      <c r="E6255" s="3" t="s">
        <v>13090</v>
      </c>
      <c r="F6255" s="3" t="s">
        <v>13091</v>
      </c>
    </row>
    <row r="6256">
      <c r="A6256" s="3">
        <v>623.0</v>
      </c>
      <c r="B6256" s="3" t="s">
        <v>11280</v>
      </c>
      <c r="C6256" s="3" t="s">
        <v>11281</v>
      </c>
      <c r="D6256" s="3" t="s">
        <v>960</v>
      </c>
      <c r="E6256" s="3" t="s">
        <v>959</v>
      </c>
      <c r="F6256" s="3" t="s">
        <v>960</v>
      </c>
    </row>
    <row r="6257">
      <c r="A6257" s="3">
        <v>624.0</v>
      </c>
      <c r="B6257" s="3" t="s">
        <v>11280</v>
      </c>
      <c r="C6257" s="3" t="s">
        <v>11281</v>
      </c>
      <c r="D6257" s="3" t="s">
        <v>13092</v>
      </c>
      <c r="E6257" s="3" t="s">
        <v>13093</v>
      </c>
      <c r="F6257" s="3" t="s">
        <v>13092</v>
      </c>
    </row>
    <row r="6258">
      <c r="A6258" s="3">
        <v>625.0</v>
      </c>
      <c r="B6258" s="3" t="s">
        <v>11280</v>
      </c>
      <c r="C6258" s="3" t="s">
        <v>11281</v>
      </c>
      <c r="D6258" s="3" t="s">
        <v>13094</v>
      </c>
      <c r="E6258" s="3" t="s">
        <v>13095</v>
      </c>
      <c r="F6258" s="3" t="s">
        <v>13094</v>
      </c>
    </row>
    <row r="6259">
      <c r="A6259" s="3">
        <v>626.0</v>
      </c>
      <c r="B6259" s="3" t="s">
        <v>11280</v>
      </c>
      <c r="C6259" s="3" t="s">
        <v>11281</v>
      </c>
      <c r="D6259" s="3" t="s">
        <v>13096</v>
      </c>
      <c r="E6259" s="3" t="s">
        <v>13097</v>
      </c>
      <c r="F6259" s="3" t="s">
        <v>13096</v>
      </c>
      <c r="G6259" s="3"/>
      <c r="H6259" s="3" t="s">
        <v>13098</v>
      </c>
      <c r="I6259" s="3" t="s">
        <v>13099</v>
      </c>
    </row>
    <row r="6260">
      <c r="A6260" s="3">
        <v>627.0</v>
      </c>
      <c r="B6260" s="3" t="s">
        <v>11280</v>
      </c>
      <c r="C6260" s="3" t="s">
        <v>11281</v>
      </c>
      <c r="D6260" s="3" t="s">
        <v>13100</v>
      </c>
      <c r="E6260" s="3" t="s">
        <v>13101</v>
      </c>
      <c r="F6260" s="3" t="s">
        <v>13100</v>
      </c>
    </row>
    <row r="6261">
      <c r="A6261" s="3">
        <v>628.0</v>
      </c>
      <c r="B6261" s="3" t="s">
        <v>11280</v>
      </c>
      <c r="C6261" s="3" t="s">
        <v>11281</v>
      </c>
      <c r="D6261" s="3" t="s">
        <v>13102</v>
      </c>
      <c r="E6261" s="3" t="s">
        <v>13103</v>
      </c>
      <c r="F6261" s="3" t="s">
        <v>13102</v>
      </c>
    </row>
    <row r="6262">
      <c r="A6262" s="3">
        <v>629.0</v>
      </c>
      <c r="B6262" s="3" t="s">
        <v>11280</v>
      </c>
      <c r="C6262" s="3" t="s">
        <v>11281</v>
      </c>
      <c r="D6262" s="3" t="s">
        <v>13104</v>
      </c>
      <c r="E6262" s="3" t="s">
        <v>13105</v>
      </c>
      <c r="F6262" s="3" t="s">
        <v>13104</v>
      </c>
    </row>
    <row r="6263">
      <c r="A6263" s="3">
        <v>630.0</v>
      </c>
      <c r="B6263" s="3" t="s">
        <v>11280</v>
      </c>
      <c r="C6263" s="3" t="s">
        <v>11281</v>
      </c>
      <c r="D6263" s="3" t="s">
        <v>13106</v>
      </c>
      <c r="E6263" s="3" t="s">
        <v>13107</v>
      </c>
      <c r="F6263" s="3" t="s">
        <v>13106</v>
      </c>
    </row>
    <row r="6264">
      <c r="A6264" s="3">
        <v>631.0</v>
      </c>
      <c r="B6264" s="3" t="s">
        <v>11280</v>
      </c>
      <c r="C6264" s="3" t="s">
        <v>11281</v>
      </c>
      <c r="D6264" s="3" t="s">
        <v>13108</v>
      </c>
      <c r="E6264" s="3" t="s">
        <v>13109</v>
      </c>
      <c r="F6264" s="3" t="s">
        <v>13110</v>
      </c>
    </row>
    <row r="6265">
      <c r="A6265" s="3">
        <v>632.0</v>
      </c>
      <c r="B6265" s="3" t="s">
        <v>11280</v>
      </c>
      <c r="C6265" s="3" t="s">
        <v>11281</v>
      </c>
      <c r="D6265" s="3" t="s">
        <v>13111</v>
      </c>
      <c r="E6265" s="3" t="s">
        <v>13112</v>
      </c>
      <c r="F6265" s="3" t="s">
        <v>13113</v>
      </c>
    </row>
    <row r="6266">
      <c r="A6266" s="3">
        <v>633.0</v>
      </c>
      <c r="B6266" s="3" t="s">
        <v>11280</v>
      </c>
      <c r="C6266" s="3" t="s">
        <v>11281</v>
      </c>
      <c r="D6266" s="3" t="s">
        <v>13114</v>
      </c>
      <c r="E6266" s="3" t="s">
        <v>13115</v>
      </c>
      <c r="F6266" s="3" t="s">
        <v>13116</v>
      </c>
      <c r="G6266" s="3"/>
      <c r="H6266" s="3" t="s">
        <v>2132</v>
      </c>
    </row>
    <row r="6267">
      <c r="A6267" s="3">
        <v>634.0</v>
      </c>
      <c r="B6267" s="3" t="s">
        <v>11280</v>
      </c>
      <c r="C6267" s="3" t="s">
        <v>11281</v>
      </c>
      <c r="D6267" s="3" t="s">
        <v>13117</v>
      </c>
      <c r="E6267" s="3" t="s">
        <v>13118</v>
      </c>
      <c r="F6267" s="3" t="s">
        <v>13119</v>
      </c>
    </row>
    <row r="6268">
      <c r="A6268" s="3">
        <v>635.0</v>
      </c>
      <c r="B6268" s="3" t="s">
        <v>11280</v>
      </c>
      <c r="C6268" s="3" t="s">
        <v>11281</v>
      </c>
      <c r="D6268" s="3" t="s">
        <v>13120</v>
      </c>
      <c r="E6268" s="3" t="s">
        <v>13121</v>
      </c>
      <c r="F6268" s="3" t="s">
        <v>13122</v>
      </c>
    </row>
    <row r="6269">
      <c r="A6269" s="3">
        <v>636.0</v>
      </c>
      <c r="B6269" s="3" t="s">
        <v>11280</v>
      </c>
      <c r="C6269" s="3" t="s">
        <v>11281</v>
      </c>
      <c r="D6269" s="3" t="s">
        <v>13123</v>
      </c>
      <c r="E6269" s="3" t="s">
        <v>13124</v>
      </c>
      <c r="F6269" s="3" t="s">
        <v>13125</v>
      </c>
    </row>
    <row r="6270">
      <c r="A6270" s="3">
        <v>637.0</v>
      </c>
      <c r="B6270" s="3" t="s">
        <v>11280</v>
      </c>
      <c r="C6270" s="3" t="s">
        <v>11281</v>
      </c>
      <c r="D6270" s="3" t="s">
        <v>13126</v>
      </c>
      <c r="E6270" s="3" t="s">
        <v>13127</v>
      </c>
      <c r="F6270" s="3" t="s">
        <v>13128</v>
      </c>
    </row>
    <row r="6271">
      <c r="A6271" s="3">
        <v>638.0</v>
      </c>
      <c r="B6271" s="3" t="s">
        <v>11280</v>
      </c>
      <c r="C6271" s="3" t="s">
        <v>11281</v>
      </c>
      <c r="D6271" s="3" t="s">
        <v>13129</v>
      </c>
      <c r="E6271" s="3" t="s">
        <v>13130</v>
      </c>
      <c r="F6271" s="3" t="s">
        <v>13129</v>
      </c>
    </row>
    <row r="6272">
      <c r="A6272" s="3">
        <v>639.0</v>
      </c>
      <c r="B6272" s="3" t="s">
        <v>11280</v>
      </c>
      <c r="C6272" s="3" t="s">
        <v>11281</v>
      </c>
      <c r="D6272" s="3" t="s">
        <v>13131</v>
      </c>
      <c r="E6272" s="3" t="s">
        <v>13132</v>
      </c>
      <c r="F6272" s="3" t="s">
        <v>13131</v>
      </c>
    </row>
    <row r="6273">
      <c r="A6273" s="3">
        <v>640.0</v>
      </c>
      <c r="B6273" s="3" t="s">
        <v>11280</v>
      </c>
      <c r="C6273" s="3" t="s">
        <v>11281</v>
      </c>
      <c r="D6273" s="3" t="s">
        <v>13133</v>
      </c>
      <c r="E6273" s="3" t="s">
        <v>13134</v>
      </c>
      <c r="F6273" s="3" t="s">
        <v>13133</v>
      </c>
    </row>
    <row r="6274">
      <c r="A6274" s="3">
        <v>641.0</v>
      </c>
      <c r="B6274" s="3" t="s">
        <v>11280</v>
      </c>
      <c r="C6274" s="3" t="s">
        <v>11281</v>
      </c>
      <c r="D6274" s="3" t="s">
        <v>13135</v>
      </c>
      <c r="E6274" s="3" t="s">
        <v>13136</v>
      </c>
      <c r="F6274" s="3" t="s">
        <v>13135</v>
      </c>
    </row>
    <row r="6275">
      <c r="A6275" s="3">
        <v>642.0</v>
      </c>
      <c r="B6275" s="3" t="s">
        <v>11280</v>
      </c>
      <c r="C6275" s="3" t="s">
        <v>11281</v>
      </c>
      <c r="D6275" s="3" t="s">
        <v>13137</v>
      </c>
      <c r="E6275" s="3" t="s">
        <v>13138</v>
      </c>
      <c r="F6275" s="3" t="s">
        <v>13137</v>
      </c>
    </row>
    <row r="6276">
      <c r="A6276" s="3">
        <v>643.0</v>
      </c>
      <c r="B6276" s="3" t="s">
        <v>11280</v>
      </c>
      <c r="C6276" s="3" t="s">
        <v>11281</v>
      </c>
      <c r="D6276" s="3" t="s">
        <v>13139</v>
      </c>
      <c r="E6276" s="3" t="s">
        <v>13140</v>
      </c>
      <c r="F6276" s="3" t="s">
        <v>13139</v>
      </c>
    </row>
    <row r="6277">
      <c r="A6277" s="3">
        <v>644.0</v>
      </c>
      <c r="B6277" s="3" t="s">
        <v>11280</v>
      </c>
      <c r="C6277" s="3" t="s">
        <v>11281</v>
      </c>
      <c r="D6277" s="3" t="s">
        <v>13141</v>
      </c>
      <c r="E6277" s="3" t="s">
        <v>13142</v>
      </c>
      <c r="F6277" s="3" t="s">
        <v>13141</v>
      </c>
    </row>
    <row r="6278">
      <c r="A6278" s="3">
        <v>645.0</v>
      </c>
      <c r="B6278" s="3" t="s">
        <v>11280</v>
      </c>
      <c r="C6278" s="3" t="s">
        <v>11281</v>
      </c>
      <c r="D6278" s="3" t="s">
        <v>13143</v>
      </c>
      <c r="E6278" s="3" t="s">
        <v>13144</v>
      </c>
      <c r="F6278" s="3" t="s">
        <v>13143</v>
      </c>
    </row>
    <row r="6279">
      <c r="A6279" s="3">
        <v>646.0</v>
      </c>
      <c r="B6279" s="3" t="s">
        <v>11280</v>
      </c>
      <c r="C6279" s="3" t="s">
        <v>11281</v>
      </c>
      <c r="D6279" s="3" t="s">
        <v>13145</v>
      </c>
      <c r="E6279" s="3" t="s">
        <v>13146</v>
      </c>
      <c r="F6279" s="3" t="s">
        <v>13145</v>
      </c>
    </row>
    <row r="6280">
      <c r="A6280" s="3">
        <v>647.0</v>
      </c>
      <c r="B6280" s="3" t="s">
        <v>11280</v>
      </c>
      <c r="C6280" s="3" t="s">
        <v>11281</v>
      </c>
      <c r="D6280" s="3" t="s">
        <v>13147</v>
      </c>
      <c r="E6280" s="3" t="s">
        <v>13148</v>
      </c>
      <c r="F6280" s="3" t="s">
        <v>13147</v>
      </c>
      <c r="G6280" s="3"/>
      <c r="H6280" s="3" t="s">
        <v>13149</v>
      </c>
      <c r="I6280" s="3" t="s">
        <v>13150</v>
      </c>
      <c r="J6280" s="3" t="s">
        <v>5991</v>
      </c>
      <c r="K6280" s="3" t="s">
        <v>13151</v>
      </c>
      <c r="L6280" s="3" t="s">
        <v>13152</v>
      </c>
      <c r="M6280" s="3" t="s">
        <v>13153</v>
      </c>
      <c r="N6280" s="3" t="s">
        <v>13154</v>
      </c>
    </row>
    <row r="6281">
      <c r="A6281" s="3">
        <v>648.0</v>
      </c>
      <c r="B6281" s="3" t="s">
        <v>11280</v>
      </c>
      <c r="C6281" s="3" t="s">
        <v>11281</v>
      </c>
      <c r="D6281" s="3" t="s">
        <v>13155</v>
      </c>
      <c r="E6281" s="3" t="s">
        <v>13156</v>
      </c>
      <c r="F6281" s="3" t="s">
        <v>13155</v>
      </c>
    </row>
    <row r="6282">
      <c r="A6282" s="3">
        <v>649.0</v>
      </c>
      <c r="B6282" s="3" t="s">
        <v>11280</v>
      </c>
      <c r="C6282" s="3" t="s">
        <v>11281</v>
      </c>
      <c r="D6282" s="3" t="s">
        <v>13157</v>
      </c>
      <c r="E6282" s="3" t="s">
        <v>13158</v>
      </c>
      <c r="F6282" s="3" t="s">
        <v>13157</v>
      </c>
    </row>
    <row r="6283">
      <c r="A6283" s="3">
        <v>650.0</v>
      </c>
      <c r="B6283" s="3" t="s">
        <v>11280</v>
      </c>
      <c r="C6283" s="3" t="s">
        <v>11281</v>
      </c>
      <c r="D6283" s="3" t="s">
        <v>13159</v>
      </c>
      <c r="E6283" s="3" t="s">
        <v>13160</v>
      </c>
      <c r="F6283" s="3" t="s">
        <v>13159</v>
      </c>
    </row>
    <row r="6284">
      <c r="A6284" s="3">
        <v>651.0</v>
      </c>
      <c r="B6284" s="3" t="s">
        <v>11280</v>
      </c>
      <c r="C6284" s="3" t="s">
        <v>11281</v>
      </c>
      <c r="D6284" s="3" t="s">
        <v>13161</v>
      </c>
      <c r="E6284" s="3" t="s">
        <v>13162</v>
      </c>
      <c r="F6284" s="3" t="s">
        <v>13161</v>
      </c>
    </row>
    <row r="6285">
      <c r="A6285" s="3">
        <v>652.0</v>
      </c>
      <c r="B6285" s="3" t="s">
        <v>11280</v>
      </c>
      <c r="C6285" s="3" t="s">
        <v>11281</v>
      </c>
      <c r="D6285" s="3" t="s">
        <v>13163</v>
      </c>
      <c r="E6285" s="3" t="s">
        <v>13164</v>
      </c>
      <c r="F6285" s="3" t="s">
        <v>13165</v>
      </c>
    </row>
    <row r="6286">
      <c r="A6286" s="3">
        <v>653.0</v>
      </c>
      <c r="B6286" s="3" t="s">
        <v>11280</v>
      </c>
      <c r="C6286" s="3" t="s">
        <v>11281</v>
      </c>
      <c r="D6286" s="3" t="s">
        <v>13166</v>
      </c>
      <c r="E6286" s="3" t="s">
        <v>13167</v>
      </c>
      <c r="F6286" s="3" t="s">
        <v>13168</v>
      </c>
    </row>
    <row r="6287">
      <c r="A6287" s="3">
        <v>654.0</v>
      </c>
      <c r="B6287" s="3" t="s">
        <v>11280</v>
      </c>
      <c r="C6287" s="3" t="s">
        <v>11281</v>
      </c>
      <c r="D6287" s="3" t="s">
        <v>13169</v>
      </c>
      <c r="E6287" s="3" t="s">
        <v>12802</v>
      </c>
      <c r="F6287" s="3" t="s">
        <v>12801</v>
      </c>
      <c r="G6287" s="3"/>
      <c r="H6287" s="3" t="s">
        <v>2153</v>
      </c>
      <c r="I6287" s="3" t="s">
        <v>2136</v>
      </c>
      <c r="J6287" s="3" t="s">
        <v>2154</v>
      </c>
      <c r="K6287" s="3" t="s">
        <v>2155</v>
      </c>
      <c r="L6287" s="3" t="s">
        <v>13170</v>
      </c>
      <c r="M6287" s="3" t="s">
        <v>13171</v>
      </c>
      <c r="N6287" s="3" t="s">
        <v>13172</v>
      </c>
      <c r="O6287" s="3" t="s">
        <v>13173</v>
      </c>
      <c r="P6287" s="3" t="s">
        <v>13174</v>
      </c>
      <c r="Q6287" s="3" t="s">
        <v>9315</v>
      </c>
    </row>
    <row r="6288">
      <c r="A6288" s="3">
        <v>655.0</v>
      </c>
      <c r="B6288" s="3" t="s">
        <v>11280</v>
      </c>
      <c r="C6288" s="3" t="s">
        <v>11281</v>
      </c>
      <c r="D6288" s="3" t="s">
        <v>13175</v>
      </c>
      <c r="E6288" s="3" t="s">
        <v>12804</v>
      </c>
      <c r="F6288" s="3" t="s">
        <v>12803</v>
      </c>
    </row>
    <row r="6289">
      <c r="A6289" s="3">
        <v>656.0</v>
      </c>
      <c r="B6289" s="3" t="s">
        <v>11280</v>
      </c>
      <c r="C6289" s="3" t="s">
        <v>11281</v>
      </c>
      <c r="D6289" s="3" t="s">
        <v>13176</v>
      </c>
      <c r="E6289" s="3" t="s">
        <v>12806</v>
      </c>
      <c r="F6289" s="3" t="s">
        <v>12805</v>
      </c>
    </row>
    <row r="6290">
      <c r="A6290" s="3">
        <v>657.0</v>
      </c>
      <c r="B6290" s="3" t="s">
        <v>11280</v>
      </c>
      <c r="C6290" s="3" t="s">
        <v>11281</v>
      </c>
      <c r="D6290" s="3" t="s">
        <v>13177</v>
      </c>
      <c r="E6290" s="3" t="s">
        <v>13178</v>
      </c>
      <c r="F6290" s="3" t="s">
        <v>13179</v>
      </c>
    </row>
    <row r="6291">
      <c r="A6291" s="3">
        <v>658.0</v>
      </c>
      <c r="B6291" s="3" t="s">
        <v>11280</v>
      </c>
      <c r="C6291" s="3" t="s">
        <v>11281</v>
      </c>
      <c r="D6291" s="3" t="s">
        <v>13180</v>
      </c>
      <c r="E6291" s="3" t="s">
        <v>13181</v>
      </c>
      <c r="F6291" s="3" t="s">
        <v>13182</v>
      </c>
    </row>
    <row r="6292">
      <c r="A6292" s="3">
        <v>659.0</v>
      </c>
      <c r="B6292" s="3" t="s">
        <v>11280</v>
      </c>
      <c r="C6292" s="3" t="s">
        <v>11281</v>
      </c>
      <c r="D6292" s="3" t="s">
        <v>13183</v>
      </c>
      <c r="E6292" s="3" t="s">
        <v>13184</v>
      </c>
      <c r="F6292" s="3" t="s">
        <v>13185</v>
      </c>
    </row>
    <row r="6293">
      <c r="A6293" s="3">
        <v>660.0</v>
      </c>
      <c r="B6293" s="3" t="s">
        <v>11280</v>
      </c>
      <c r="C6293" s="3" t="s">
        <v>11281</v>
      </c>
      <c r="D6293" s="3" t="s">
        <v>13186</v>
      </c>
      <c r="E6293" s="3" t="s">
        <v>13187</v>
      </c>
      <c r="F6293" s="3" t="s">
        <v>13188</v>
      </c>
    </row>
    <row r="6294">
      <c r="A6294" s="3">
        <v>661.0</v>
      </c>
      <c r="B6294" s="3" t="s">
        <v>11280</v>
      </c>
      <c r="C6294" s="3" t="s">
        <v>11281</v>
      </c>
      <c r="D6294" s="3" t="s">
        <v>13189</v>
      </c>
      <c r="E6294" s="3" t="s">
        <v>12808</v>
      </c>
      <c r="F6294" s="3" t="s">
        <v>12807</v>
      </c>
    </row>
    <row r="6295">
      <c r="A6295" s="3">
        <v>662.0</v>
      </c>
      <c r="B6295" s="3" t="s">
        <v>11280</v>
      </c>
      <c r="C6295" s="3" t="s">
        <v>11281</v>
      </c>
      <c r="D6295" s="3" t="s">
        <v>13190</v>
      </c>
      <c r="E6295" s="3" t="s">
        <v>11505</v>
      </c>
      <c r="F6295" s="3" t="s">
        <v>11506</v>
      </c>
    </row>
    <row r="6296">
      <c r="A6296" s="3">
        <v>663.0</v>
      </c>
      <c r="B6296" s="3" t="s">
        <v>11280</v>
      </c>
      <c r="C6296" s="3" t="s">
        <v>11281</v>
      </c>
      <c r="D6296" s="3" t="s">
        <v>13191</v>
      </c>
      <c r="E6296" s="3" t="s">
        <v>13192</v>
      </c>
      <c r="F6296" s="3" t="s">
        <v>13193</v>
      </c>
    </row>
    <row r="6297">
      <c r="A6297" s="3">
        <v>664.0</v>
      </c>
      <c r="B6297" s="3" t="s">
        <v>11280</v>
      </c>
      <c r="C6297" s="3" t="s">
        <v>11281</v>
      </c>
      <c r="D6297" s="3" t="s">
        <v>13194</v>
      </c>
      <c r="E6297" s="3" t="s">
        <v>13195</v>
      </c>
      <c r="F6297" s="3" t="s">
        <v>13196</v>
      </c>
    </row>
    <row r="6298">
      <c r="A6298" s="3">
        <v>665.0</v>
      </c>
      <c r="B6298" s="3" t="s">
        <v>11280</v>
      </c>
      <c r="C6298" s="3" t="s">
        <v>11281</v>
      </c>
      <c r="D6298" s="3" t="s">
        <v>13197</v>
      </c>
      <c r="E6298" s="3" t="s">
        <v>13198</v>
      </c>
      <c r="F6298" s="3" t="s">
        <v>13199</v>
      </c>
    </row>
    <row r="6299">
      <c r="A6299" s="3">
        <v>666.0</v>
      </c>
      <c r="B6299" s="3" t="s">
        <v>11280</v>
      </c>
      <c r="C6299" s="3" t="s">
        <v>11281</v>
      </c>
      <c r="D6299" s="3" t="s">
        <v>13200</v>
      </c>
      <c r="E6299" s="3" t="s">
        <v>13201</v>
      </c>
      <c r="F6299" s="3" t="s">
        <v>13202</v>
      </c>
    </row>
    <row r="6300">
      <c r="A6300" s="3">
        <v>667.0</v>
      </c>
      <c r="B6300" s="3" t="s">
        <v>11280</v>
      </c>
      <c r="C6300" s="3" t="s">
        <v>11281</v>
      </c>
      <c r="D6300" s="3" t="s">
        <v>13203</v>
      </c>
      <c r="E6300" s="3" t="s">
        <v>13204</v>
      </c>
      <c r="F6300" s="3" t="s">
        <v>13205</v>
      </c>
    </row>
    <row r="6301">
      <c r="A6301" s="3">
        <v>668.0</v>
      </c>
      <c r="B6301" s="3" t="s">
        <v>11280</v>
      </c>
      <c r="C6301" s="3" t="s">
        <v>11281</v>
      </c>
      <c r="D6301" s="3" t="s">
        <v>13206</v>
      </c>
      <c r="E6301" s="3" t="s">
        <v>13207</v>
      </c>
      <c r="F6301" s="3" t="s">
        <v>13208</v>
      </c>
    </row>
    <row r="6302">
      <c r="A6302" s="3">
        <v>669.0</v>
      </c>
      <c r="B6302" s="3" t="s">
        <v>11280</v>
      </c>
      <c r="C6302" s="3" t="s">
        <v>11281</v>
      </c>
      <c r="D6302" s="3" t="s">
        <v>13209</v>
      </c>
      <c r="E6302" s="3" t="s">
        <v>13210</v>
      </c>
      <c r="F6302" s="3" t="s">
        <v>13211</v>
      </c>
    </row>
    <row r="6303">
      <c r="A6303" s="3">
        <v>670.0</v>
      </c>
      <c r="B6303" s="3" t="s">
        <v>11280</v>
      </c>
      <c r="C6303" s="3" t="s">
        <v>11281</v>
      </c>
      <c r="D6303" s="3" t="s">
        <v>13212</v>
      </c>
      <c r="E6303" s="3" t="s">
        <v>13213</v>
      </c>
      <c r="F6303" s="3" t="s">
        <v>13214</v>
      </c>
      <c r="G6303" s="3"/>
      <c r="H6303" s="3" t="s">
        <v>13215</v>
      </c>
      <c r="I6303" s="3" t="s">
        <v>13216</v>
      </c>
      <c r="J6303" s="3" t="s">
        <v>13217</v>
      </c>
    </row>
    <row r="6304">
      <c r="A6304" s="3">
        <v>671.0</v>
      </c>
      <c r="B6304" s="3" t="s">
        <v>11280</v>
      </c>
      <c r="C6304" s="3" t="s">
        <v>11281</v>
      </c>
      <c r="D6304" s="3" t="s">
        <v>13218</v>
      </c>
      <c r="E6304" s="3" t="s">
        <v>13219</v>
      </c>
      <c r="F6304" s="3" t="s">
        <v>13220</v>
      </c>
    </row>
    <row r="6305">
      <c r="A6305" s="3">
        <v>672.0</v>
      </c>
      <c r="B6305" s="3" t="s">
        <v>11280</v>
      </c>
      <c r="C6305" s="3" t="s">
        <v>11281</v>
      </c>
      <c r="D6305" s="3" t="s">
        <v>13221</v>
      </c>
      <c r="E6305" s="3" t="s">
        <v>13222</v>
      </c>
      <c r="F6305" s="3" t="s">
        <v>13223</v>
      </c>
    </row>
    <row r="6306">
      <c r="A6306" s="3">
        <v>673.0</v>
      </c>
      <c r="B6306" s="3" t="s">
        <v>11280</v>
      </c>
      <c r="C6306" s="3" t="s">
        <v>11281</v>
      </c>
      <c r="D6306" s="3" t="s">
        <v>13224</v>
      </c>
      <c r="E6306" s="3" t="s">
        <v>13225</v>
      </c>
      <c r="F6306" s="3" t="s">
        <v>13226</v>
      </c>
    </row>
    <row r="6307">
      <c r="A6307" s="3">
        <v>674.0</v>
      </c>
      <c r="B6307" s="3" t="s">
        <v>11280</v>
      </c>
      <c r="C6307" s="3" t="s">
        <v>11281</v>
      </c>
      <c r="D6307" s="3" t="s">
        <v>13227</v>
      </c>
      <c r="E6307" s="3" t="s">
        <v>13228</v>
      </c>
      <c r="F6307" s="3" t="s">
        <v>13229</v>
      </c>
    </row>
    <row r="6308">
      <c r="A6308" s="3">
        <v>675.0</v>
      </c>
      <c r="B6308" s="3" t="s">
        <v>11280</v>
      </c>
      <c r="C6308" s="3" t="s">
        <v>11281</v>
      </c>
      <c r="D6308" s="3" t="s">
        <v>13230</v>
      </c>
      <c r="E6308" s="3" t="s">
        <v>13231</v>
      </c>
      <c r="F6308" s="3" t="s">
        <v>13232</v>
      </c>
    </row>
    <row r="6309">
      <c r="A6309" s="3">
        <v>676.0</v>
      </c>
      <c r="B6309" s="3" t="s">
        <v>11280</v>
      </c>
      <c r="C6309" s="3" t="s">
        <v>11281</v>
      </c>
      <c r="D6309" s="3" t="s">
        <v>13233</v>
      </c>
      <c r="E6309" s="3" t="s">
        <v>13234</v>
      </c>
      <c r="F6309" s="3" t="s">
        <v>13235</v>
      </c>
    </row>
    <row r="6310">
      <c r="A6310" s="3">
        <v>677.0</v>
      </c>
      <c r="B6310" s="3" t="s">
        <v>11280</v>
      </c>
      <c r="C6310" s="3" t="s">
        <v>11281</v>
      </c>
      <c r="D6310" s="3" t="s">
        <v>13236</v>
      </c>
      <c r="E6310" s="3" t="s">
        <v>13237</v>
      </c>
      <c r="F6310" s="3" t="s">
        <v>13238</v>
      </c>
    </row>
    <row r="6311">
      <c r="A6311" s="3">
        <v>678.0</v>
      </c>
      <c r="B6311" s="3" t="s">
        <v>11280</v>
      </c>
      <c r="C6311" s="3" t="s">
        <v>11281</v>
      </c>
      <c r="D6311" s="3" t="s">
        <v>13239</v>
      </c>
      <c r="E6311" s="3" t="s">
        <v>13240</v>
      </c>
      <c r="F6311" s="3" t="s">
        <v>13241</v>
      </c>
    </row>
    <row r="6312">
      <c r="A6312" s="3">
        <v>679.0</v>
      </c>
      <c r="B6312" s="3" t="s">
        <v>11280</v>
      </c>
      <c r="C6312" s="3" t="s">
        <v>11281</v>
      </c>
      <c r="D6312" s="3" t="s">
        <v>13242</v>
      </c>
      <c r="E6312" s="3" t="s">
        <v>13243</v>
      </c>
      <c r="F6312" s="3" t="s">
        <v>13244</v>
      </c>
    </row>
    <row r="6313">
      <c r="A6313" s="3">
        <v>680.0</v>
      </c>
      <c r="B6313" s="3" t="s">
        <v>11280</v>
      </c>
      <c r="C6313" s="3" t="s">
        <v>11281</v>
      </c>
      <c r="D6313" s="3" t="s">
        <v>13245</v>
      </c>
      <c r="E6313" s="3" t="s">
        <v>12863</v>
      </c>
      <c r="F6313" s="3" t="s">
        <v>12862</v>
      </c>
    </row>
    <row r="6314">
      <c r="A6314" s="3">
        <v>681.0</v>
      </c>
      <c r="B6314" s="3" t="s">
        <v>11280</v>
      </c>
      <c r="C6314" s="3" t="s">
        <v>11281</v>
      </c>
      <c r="D6314" s="3" t="s">
        <v>13246</v>
      </c>
      <c r="E6314" s="3" t="s">
        <v>12865</v>
      </c>
      <c r="F6314" s="3" t="s">
        <v>12864</v>
      </c>
    </row>
    <row r="6315">
      <c r="A6315" s="3">
        <v>682.0</v>
      </c>
      <c r="B6315" s="3" t="s">
        <v>11280</v>
      </c>
      <c r="C6315" s="3" t="s">
        <v>11281</v>
      </c>
      <c r="D6315" s="3" t="s">
        <v>13247</v>
      </c>
      <c r="E6315" s="3" t="s">
        <v>13248</v>
      </c>
      <c r="F6315" s="3" t="s">
        <v>13249</v>
      </c>
    </row>
    <row r="6316">
      <c r="A6316" s="3">
        <v>683.0</v>
      </c>
      <c r="B6316" s="3" t="s">
        <v>11280</v>
      </c>
      <c r="C6316" s="3" t="s">
        <v>11281</v>
      </c>
      <c r="D6316" s="3" t="s">
        <v>13250</v>
      </c>
      <c r="E6316" s="3" t="s">
        <v>13251</v>
      </c>
      <c r="F6316" s="3" t="s">
        <v>13252</v>
      </c>
    </row>
    <row r="6317">
      <c r="A6317" s="3">
        <v>684.0</v>
      </c>
      <c r="B6317" s="3" t="s">
        <v>11280</v>
      </c>
      <c r="C6317" s="3" t="s">
        <v>11281</v>
      </c>
      <c r="D6317" s="3" t="s">
        <v>13253</v>
      </c>
      <c r="E6317" s="3" t="s">
        <v>13254</v>
      </c>
      <c r="F6317" s="3" t="s">
        <v>13255</v>
      </c>
    </row>
    <row r="6318">
      <c r="A6318" s="3">
        <v>685.0</v>
      </c>
      <c r="B6318" s="3" t="s">
        <v>11280</v>
      </c>
      <c r="C6318" s="3" t="s">
        <v>11281</v>
      </c>
      <c r="D6318" s="3" t="s">
        <v>13256</v>
      </c>
      <c r="E6318" s="3" t="s">
        <v>13257</v>
      </c>
      <c r="F6318" s="3" t="s">
        <v>13258</v>
      </c>
    </row>
    <row r="6319">
      <c r="A6319" s="3">
        <v>686.0</v>
      </c>
      <c r="B6319" s="3" t="s">
        <v>11280</v>
      </c>
      <c r="C6319" s="3" t="s">
        <v>11281</v>
      </c>
      <c r="D6319" s="3" t="s">
        <v>13259</v>
      </c>
      <c r="E6319" s="3" t="s">
        <v>12867</v>
      </c>
      <c r="F6319" s="3" t="s">
        <v>12866</v>
      </c>
    </row>
    <row r="6320">
      <c r="A6320" s="3">
        <v>687.0</v>
      </c>
      <c r="B6320" s="3" t="s">
        <v>11280</v>
      </c>
      <c r="C6320" s="3" t="s">
        <v>11281</v>
      </c>
      <c r="D6320" s="3" t="s">
        <v>13260</v>
      </c>
      <c r="E6320" s="3" t="s">
        <v>13261</v>
      </c>
      <c r="F6320" s="3" t="s">
        <v>13262</v>
      </c>
    </row>
    <row r="6321">
      <c r="A6321" s="3">
        <v>688.0</v>
      </c>
      <c r="B6321" s="3" t="s">
        <v>11280</v>
      </c>
      <c r="C6321" s="3" t="s">
        <v>11281</v>
      </c>
      <c r="D6321" s="3" t="s">
        <v>13263</v>
      </c>
      <c r="E6321" s="3" t="s">
        <v>13264</v>
      </c>
      <c r="F6321" s="3" t="s">
        <v>13265</v>
      </c>
      <c r="G6321" s="3"/>
      <c r="H6321" s="3" t="s">
        <v>13266</v>
      </c>
    </row>
    <row r="6322">
      <c r="A6322" s="3">
        <v>689.0</v>
      </c>
      <c r="B6322" s="3" t="s">
        <v>11280</v>
      </c>
      <c r="C6322" s="3" t="s">
        <v>11281</v>
      </c>
      <c r="D6322" s="3" t="s">
        <v>13267</v>
      </c>
      <c r="E6322" s="3" t="s">
        <v>13268</v>
      </c>
      <c r="F6322" s="3" t="s">
        <v>13269</v>
      </c>
    </row>
    <row r="6323">
      <c r="A6323" s="3">
        <v>690.0</v>
      </c>
      <c r="B6323" s="3" t="s">
        <v>11280</v>
      </c>
      <c r="C6323" s="3" t="s">
        <v>11281</v>
      </c>
      <c r="D6323" s="3" t="s">
        <v>13270</v>
      </c>
      <c r="E6323" s="3" t="s">
        <v>13271</v>
      </c>
      <c r="F6323" s="3" t="s">
        <v>13272</v>
      </c>
    </row>
    <row r="6324">
      <c r="A6324" s="3">
        <v>691.0</v>
      </c>
      <c r="B6324" s="3" t="s">
        <v>11280</v>
      </c>
      <c r="C6324" s="3" t="s">
        <v>11281</v>
      </c>
      <c r="D6324" s="3" t="s">
        <v>13273</v>
      </c>
      <c r="E6324" s="3" t="s">
        <v>13274</v>
      </c>
      <c r="F6324" s="3" t="s">
        <v>13275</v>
      </c>
    </row>
    <row r="6325">
      <c r="A6325" s="3">
        <v>692.0</v>
      </c>
      <c r="B6325" s="3" t="s">
        <v>11280</v>
      </c>
      <c r="C6325" s="3" t="s">
        <v>11281</v>
      </c>
      <c r="D6325" s="3" t="s">
        <v>13276</v>
      </c>
      <c r="E6325" s="3" t="s">
        <v>13277</v>
      </c>
      <c r="F6325" s="3" t="s">
        <v>13278</v>
      </c>
      <c r="G6325" s="3"/>
      <c r="H6325" s="3" t="s">
        <v>8776</v>
      </c>
    </row>
    <row r="6326">
      <c r="A6326" s="3">
        <v>693.0</v>
      </c>
      <c r="B6326" s="3" t="s">
        <v>11280</v>
      </c>
      <c r="C6326" s="3" t="s">
        <v>11281</v>
      </c>
      <c r="D6326" s="3" t="s">
        <v>13279</v>
      </c>
      <c r="E6326" s="3" t="s">
        <v>13280</v>
      </c>
      <c r="F6326" s="3" t="s">
        <v>13281</v>
      </c>
    </row>
    <row r="6327">
      <c r="A6327" s="3">
        <v>694.0</v>
      </c>
      <c r="B6327" s="3" t="s">
        <v>11280</v>
      </c>
      <c r="C6327" s="3" t="s">
        <v>11281</v>
      </c>
      <c r="D6327" s="3" t="s">
        <v>13282</v>
      </c>
      <c r="E6327" s="3" t="s">
        <v>13283</v>
      </c>
      <c r="F6327" s="3" t="s">
        <v>13284</v>
      </c>
    </row>
    <row r="6328">
      <c r="A6328" s="3">
        <v>695.0</v>
      </c>
      <c r="B6328" s="3" t="s">
        <v>11280</v>
      </c>
      <c r="C6328" s="3" t="s">
        <v>11281</v>
      </c>
      <c r="D6328" s="3" t="s">
        <v>13285</v>
      </c>
      <c r="E6328" s="3" t="s">
        <v>13286</v>
      </c>
      <c r="F6328" s="3" t="s">
        <v>13287</v>
      </c>
    </row>
    <row r="6329">
      <c r="A6329" s="3">
        <v>696.0</v>
      </c>
      <c r="B6329" s="3" t="s">
        <v>11280</v>
      </c>
      <c r="C6329" s="3" t="s">
        <v>11281</v>
      </c>
      <c r="D6329" s="3" t="s">
        <v>13288</v>
      </c>
      <c r="E6329" s="3" t="s">
        <v>13289</v>
      </c>
      <c r="F6329" s="3" t="s">
        <v>13290</v>
      </c>
    </row>
    <row r="6330">
      <c r="A6330" s="3">
        <v>697.0</v>
      </c>
      <c r="B6330" s="3" t="s">
        <v>11280</v>
      </c>
      <c r="C6330" s="3" t="s">
        <v>11281</v>
      </c>
      <c r="D6330" s="3" t="s">
        <v>13291</v>
      </c>
      <c r="E6330" s="3" t="s">
        <v>5376</v>
      </c>
      <c r="F6330" s="3" t="s">
        <v>5377</v>
      </c>
    </row>
    <row r="6331">
      <c r="A6331" s="3">
        <v>698.0</v>
      </c>
      <c r="B6331" s="3" t="s">
        <v>11280</v>
      </c>
      <c r="C6331" s="3" t="s">
        <v>11281</v>
      </c>
      <c r="D6331" s="3" t="s">
        <v>967</v>
      </c>
      <c r="E6331" s="3" t="s">
        <v>968</v>
      </c>
      <c r="F6331" s="3" t="s">
        <v>969</v>
      </c>
    </row>
    <row r="6332">
      <c r="A6332" s="3">
        <v>699.0</v>
      </c>
      <c r="B6332" s="3" t="s">
        <v>11280</v>
      </c>
      <c r="C6332" s="3" t="s">
        <v>11281</v>
      </c>
      <c r="D6332" s="3" t="s">
        <v>13292</v>
      </c>
      <c r="E6332" s="3" t="s">
        <v>13293</v>
      </c>
      <c r="F6332" s="3" t="s">
        <v>13294</v>
      </c>
    </row>
    <row r="6333">
      <c r="A6333" s="3">
        <v>700.0</v>
      </c>
      <c r="B6333" s="3" t="s">
        <v>11280</v>
      </c>
      <c r="C6333" s="3" t="s">
        <v>11281</v>
      </c>
      <c r="D6333" s="3" t="s">
        <v>13295</v>
      </c>
      <c r="E6333" s="3" t="s">
        <v>13296</v>
      </c>
      <c r="F6333" s="3" t="s">
        <v>13297</v>
      </c>
    </row>
    <row r="6334">
      <c r="A6334" s="3">
        <v>701.0</v>
      </c>
      <c r="B6334" s="3" t="s">
        <v>11280</v>
      </c>
      <c r="C6334" s="3" t="s">
        <v>11281</v>
      </c>
      <c r="D6334" s="3" t="s">
        <v>13298</v>
      </c>
      <c r="E6334" s="3" t="s">
        <v>13299</v>
      </c>
      <c r="F6334" s="3" t="s">
        <v>13300</v>
      </c>
    </row>
    <row r="6335">
      <c r="A6335" s="3">
        <v>702.0</v>
      </c>
      <c r="B6335" s="3" t="s">
        <v>11280</v>
      </c>
      <c r="C6335" s="3" t="s">
        <v>11281</v>
      </c>
      <c r="D6335" s="3" t="s">
        <v>13301</v>
      </c>
      <c r="E6335" s="3" t="s">
        <v>13302</v>
      </c>
      <c r="F6335" s="3" t="s">
        <v>13303</v>
      </c>
    </row>
    <row r="6336">
      <c r="A6336" s="3">
        <v>703.0</v>
      </c>
      <c r="B6336" s="3" t="s">
        <v>11280</v>
      </c>
      <c r="C6336" s="3" t="s">
        <v>11281</v>
      </c>
      <c r="D6336" s="3" t="s">
        <v>13304</v>
      </c>
      <c r="E6336" s="3" t="s">
        <v>13305</v>
      </c>
      <c r="F6336" s="3" t="s">
        <v>13306</v>
      </c>
    </row>
    <row r="6337">
      <c r="A6337" s="3">
        <v>704.0</v>
      </c>
      <c r="B6337" s="3" t="s">
        <v>11280</v>
      </c>
      <c r="C6337" s="3" t="s">
        <v>11281</v>
      </c>
      <c r="D6337" s="3" t="s">
        <v>13307</v>
      </c>
      <c r="E6337" s="3" t="s">
        <v>13308</v>
      </c>
      <c r="F6337" s="3" t="s">
        <v>13309</v>
      </c>
    </row>
    <row r="6338">
      <c r="A6338" s="3">
        <v>705.0</v>
      </c>
      <c r="B6338" s="3" t="s">
        <v>11280</v>
      </c>
      <c r="C6338" s="3" t="s">
        <v>11281</v>
      </c>
      <c r="D6338" s="3" t="s">
        <v>13310</v>
      </c>
      <c r="E6338" s="3" t="s">
        <v>13311</v>
      </c>
      <c r="F6338" s="3" t="s">
        <v>13312</v>
      </c>
    </row>
    <row r="6339">
      <c r="A6339" s="3">
        <v>706.0</v>
      </c>
      <c r="B6339" s="3" t="s">
        <v>11280</v>
      </c>
      <c r="C6339" s="3" t="s">
        <v>11281</v>
      </c>
      <c r="D6339" s="3" t="s">
        <v>6891</v>
      </c>
      <c r="E6339" s="3" t="s">
        <v>13313</v>
      </c>
      <c r="F6339" s="3" t="s">
        <v>13314</v>
      </c>
    </row>
    <row r="6340">
      <c r="A6340" s="3">
        <v>707.0</v>
      </c>
      <c r="B6340" s="3" t="s">
        <v>11280</v>
      </c>
      <c r="C6340" s="3" t="s">
        <v>11281</v>
      </c>
      <c r="D6340" s="3" t="s">
        <v>13315</v>
      </c>
      <c r="E6340" s="3" t="s">
        <v>13316</v>
      </c>
      <c r="F6340" s="3" t="s">
        <v>13317</v>
      </c>
    </row>
    <row r="6341">
      <c r="A6341" s="3">
        <v>708.0</v>
      </c>
      <c r="B6341" s="3" t="s">
        <v>11280</v>
      </c>
      <c r="C6341" s="3" t="s">
        <v>11281</v>
      </c>
      <c r="D6341" s="3" t="s">
        <v>13318</v>
      </c>
      <c r="E6341" s="3" t="s">
        <v>13319</v>
      </c>
      <c r="F6341" s="3" t="s">
        <v>969</v>
      </c>
    </row>
    <row r="6342">
      <c r="A6342" s="3">
        <v>709.0</v>
      </c>
      <c r="B6342" s="3" t="s">
        <v>11280</v>
      </c>
      <c r="C6342" s="3" t="s">
        <v>11281</v>
      </c>
      <c r="D6342" s="3" t="s">
        <v>13320</v>
      </c>
      <c r="E6342" s="3" t="s">
        <v>13321</v>
      </c>
      <c r="F6342" s="3" t="s">
        <v>13322</v>
      </c>
    </row>
    <row r="6343">
      <c r="A6343" s="3">
        <v>710.0</v>
      </c>
      <c r="B6343" s="3" t="s">
        <v>11280</v>
      </c>
      <c r="C6343" s="3" t="s">
        <v>11281</v>
      </c>
      <c r="D6343" s="3" t="s">
        <v>13323</v>
      </c>
      <c r="E6343" s="3" t="s">
        <v>13324</v>
      </c>
      <c r="F6343" s="3" t="s">
        <v>13325</v>
      </c>
    </row>
    <row r="6344">
      <c r="A6344" s="3">
        <v>711.0</v>
      </c>
      <c r="B6344" s="3" t="s">
        <v>11280</v>
      </c>
      <c r="C6344" s="3" t="s">
        <v>11281</v>
      </c>
      <c r="D6344" s="3" t="s">
        <v>13326</v>
      </c>
      <c r="E6344" s="3" t="s">
        <v>13327</v>
      </c>
      <c r="F6344" s="3" t="s">
        <v>13328</v>
      </c>
    </row>
    <row r="6345">
      <c r="A6345" s="3">
        <v>712.0</v>
      </c>
      <c r="B6345" s="3" t="s">
        <v>11280</v>
      </c>
      <c r="C6345" s="3" t="s">
        <v>11281</v>
      </c>
      <c r="D6345" s="3" t="s">
        <v>13329</v>
      </c>
      <c r="E6345" s="3" t="s">
        <v>13330</v>
      </c>
      <c r="F6345" s="3" t="s">
        <v>13331</v>
      </c>
    </row>
    <row r="6346">
      <c r="A6346" s="3">
        <v>713.0</v>
      </c>
      <c r="B6346" s="3" t="s">
        <v>11280</v>
      </c>
      <c r="C6346" s="3" t="s">
        <v>11281</v>
      </c>
      <c r="D6346" s="3" t="s">
        <v>13332</v>
      </c>
      <c r="E6346" s="3" t="s">
        <v>13333</v>
      </c>
      <c r="F6346" s="3" t="s">
        <v>13334</v>
      </c>
    </row>
    <row r="6347">
      <c r="A6347" s="3">
        <v>714.0</v>
      </c>
      <c r="B6347" s="3" t="s">
        <v>11280</v>
      </c>
      <c r="C6347" s="3" t="s">
        <v>11281</v>
      </c>
      <c r="D6347" s="3" t="s">
        <v>13335</v>
      </c>
      <c r="E6347" s="3" t="s">
        <v>13336</v>
      </c>
      <c r="F6347" s="3" t="s">
        <v>13337</v>
      </c>
    </row>
    <row r="6348">
      <c r="A6348" s="3">
        <v>715.0</v>
      </c>
      <c r="B6348" s="3" t="s">
        <v>11280</v>
      </c>
      <c r="C6348" s="3" t="s">
        <v>11281</v>
      </c>
      <c r="D6348" s="3" t="s">
        <v>13338</v>
      </c>
      <c r="E6348" s="3" t="s">
        <v>13339</v>
      </c>
      <c r="F6348" s="3" t="s">
        <v>13340</v>
      </c>
    </row>
    <row r="6349">
      <c r="A6349" s="3">
        <v>716.0</v>
      </c>
      <c r="B6349" s="3" t="s">
        <v>11280</v>
      </c>
      <c r="C6349" s="3" t="s">
        <v>11281</v>
      </c>
      <c r="D6349" s="3" t="s">
        <v>13341</v>
      </c>
      <c r="E6349" s="3" t="s">
        <v>13342</v>
      </c>
      <c r="F6349" s="3" t="s">
        <v>13343</v>
      </c>
    </row>
    <row r="6350">
      <c r="A6350" s="3">
        <v>717.0</v>
      </c>
      <c r="B6350" s="3" t="s">
        <v>11280</v>
      </c>
      <c r="C6350" s="3" t="s">
        <v>11281</v>
      </c>
      <c r="D6350" s="3" t="s">
        <v>13344</v>
      </c>
      <c r="E6350" s="3" t="s">
        <v>13345</v>
      </c>
      <c r="F6350" s="3" t="s">
        <v>13314</v>
      </c>
    </row>
    <row r="6351">
      <c r="A6351" s="3">
        <v>718.0</v>
      </c>
      <c r="B6351" s="3" t="s">
        <v>11280</v>
      </c>
      <c r="C6351" s="3" t="s">
        <v>11281</v>
      </c>
      <c r="D6351" s="3" t="s">
        <v>13346</v>
      </c>
      <c r="E6351" s="3" t="s">
        <v>13347</v>
      </c>
      <c r="F6351" s="3" t="s">
        <v>969</v>
      </c>
      <c r="G6351" s="3"/>
      <c r="H6351" s="3" t="s">
        <v>1049</v>
      </c>
      <c r="I6351" s="3" t="s">
        <v>13348</v>
      </c>
      <c r="J6351" s="3" t="s">
        <v>13349</v>
      </c>
      <c r="K6351" s="3" t="s">
        <v>13350</v>
      </c>
      <c r="L6351" s="3" t="s">
        <v>13351</v>
      </c>
      <c r="M6351" s="3" t="s">
        <v>13352</v>
      </c>
      <c r="N6351" s="3" t="s">
        <v>13353</v>
      </c>
      <c r="O6351" s="3" t="s">
        <v>6933</v>
      </c>
      <c r="P6351" s="3" t="s">
        <v>6291</v>
      </c>
      <c r="Q6351" s="3" t="s">
        <v>6932</v>
      </c>
      <c r="R6351" s="3" t="s">
        <v>13354</v>
      </c>
      <c r="S6351" s="3" t="s">
        <v>13355</v>
      </c>
      <c r="T6351" s="3" t="s">
        <v>1049</v>
      </c>
    </row>
    <row r="6352">
      <c r="A6352" s="3">
        <v>719.0</v>
      </c>
      <c r="B6352" s="3" t="s">
        <v>11280</v>
      </c>
      <c r="C6352" s="3" t="s">
        <v>11281</v>
      </c>
      <c r="D6352" s="3" t="s">
        <v>13356</v>
      </c>
      <c r="E6352" s="3" t="s">
        <v>13357</v>
      </c>
      <c r="F6352" s="3" t="s">
        <v>13314</v>
      </c>
    </row>
    <row r="6353">
      <c r="A6353" s="3">
        <v>720.0</v>
      </c>
      <c r="B6353" s="3" t="s">
        <v>11280</v>
      </c>
      <c r="C6353" s="3" t="s">
        <v>11281</v>
      </c>
      <c r="D6353" s="3" t="s">
        <v>13358</v>
      </c>
      <c r="E6353" s="3" t="s">
        <v>13359</v>
      </c>
      <c r="F6353" s="3" t="s">
        <v>13360</v>
      </c>
    </row>
    <row r="6354">
      <c r="A6354" s="3">
        <v>721.0</v>
      </c>
      <c r="B6354" s="3" t="s">
        <v>11280</v>
      </c>
      <c r="C6354" s="3" t="s">
        <v>11281</v>
      </c>
      <c r="D6354" s="3" t="s">
        <v>13361</v>
      </c>
      <c r="E6354" s="3" t="s">
        <v>13362</v>
      </c>
      <c r="F6354" s="3" t="s">
        <v>13363</v>
      </c>
    </row>
    <row r="6355">
      <c r="A6355" s="3">
        <v>722.0</v>
      </c>
      <c r="B6355" s="3" t="s">
        <v>11280</v>
      </c>
      <c r="C6355" s="3" t="s">
        <v>11281</v>
      </c>
      <c r="D6355" s="3" t="s">
        <v>13364</v>
      </c>
      <c r="E6355" s="3" t="s">
        <v>13365</v>
      </c>
      <c r="F6355" s="3" t="s">
        <v>13366</v>
      </c>
    </row>
    <row r="6356">
      <c r="A6356" s="3">
        <v>723.0</v>
      </c>
      <c r="B6356" s="3" t="s">
        <v>11280</v>
      </c>
      <c r="C6356" s="3" t="s">
        <v>11281</v>
      </c>
      <c r="D6356" s="3" t="s">
        <v>13367</v>
      </c>
      <c r="E6356" s="3" t="s">
        <v>13368</v>
      </c>
      <c r="F6356" s="3" t="s">
        <v>13369</v>
      </c>
    </row>
    <row r="6357">
      <c r="A6357" s="3">
        <v>724.0</v>
      </c>
      <c r="B6357" s="3" t="s">
        <v>11280</v>
      </c>
      <c r="C6357" s="3" t="s">
        <v>11281</v>
      </c>
      <c r="D6357" s="3" t="s">
        <v>13370</v>
      </c>
      <c r="E6357" s="3" t="s">
        <v>13371</v>
      </c>
      <c r="F6357" s="3" t="s">
        <v>13372</v>
      </c>
    </row>
    <row r="6358">
      <c r="A6358" s="3">
        <v>725.0</v>
      </c>
      <c r="B6358" s="3" t="s">
        <v>11280</v>
      </c>
      <c r="C6358" s="3" t="s">
        <v>11281</v>
      </c>
      <c r="D6358" s="3" t="s">
        <v>13373</v>
      </c>
      <c r="E6358" s="3" t="s">
        <v>13374</v>
      </c>
      <c r="F6358" s="3" t="s">
        <v>13375</v>
      </c>
    </row>
    <row r="6359">
      <c r="A6359" s="3">
        <v>726.0</v>
      </c>
      <c r="B6359" s="3" t="s">
        <v>11280</v>
      </c>
      <c r="C6359" s="3" t="s">
        <v>11281</v>
      </c>
      <c r="D6359" s="3" t="s">
        <v>1072</v>
      </c>
      <c r="E6359" s="3" t="s">
        <v>1073</v>
      </c>
      <c r="F6359" s="3" t="s">
        <v>1074</v>
      </c>
      <c r="G6359" s="3"/>
      <c r="H6359" s="3" t="s">
        <v>13376</v>
      </c>
      <c r="I6359" s="3" t="s">
        <v>13377</v>
      </c>
      <c r="J6359" s="3" t="s">
        <v>2943</v>
      </c>
      <c r="K6359" s="3" t="s">
        <v>13378</v>
      </c>
      <c r="L6359" s="3" t="s">
        <v>13379</v>
      </c>
      <c r="M6359" s="3" t="s">
        <v>13380</v>
      </c>
      <c r="N6359" s="3" t="s">
        <v>13381</v>
      </c>
      <c r="O6359" s="3" t="s">
        <v>13382</v>
      </c>
    </row>
    <row r="6360">
      <c r="A6360" s="3">
        <v>727.0</v>
      </c>
      <c r="B6360" s="3" t="s">
        <v>11280</v>
      </c>
      <c r="C6360" s="3" t="s">
        <v>11281</v>
      </c>
      <c r="D6360" s="3" t="s">
        <v>6899</v>
      </c>
      <c r="E6360" s="3" t="s">
        <v>1078</v>
      </c>
      <c r="F6360" s="3" t="s">
        <v>1079</v>
      </c>
      <c r="G6360" s="3"/>
      <c r="H6360" s="3" t="s">
        <v>13383</v>
      </c>
      <c r="I6360" s="3" t="s">
        <v>13384</v>
      </c>
    </row>
    <row r="6361">
      <c r="A6361" s="3">
        <v>728.0</v>
      </c>
      <c r="B6361" s="3" t="s">
        <v>11280</v>
      </c>
      <c r="C6361" s="3" t="s">
        <v>11281</v>
      </c>
      <c r="D6361" s="3" t="s">
        <v>13385</v>
      </c>
      <c r="E6361" s="3" t="s">
        <v>13386</v>
      </c>
      <c r="F6361" s="3" t="s">
        <v>13387</v>
      </c>
    </row>
    <row r="6362">
      <c r="A6362" s="3">
        <v>729.0</v>
      </c>
      <c r="B6362" s="3" t="s">
        <v>11280</v>
      </c>
      <c r="C6362" s="3" t="s">
        <v>11281</v>
      </c>
      <c r="D6362" s="3" t="s">
        <v>13388</v>
      </c>
      <c r="E6362" s="3" t="s">
        <v>13389</v>
      </c>
      <c r="F6362" s="3" t="s">
        <v>13390</v>
      </c>
    </row>
    <row r="6363">
      <c r="A6363" s="3">
        <v>730.0</v>
      </c>
      <c r="B6363" s="3" t="s">
        <v>11280</v>
      </c>
      <c r="C6363" s="3" t="s">
        <v>11281</v>
      </c>
      <c r="D6363" s="3" t="s">
        <v>13391</v>
      </c>
      <c r="E6363" s="3" t="s">
        <v>13392</v>
      </c>
      <c r="F6363" s="3" t="s">
        <v>13393</v>
      </c>
    </row>
    <row r="6364">
      <c r="A6364" s="3">
        <v>731.0</v>
      </c>
      <c r="B6364" s="3" t="s">
        <v>11280</v>
      </c>
      <c r="C6364" s="3" t="s">
        <v>11281</v>
      </c>
      <c r="D6364" s="3" t="s">
        <v>13394</v>
      </c>
      <c r="E6364" s="3" t="s">
        <v>13395</v>
      </c>
      <c r="F6364" s="3" t="s">
        <v>13396</v>
      </c>
    </row>
    <row r="6365">
      <c r="A6365" s="3">
        <v>732.0</v>
      </c>
      <c r="B6365" s="3" t="s">
        <v>11280</v>
      </c>
      <c r="C6365" s="3" t="s">
        <v>11281</v>
      </c>
      <c r="D6365" s="3" t="s">
        <v>13397</v>
      </c>
      <c r="E6365" s="3" t="s">
        <v>13398</v>
      </c>
      <c r="F6365" s="3" t="s">
        <v>13399</v>
      </c>
    </row>
    <row r="6366">
      <c r="A6366" s="3">
        <v>733.0</v>
      </c>
      <c r="B6366" s="3" t="s">
        <v>11280</v>
      </c>
      <c r="C6366" s="3" t="s">
        <v>11281</v>
      </c>
      <c r="D6366" s="3" t="s">
        <v>13400</v>
      </c>
      <c r="E6366" s="3" t="s">
        <v>13401</v>
      </c>
      <c r="F6366" s="3" t="s">
        <v>13402</v>
      </c>
    </row>
    <row r="6367">
      <c r="A6367" s="3">
        <v>734.0</v>
      </c>
      <c r="B6367" s="3" t="s">
        <v>11280</v>
      </c>
      <c r="C6367" s="3" t="s">
        <v>11281</v>
      </c>
      <c r="D6367" s="3" t="s">
        <v>13403</v>
      </c>
      <c r="E6367" s="3" t="s">
        <v>13404</v>
      </c>
      <c r="F6367" s="3" t="s">
        <v>13405</v>
      </c>
    </row>
    <row r="6368">
      <c r="A6368" s="3">
        <v>735.0</v>
      </c>
      <c r="B6368" s="3" t="s">
        <v>11280</v>
      </c>
      <c r="C6368" s="3" t="s">
        <v>11281</v>
      </c>
      <c r="D6368" s="3" t="s">
        <v>13406</v>
      </c>
      <c r="E6368" s="3" t="s">
        <v>13407</v>
      </c>
      <c r="F6368" s="3" t="s">
        <v>13408</v>
      </c>
      <c r="G6368" s="3"/>
      <c r="H6368" s="3" t="s">
        <v>8040</v>
      </c>
    </row>
    <row r="6369">
      <c r="A6369" s="3">
        <v>736.0</v>
      </c>
      <c r="B6369" s="3" t="s">
        <v>11280</v>
      </c>
      <c r="C6369" s="3" t="s">
        <v>11281</v>
      </c>
      <c r="D6369" s="3" t="s">
        <v>13409</v>
      </c>
      <c r="E6369" s="3" t="s">
        <v>13410</v>
      </c>
      <c r="F6369" s="3" t="s">
        <v>13411</v>
      </c>
    </row>
    <row r="6370">
      <c r="A6370" s="3">
        <v>737.0</v>
      </c>
      <c r="B6370" s="3" t="s">
        <v>11280</v>
      </c>
      <c r="C6370" s="3" t="s">
        <v>11281</v>
      </c>
      <c r="D6370" s="3" t="s">
        <v>13412</v>
      </c>
      <c r="E6370" s="3" t="s">
        <v>13413</v>
      </c>
      <c r="F6370" s="3" t="s">
        <v>13414</v>
      </c>
      <c r="G6370" s="3"/>
      <c r="H6370" s="3" t="s">
        <v>13415</v>
      </c>
      <c r="I6370" s="3" t="s">
        <v>13416</v>
      </c>
      <c r="J6370" s="3" t="s">
        <v>13417</v>
      </c>
      <c r="K6370" s="3" t="s">
        <v>13418</v>
      </c>
      <c r="L6370" s="3" t="s">
        <v>13419</v>
      </c>
      <c r="M6370" s="3" t="s">
        <v>13420</v>
      </c>
    </row>
    <row r="6371">
      <c r="A6371" s="3">
        <v>738.0</v>
      </c>
      <c r="B6371" s="3" t="s">
        <v>11280</v>
      </c>
      <c r="C6371" s="3" t="s">
        <v>11281</v>
      </c>
      <c r="D6371" s="3" t="s">
        <v>13421</v>
      </c>
      <c r="E6371" s="3" t="s">
        <v>13422</v>
      </c>
      <c r="F6371" s="3" t="s">
        <v>13423</v>
      </c>
    </row>
    <row r="6372">
      <c r="A6372" s="3">
        <v>739.0</v>
      </c>
      <c r="B6372" s="3" t="s">
        <v>11280</v>
      </c>
      <c r="C6372" s="3" t="s">
        <v>11281</v>
      </c>
      <c r="D6372" s="3" t="s">
        <v>13424</v>
      </c>
      <c r="E6372" s="3" t="s">
        <v>13425</v>
      </c>
      <c r="F6372" s="3" t="s">
        <v>13426</v>
      </c>
    </row>
    <row r="6373">
      <c r="A6373" s="3">
        <v>740.0</v>
      </c>
      <c r="B6373" s="3" t="s">
        <v>11280</v>
      </c>
      <c r="C6373" s="3" t="s">
        <v>11281</v>
      </c>
      <c r="D6373" s="3" t="s">
        <v>13427</v>
      </c>
      <c r="E6373" s="3" t="s">
        <v>13428</v>
      </c>
      <c r="F6373" s="3" t="s">
        <v>13429</v>
      </c>
    </row>
    <row r="6374">
      <c r="A6374" s="3">
        <v>741.0</v>
      </c>
      <c r="B6374" s="3" t="s">
        <v>11280</v>
      </c>
      <c r="C6374" s="3" t="s">
        <v>11281</v>
      </c>
      <c r="D6374" s="3" t="s">
        <v>6901</v>
      </c>
      <c r="E6374" s="3" t="s">
        <v>1093</v>
      </c>
      <c r="F6374" s="3" t="s">
        <v>1094</v>
      </c>
    </row>
    <row r="6375">
      <c r="A6375" s="3">
        <v>742.0</v>
      </c>
      <c r="B6375" s="3" t="s">
        <v>11280</v>
      </c>
      <c r="C6375" s="3" t="s">
        <v>11281</v>
      </c>
      <c r="D6375" s="3" t="s">
        <v>13430</v>
      </c>
      <c r="E6375" s="3" t="s">
        <v>13431</v>
      </c>
      <c r="F6375" s="3" t="s">
        <v>13432</v>
      </c>
    </row>
    <row r="6376">
      <c r="A6376" s="3">
        <v>743.0</v>
      </c>
      <c r="B6376" s="3" t="s">
        <v>11280</v>
      </c>
      <c r="C6376" s="3" t="s">
        <v>11281</v>
      </c>
      <c r="D6376" s="3" t="s">
        <v>13433</v>
      </c>
      <c r="E6376" s="3" t="s">
        <v>13434</v>
      </c>
      <c r="F6376" s="3" t="s">
        <v>13435</v>
      </c>
    </row>
    <row r="6377">
      <c r="A6377" s="3">
        <v>744.0</v>
      </c>
      <c r="B6377" s="3" t="s">
        <v>11280</v>
      </c>
      <c r="C6377" s="3" t="s">
        <v>11281</v>
      </c>
      <c r="D6377" s="3" t="s">
        <v>13436</v>
      </c>
      <c r="E6377" s="3" t="s">
        <v>13437</v>
      </c>
      <c r="F6377" s="3" t="s">
        <v>13438</v>
      </c>
      <c r="G6377" s="3"/>
      <c r="H6377" s="3" t="s">
        <v>13439</v>
      </c>
      <c r="I6377" s="3" t="s">
        <v>13436</v>
      </c>
    </row>
    <row r="6378">
      <c r="A6378" s="3">
        <v>745.0</v>
      </c>
      <c r="B6378" s="3" t="s">
        <v>11280</v>
      </c>
      <c r="C6378" s="3" t="s">
        <v>11281</v>
      </c>
      <c r="D6378" s="3" t="s">
        <v>13440</v>
      </c>
      <c r="E6378" s="3" t="s">
        <v>13441</v>
      </c>
      <c r="F6378" s="3" t="s">
        <v>13442</v>
      </c>
    </row>
    <row r="6379">
      <c r="A6379" s="3">
        <v>746.0</v>
      </c>
      <c r="B6379" s="3" t="s">
        <v>11280</v>
      </c>
      <c r="C6379" s="3" t="s">
        <v>11281</v>
      </c>
      <c r="D6379" s="3" t="s">
        <v>13443</v>
      </c>
      <c r="E6379" s="3" t="s">
        <v>13444</v>
      </c>
      <c r="F6379" s="3" t="s">
        <v>13445</v>
      </c>
    </row>
    <row r="6380">
      <c r="A6380" s="3">
        <v>747.0</v>
      </c>
      <c r="B6380" s="3" t="s">
        <v>11280</v>
      </c>
      <c r="C6380" s="3" t="s">
        <v>11281</v>
      </c>
      <c r="D6380" s="3" t="s">
        <v>13446</v>
      </c>
      <c r="E6380" s="3" t="s">
        <v>13447</v>
      </c>
      <c r="F6380" s="3" t="s">
        <v>13448</v>
      </c>
    </row>
    <row r="6381">
      <c r="A6381" s="3">
        <v>748.0</v>
      </c>
      <c r="B6381" s="3" t="s">
        <v>11280</v>
      </c>
      <c r="C6381" s="3" t="s">
        <v>11281</v>
      </c>
      <c r="D6381" s="3" t="s">
        <v>13449</v>
      </c>
      <c r="E6381" s="3" t="s">
        <v>13450</v>
      </c>
      <c r="F6381" s="3" t="s">
        <v>13451</v>
      </c>
    </row>
    <row r="6382">
      <c r="A6382" s="3">
        <v>749.0</v>
      </c>
      <c r="B6382" s="3" t="s">
        <v>11280</v>
      </c>
      <c r="C6382" s="3" t="s">
        <v>11281</v>
      </c>
      <c r="D6382" s="3" t="s">
        <v>13452</v>
      </c>
      <c r="E6382" s="3" t="s">
        <v>6905</v>
      </c>
      <c r="F6382" s="3" t="s">
        <v>1120</v>
      </c>
    </row>
    <row r="6383">
      <c r="A6383" s="3">
        <v>750.0</v>
      </c>
      <c r="B6383" s="3" t="s">
        <v>11280</v>
      </c>
      <c r="C6383" s="3" t="s">
        <v>11281</v>
      </c>
      <c r="D6383" s="3" t="s">
        <v>13453</v>
      </c>
      <c r="E6383" s="3" t="s">
        <v>6908</v>
      </c>
      <c r="F6383" s="3" t="s">
        <v>1129</v>
      </c>
    </row>
    <row r="6384">
      <c r="A6384" s="3">
        <v>751.0</v>
      </c>
      <c r="B6384" s="3" t="s">
        <v>11280</v>
      </c>
      <c r="C6384" s="3" t="s">
        <v>11281</v>
      </c>
      <c r="D6384" s="3" t="s">
        <v>13454</v>
      </c>
      <c r="E6384" s="3" t="s">
        <v>13455</v>
      </c>
      <c r="F6384" s="3" t="s">
        <v>13456</v>
      </c>
      <c r="G6384" s="3"/>
      <c r="H6384" s="3" t="s">
        <v>13457</v>
      </c>
    </row>
    <row r="6385">
      <c r="A6385" s="3">
        <v>752.0</v>
      </c>
      <c r="B6385" s="3" t="s">
        <v>11280</v>
      </c>
      <c r="C6385" s="3" t="s">
        <v>11281</v>
      </c>
      <c r="D6385" s="3" t="s">
        <v>13458</v>
      </c>
      <c r="E6385" s="3" t="s">
        <v>13459</v>
      </c>
      <c r="F6385" s="3" t="s">
        <v>13460</v>
      </c>
    </row>
    <row r="6386">
      <c r="A6386" s="3">
        <v>753.0</v>
      </c>
      <c r="B6386" s="3" t="s">
        <v>11280</v>
      </c>
      <c r="C6386" s="3" t="s">
        <v>11281</v>
      </c>
      <c r="D6386" s="3" t="s">
        <v>13461</v>
      </c>
      <c r="E6386" s="3" t="s">
        <v>13462</v>
      </c>
      <c r="F6386" s="3" t="s">
        <v>13463</v>
      </c>
    </row>
    <row r="6387">
      <c r="A6387" s="3">
        <v>754.0</v>
      </c>
      <c r="B6387" s="3" t="s">
        <v>11280</v>
      </c>
      <c r="C6387" s="3" t="s">
        <v>11281</v>
      </c>
      <c r="D6387" s="3" t="s">
        <v>13464</v>
      </c>
      <c r="E6387" s="3" t="s">
        <v>13465</v>
      </c>
      <c r="F6387" s="3" t="s">
        <v>13466</v>
      </c>
    </row>
    <row r="6388">
      <c r="A6388" s="3">
        <v>755.0</v>
      </c>
      <c r="B6388" s="3" t="s">
        <v>11280</v>
      </c>
      <c r="C6388" s="3" t="s">
        <v>11281</v>
      </c>
      <c r="D6388" s="3" t="s">
        <v>13467</v>
      </c>
      <c r="E6388" s="3" t="s">
        <v>13468</v>
      </c>
      <c r="F6388" s="3" t="s">
        <v>13469</v>
      </c>
      <c r="G6388" s="3"/>
      <c r="H6388" s="3" t="s">
        <v>13470</v>
      </c>
      <c r="I6388" s="3" t="s">
        <v>13471</v>
      </c>
      <c r="J6388" s="3" t="s">
        <v>13472</v>
      </c>
      <c r="K6388" s="3" t="s">
        <v>13473</v>
      </c>
      <c r="L6388" s="3" t="s">
        <v>13474</v>
      </c>
      <c r="M6388" s="3" t="s">
        <v>13475</v>
      </c>
      <c r="N6388" s="3" t="s">
        <v>13476</v>
      </c>
      <c r="O6388" s="3" t="s">
        <v>13477</v>
      </c>
      <c r="P6388" s="3" t="s">
        <v>13478</v>
      </c>
    </row>
    <row r="6389">
      <c r="A6389" s="3">
        <v>756.0</v>
      </c>
      <c r="B6389" s="3" t="s">
        <v>11280</v>
      </c>
      <c r="C6389" s="3" t="s">
        <v>11281</v>
      </c>
      <c r="D6389" s="3" t="s">
        <v>13479</v>
      </c>
      <c r="E6389" s="3" t="s">
        <v>13480</v>
      </c>
      <c r="F6389" s="3" t="s">
        <v>13481</v>
      </c>
    </row>
    <row r="6390">
      <c r="A6390" s="3">
        <v>757.0</v>
      </c>
      <c r="B6390" s="3" t="s">
        <v>11280</v>
      </c>
      <c r="C6390" s="3" t="s">
        <v>11281</v>
      </c>
      <c r="D6390" s="3" t="s">
        <v>13482</v>
      </c>
      <c r="E6390" s="3" t="s">
        <v>13483</v>
      </c>
      <c r="F6390" s="3" t="s">
        <v>13484</v>
      </c>
    </row>
    <row r="6391">
      <c r="A6391" s="3">
        <v>758.0</v>
      </c>
      <c r="B6391" s="3" t="s">
        <v>11280</v>
      </c>
      <c r="C6391" s="3" t="s">
        <v>11281</v>
      </c>
      <c r="D6391" s="3" t="s">
        <v>13485</v>
      </c>
      <c r="E6391" s="3" t="s">
        <v>13486</v>
      </c>
      <c r="F6391" s="3" t="s">
        <v>13487</v>
      </c>
    </row>
    <row r="6392">
      <c r="A6392" s="3">
        <v>759.0</v>
      </c>
      <c r="B6392" s="3" t="s">
        <v>11280</v>
      </c>
      <c r="C6392" s="3" t="s">
        <v>11281</v>
      </c>
      <c r="D6392" s="3" t="s">
        <v>13488</v>
      </c>
      <c r="E6392" s="3" t="s">
        <v>13489</v>
      </c>
      <c r="F6392" s="3" t="s">
        <v>13490</v>
      </c>
    </row>
    <row r="6393">
      <c r="A6393" s="3">
        <v>760.0</v>
      </c>
      <c r="B6393" s="3" t="s">
        <v>11280</v>
      </c>
      <c r="C6393" s="3" t="s">
        <v>11281</v>
      </c>
      <c r="D6393" s="3" t="s">
        <v>13491</v>
      </c>
      <c r="E6393" s="3" t="s">
        <v>13492</v>
      </c>
      <c r="F6393" s="3" t="s">
        <v>13493</v>
      </c>
    </row>
    <row r="6394">
      <c r="A6394" s="3">
        <v>761.0</v>
      </c>
      <c r="B6394" s="3" t="s">
        <v>11280</v>
      </c>
      <c r="C6394" s="3" t="s">
        <v>11281</v>
      </c>
      <c r="D6394" s="3" t="s">
        <v>13494</v>
      </c>
      <c r="E6394" s="3" t="s">
        <v>13495</v>
      </c>
      <c r="F6394" s="3" t="s">
        <v>13496</v>
      </c>
    </row>
    <row r="6395">
      <c r="A6395" s="3">
        <v>762.0</v>
      </c>
      <c r="B6395" s="3" t="s">
        <v>11280</v>
      </c>
      <c r="C6395" s="3" t="s">
        <v>11281</v>
      </c>
      <c r="D6395" s="3" t="s">
        <v>13497</v>
      </c>
      <c r="E6395" s="3" t="s">
        <v>13498</v>
      </c>
      <c r="F6395" s="3" t="s">
        <v>13499</v>
      </c>
    </row>
    <row r="6396">
      <c r="A6396" s="3">
        <v>763.0</v>
      </c>
      <c r="B6396" s="3" t="s">
        <v>11280</v>
      </c>
      <c r="C6396" s="3" t="s">
        <v>11281</v>
      </c>
      <c r="D6396" s="3" t="s">
        <v>13500</v>
      </c>
      <c r="E6396" s="3" t="s">
        <v>13501</v>
      </c>
      <c r="F6396" s="3" t="s">
        <v>13502</v>
      </c>
    </row>
    <row r="6397">
      <c r="A6397" s="3">
        <v>764.0</v>
      </c>
      <c r="B6397" s="3" t="s">
        <v>11280</v>
      </c>
      <c r="C6397" s="3" t="s">
        <v>11281</v>
      </c>
      <c r="D6397" s="3" t="s">
        <v>6911</v>
      </c>
      <c r="E6397" s="3" t="s">
        <v>1139</v>
      </c>
      <c r="F6397" s="3" t="s">
        <v>1140</v>
      </c>
      <c r="G6397" s="3"/>
      <c r="H6397" s="3" t="s">
        <v>2037</v>
      </c>
    </row>
    <row r="6398">
      <c r="A6398" s="3">
        <v>765.0</v>
      </c>
      <c r="B6398" s="3" t="s">
        <v>11280</v>
      </c>
      <c r="C6398" s="3" t="s">
        <v>11281</v>
      </c>
      <c r="D6398" s="3" t="s">
        <v>13503</v>
      </c>
      <c r="E6398" s="3" t="s">
        <v>13504</v>
      </c>
      <c r="F6398" s="3" t="s">
        <v>13505</v>
      </c>
    </row>
    <row r="6399">
      <c r="A6399" s="3">
        <v>766.0</v>
      </c>
      <c r="B6399" s="3" t="s">
        <v>11280</v>
      </c>
      <c r="C6399" s="3" t="s">
        <v>11281</v>
      </c>
      <c r="D6399" s="3" t="s">
        <v>13506</v>
      </c>
      <c r="E6399" s="3" t="s">
        <v>13507</v>
      </c>
      <c r="F6399" s="3" t="s">
        <v>13508</v>
      </c>
    </row>
    <row r="6400">
      <c r="A6400" s="3">
        <v>767.0</v>
      </c>
      <c r="B6400" s="3" t="s">
        <v>11280</v>
      </c>
      <c r="C6400" s="3" t="s">
        <v>11281</v>
      </c>
      <c r="D6400" s="3" t="s">
        <v>6912</v>
      </c>
      <c r="E6400" s="3" t="s">
        <v>1148</v>
      </c>
      <c r="F6400" s="3" t="s">
        <v>1149</v>
      </c>
    </row>
    <row r="6401">
      <c r="A6401" s="3">
        <v>768.0</v>
      </c>
      <c r="B6401" s="3" t="s">
        <v>11280</v>
      </c>
      <c r="C6401" s="3" t="s">
        <v>11281</v>
      </c>
      <c r="D6401" s="3" t="s">
        <v>13509</v>
      </c>
      <c r="E6401" s="3" t="s">
        <v>13510</v>
      </c>
      <c r="F6401" s="3" t="s">
        <v>13511</v>
      </c>
    </row>
    <row r="6402">
      <c r="A6402" s="3">
        <v>769.0</v>
      </c>
      <c r="B6402" s="3" t="s">
        <v>11280</v>
      </c>
      <c r="C6402" s="3" t="s">
        <v>11281</v>
      </c>
      <c r="D6402" s="3" t="s">
        <v>13512</v>
      </c>
      <c r="E6402" s="3" t="s">
        <v>13513</v>
      </c>
      <c r="F6402" s="3" t="s">
        <v>13514</v>
      </c>
    </row>
    <row r="6403">
      <c r="A6403" s="3">
        <v>770.0</v>
      </c>
      <c r="B6403" s="3" t="s">
        <v>11280</v>
      </c>
      <c r="C6403" s="3" t="s">
        <v>11281</v>
      </c>
      <c r="D6403" s="3" t="s">
        <v>13515</v>
      </c>
      <c r="E6403" s="3" t="s">
        <v>13516</v>
      </c>
      <c r="F6403" s="3" t="s">
        <v>13517</v>
      </c>
    </row>
    <row r="6404">
      <c r="A6404" s="3">
        <v>771.0</v>
      </c>
      <c r="B6404" s="3" t="s">
        <v>11280</v>
      </c>
      <c r="C6404" s="3" t="s">
        <v>11281</v>
      </c>
      <c r="D6404" s="3" t="s">
        <v>13518</v>
      </c>
      <c r="E6404" s="3" t="s">
        <v>13519</v>
      </c>
      <c r="F6404" s="3" t="s">
        <v>13520</v>
      </c>
    </row>
    <row r="6405">
      <c r="A6405" s="3">
        <v>772.0</v>
      </c>
      <c r="B6405" s="3" t="s">
        <v>11280</v>
      </c>
      <c r="C6405" s="3" t="s">
        <v>11281</v>
      </c>
      <c r="D6405" s="3" t="s">
        <v>13521</v>
      </c>
      <c r="E6405" s="3" t="s">
        <v>13522</v>
      </c>
      <c r="F6405" s="3" t="s">
        <v>13523</v>
      </c>
    </row>
    <row r="6406">
      <c r="A6406" s="3">
        <v>773.0</v>
      </c>
      <c r="B6406" s="3" t="s">
        <v>11280</v>
      </c>
      <c r="C6406" s="3" t="s">
        <v>11281</v>
      </c>
      <c r="D6406" s="3" t="s">
        <v>13524</v>
      </c>
      <c r="E6406" s="3" t="s">
        <v>13525</v>
      </c>
      <c r="F6406" s="3" t="s">
        <v>13526</v>
      </c>
    </row>
    <row r="6407">
      <c r="A6407" s="3">
        <v>774.0</v>
      </c>
      <c r="B6407" s="3" t="s">
        <v>11280</v>
      </c>
      <c r="C6407" s="3" t="s">
        <v>11281</v>
      </c>
      <c r="D6407" s="3" t="s">
        <v>13527</v>
      </c>
      <c r="E6407" s="3" t="s">
        <v>13528</v>
      </c>
      <c r="F6407" s="3" t="s">
        <v>13529</v>
      </c>
      <c r="G6407" s="3"/>
      <c r="H6407" s="3" t="s">
        <v>13530</v>
      </c>
      <c r="I6407" s="3" t="s">
        <v>13531</v>
      </c>
      <c r="J6407" s="3" t="s">
        <v>13530</v>
      </c>
      <c r="K6407" s="3" t="s">
        <v>13532</v>
      </c>
      <c r="L6407" s="3" t="s">
        <v>13530</v>
      </c>
    </row>
    <row r="6408">
      <c r="A6408" s="3">
        <v>775.0</v>
      </c>
      <c r="B6408" s="3" t="s">
        <v>11280</v>
      </c>
      <c r="C6408" s="3" t="s">
        <v>11281</v>
      </c>
      <c r="D6408" s="3" t="s">
        <v>13533</v>
      </c>
      <c r="E6408" s="3" t="s">
        <v>13534</v>
      </c>
      <c r="F6408" s="3" t="s">
        <v>13535</v>
      </c>
    </row>
    <row r="6409">
      <c r="A6409" s="3">
        <v>776.0</v>
      </c>
      <c r="B6409" s="3" t="s">
        <v>11280</v>
      </c>
      <c r="C6409" s="3" t="s">
        <v>11281</v>
      </c>
      <c r="D6409" s="3" t="s">
        <v>13536</v>
      </c>
      <c r="E6409" s="3" t="s">
        <v>13537</v>
      </c>
      <c r="F6409" s="3" t="s">
        <v>13538</v>
      </c>
    </row>
    <row r="6410">
      <c r="A6410" s="3">
        <v>777.0</v>
      </c>
      <c r="B6410" s="3" t="s">
        <v>11280</v>
      </c>
      <c r="C6410" s="3" t="s">
        <v>11281</v>
      </c>
      <c r="D6410" s="3" t="s">
        <v>13539</v>
      </c>
      <c r="E6410" s="3" t="s">
        <v>13540</v>
      </c>
      <c r="F6410" s="3" t="s">
        <v>13541</v>
      </c>
    </row>
    <row r="6411">
      <c r="A6411" s="3">
        <v>778.0</v>
      </c>
      <c r="B6411" s="3" t="s">
        <v>11280</v>
      </c>
      <c r="C6411" s="3" t="s">
        <v>11281</v>
      </c>
      <c r="D6411" s="3" t="s">
        <v>13542</v>
      </c>
      <c r="E6411" s="3" t="s">
        <v>13543</v>
      </c>
      <c r="F6411" s="3" t="s">
        <v>13544</v>
      </c>
    </row>
    <row r="6412">
      <c r="A6412" s="3">
        <v>779.0</v>
      </c>
      <c r="B6412" s="3" t="s">
        <v>11280</v>
      </c>
      <c r="C6412" s="3" t="s">
        <v>11281</v>
      </c>
      <c r="D6412" s="3" t="s">
        <v>13545</v>
      </c>
      <c r="E6412" s="3" t="s">
        <v>13546</v>
      </c>
      <c r="F6412" s="3" t="s">
        <v>13547</v>
      </c>
      <c r="G6412" s="3"/>
      <c r="H6412" s="3" t="s">
        <v>13548</v>
      </c>
      <c r="I6412" s="3" t="s">
        <v>13549</v>
      </c>
      <c r="J6412" s="3" t="s">
        <v>13532</v>
      </c>
      <c r="K6412" s="3" t="s">
        <v>13550</v>
      </c>
    </row>
    <row r="6413">
      <c r="A6413" s="3">
        <v>780.0</v>
      </c>
      <c r="B6413" s="3" t="s">
        <v>11280</v>
      </c>
      <c r="C6413" s="3" t="s">
        <v>11281</v>
      </c>
      <c r="D6413" s="3" t="s">
        <v>13551</v>
      </c>
      <c r="E6413" s="3" t="s">
        <v>13552</v>
      </c>
      <c r="F6413" s="3" t="s">
        <v>13553</v>
      </c>
    </row>
    <row r="6414">
      <c r="A6414" s="3">
        <v>781.0</v>
      </c>
      <c r="B6414" s="3" t="s">
        <v>11280</v>
      </c>
      <c r="C6414" s="3" t="s">
        <v>11281</v>
      </c>
      <c r="D6414" s="3" t="s">
        <v>13554</v>
      </c>
      <c r="E6414" s="3" t="s">
        <v>13555</v>
      </c>
      <c r="F6414" s="3" t="s">
        <v>13556</v>
      </c>
      <c r="G6414" s="3"/>
      <c r="H6414" s="3" t="s">
        <v>13557</v>
      </c>
    </row>
    <row r="6415">
      <c r="A6415" s="3">
        <v>782.0</v>
      </c>
      <c r="B6415" s="3" t="s">
        <v>11280</v>
      </c>
      <c r="C6415" s="3" t="s">
        <v>11281</v>
      </c>
      <c r="D6415" s="3" t="s">
        <v>13558</v>
      </c>
      <c r="E6415" s="3" t="s">
        <v>13559</v>
      </c>
      <c r="F6415" s="3" t="s">
        <v>13560</v>
      </c>
    </row>
    <row r="6416">
      <c r="A6416" s="3">
        <v>783.0</v>
      </c>
      <c r="B6416" s="3" t="s">
        <v>11280</v>
      </c>
      <c r="C6416" s="3" t="s">
        <v>11281</v>
      </c>
      <c r="D6416" s="3" t="s">
        <v>13561</v>
      </c>
      <c r="E6416" s="3" t="s">
        <v>13562</v>
      </c>
      <c r="F6416" s="3" t="s">
        <v>13563</v>
      </c>
    </row>
    <row r="6417">
      <c r="A6417" s="3">
        <v>784.0</v>
      </c>
      <c r="B6417" s="3" t="s">
        <v>11280</v>
      </c>
      <c r="C6417" s="3" t="s">
        <v>11281</v>
      </c>
      <c r="D6417" s="3" t="s">
        <v>13564</v>
      </c>
      <c r="E6417" s="3" t="s">
        <v>13565</v>
      </c>
      <c r="F6417" s="3" t="s">
        <v>13566</v>
      </c>
    </row>
    <row r="6418">
      <c r="A6418" s="3">
        <v>785.0</v>
      </c>
      <c r="B6418" s="3" t="s">
        <v>11280</v>
      </c>
      <c r="C6418" s="3" t="s">
        <v>11281</v>
      </c>
      <c r="D6418" s="3" t="s">
        <v>13567</v>
      </c>
      <c r="E6418" s="3" t="s">
        <v>13568</v>
      </c>
      <c r="F6418" s="3" t="s">
        <v>13569</v>
      </c>
    </row>
    <row r="6419">
      <c r="A6419" s="3">
        <v>786.0</v>
      </c>
      <c r="B6419" s="3" t="s">
        <v>11280</v>
      </c>
      <c r="C6419" s="3" t="s">
        <v>11281</v>
      </c>
      <c r="D6419" s="3" t="s">
        <v>13570</v>
      </c>
      <c r="E6419" s="3" t="s">
        <v>13571</v>
      </c>
      <c r="F6419" s="3" t="s">
        <v>13572</v>
      </c>
    </row>
    <row r="6420">
      <c r="A6420" s="3">
        <v>787.0</v>
      </c>
      <c r="B6420" s="3" t="s">
        <v>11280</v>
      </c>
      <c r="C6420" s="3" t="s">
        <v>11281</v>
      </c>
      <c r="D6420" s="3" t="s">
        <v>13573</v>
      </c>
      <c r="E6420" s="3" t="s">
        <v>1204</v>
      </c>
      <c r="F6420" s="3" t="s">
        <v>1205</v>
      </c>
      <c r="G6420" s="3"/>
      <c r="H6420" s="3" t="s">
        <v>264</v>
      </c>
      <c r="I6420" s="3" t="s">
        <v>13574</v>
      </c>
      <c r="J6420" s="3" t="s">
        <v>13575</v>
      </c>
    </row>
    <row r="6421">
      <c r="A6421" s="3">
        <v>788.0</v>
      </c>
      <c r="B6421" s="3" t="s">
        <v>11280</v>
      </c>
      <c r="C6421" s="3" t="s">
        <v>11281</v>
      </c>
      <c r="D6421" s="3" t="s">
        <v>6914</v>
      </c>
      <c r="E6421" s="3" t="s">
        <v>1162</v>
      </c>
      <c r="F6421" s="3" t="s">
        <v>1163</v>
      </c>
      <c r="G6421" s="3"/>
      <c r="H6421" s="3" t="s">
        <v>13576</v>
      </c>
      <c r="I6421" s="3" t="s">
        <v>13577</v>
      </c>
    </row>
    <row r="6422">
      <c r="A6422" s="3">
        <v>789.0</v>
      </c>
      <c r="B6422" s="3" t="s">
        <v>11280</v>
      </c>
      <c r="C6422" s="3" t="s">
        <v>11281</v>
      </c>
      <c r="D6422" s="3" t="s">
        <v>1180</v>
      </c>
      <c r="E6422" s="3" t="s">
        <v>1181</v>
      </c>
      <c r="F6422" s="3" t="s">
        <v>1182</v>
      </c>
      <c r="G6422" s="3"/>
      <c r="H6422" s="3" t="s">
        <v>1180</v>
      </c>
      <c r="I6422" s="3" t="s">
        <v>1187</v>
      </c>
      <c r="J6422" s="3" t="s">
        <v>1495</v>
      </c>
      <c r="K6422" s="3" t="s">
        <v>1496</v>
      </c>
      <c r="L6422" s="3" t="s">
        <v>13578</v>
      </c>
      <c r="M6422" s="3" t="s">
        <v>1185</v>
      </c>
      <c r="N6422" s="3" t="s">
        <v>13579</v>
      </c>
      <c r="O6422" s="3" t="s">
        <v>13580</v>
      </c>
      <c r="P6422" s="3" t="s">
        <v>13581</v>
      </c>
      <c r="Q6422" s="3" t="s">
        <v>13582</v>
      </c>
      <c r="R6422" s="3" t="s">
        <v>13583</v>
      </c>
      <c r="S6422" s="3" t="s">
        <v>1185</v>
      </c>
      <c r="T6422" s="3" t="s">
        <v>1186</v>
      </c>
      <c r="U6422" s="3" t="s">
        <v>1180</v>
      </c>
      <c r="V6422" s="3" t="s">
        <v>1187</v>
      </c>
      <c r="W6422" s="3" t="s">
        <v>1187</v>
      </c>
      <c r="X6422" s="3" t="s">
        <v>13584</v>
      </c>
      <c r="Y6422" s="3" t="s">
        <v>1187</v>
      </c>
    </row>
    <row r="6423">
      <c r="A6423" s="3">
        <v>790.0</v>
      </c>
      <c r="B6423" s="3" t="s">
        <v>11280</v>
      </c>
      <c r="C6423" s="3" t="s">
        <v>11281</v>
      </c>
      <c r="D6423" s="3" t="s">
        <v>13585</v>
      </c>
      <c r="E6423" s="3" t="s">
        <v>13586</v>
      </c>
      <c r="F6423" s="3" t="s">
        <v>13587</v>
      </c>
    </row>
    <row r="6424">
      <c r="A6424" s="3">
        <v>791.0</v>
      </c>
      <c r="B6424" s="3" t="s">
        <v>11280</v>
      </c>
      <c r="C6424" s="3" t="s">
        <v>11281</v>
      </c>
      <c r="D6424" s="3" t="s">
        <v>13588</v>
      </c>
      <c r="E6424" s="3" t="s">
        <v>13589</v>
      </c>
      <c r="F6424" s="3" t="s">
        <v>13590</v>
      </c>
    </row>
    <row r="6425">
      <c r="A6425" s="3">
        <v>792.0</v>
      </c>
      <c r="B6425" s="3" t="s">
        <v>11280</v>
      </c>
      <c r="C6425" s="3" t="s">
        <v>11281</v>
      </c>
      <c r="D6425" s="3" t="s">
        <v>13591</v>
      </c>
      <c r="E6425" s="3" t="s">
        <v>13592</v>
      </c>
      <c r="F6425" s="3" t="s">
        <v>13593</v>
      </c>
      <c r="G6425" s="3"/>
      <c r="H6425" s="3" t="s">
        <v>13594</v>
      </c>
      <c r="I6425" s="3" t="s">
        <v>13595</v>
      </c>
      <c r="J6425" s="3" t="s">
        <v>13596</v>
      </c>
      <c r="K6425" s="3" t="s">
        <v>13597</v>
      </c>
      <c r="L6425" s="3" t="s">
        <v>13598</v>
      </c>
      <c r="M6425" s="3" t="s">
        <v>13599</v>
      </c>
      <c r="N6425" s="3" t="s">
        <v>13600</v>
      </c>
      <c r="O6425" s="3" t="s">
        <v>13601</v>
      </c>
      <c r="P6425" s="3" t="s">
        <v>13602</v>
      </c>
      <c r="Q6425" s="3" t="s">
        <v>13603</v>
      </c>
      <c r="R6425" s="3" t="s">
        <v>13604</v>
      </c>
      <c r="S6425" s="3" t="s">
        <v>13605</v>
      </c>
      <c r="T6425" s="3" t="s">
        <v>1187</v>
      </c>
    </row>
    <row r="6426">
      <c r="A6426" s="3">
        <v>793.0</v>
      </c>
      <c r="B6426" s="3" t="s">
        <v>11280</v>
      </c>
      <c r="C6426" s="3" t="s">
        <v>11281</v>
      </c>
      <c r="D6426" s="3" t="s">
        <v>13606</v>
      </c>
      <c r="E6426" s="3" t="s">
        <v>13607</v>
      </c>
      <c r="F6426" s="3" t="s">
        <v>13608</v>
      </c>
    </row>
    <row r="6427">
      <c r="A6427" s="3">
        <v>794.0</v>
      </c>
      <c r="B6427" s="3" t="s">
        <v>11280</v>
      </c>
      <c r="C6427" s="3" t="s">
        <v>11281</v>
      </c>
      <c r="D6427" s="3" t="s">
        <v>13609</v>
      </c>
      <c r="E6427" s="3" t="s">
        <v>13610</v>
      </c>
      <c r="F6427" s="3" t="s">
        <v>13611</v>
      </c>
    </row>
    <row r="6428">
      <c r="A6428" s="3">
        <v>795.0</v>
      </c>
      <c r="B6428" s="3" t="s">
        <v>11280</v>
      </c>
      <c r="C6428" s="3" t="s">
        <v>11281</v>
      </c>
      <c r="D6428" s="3" t="s">
        <v>13612</v>
      </c>
      <c r="E6428" s="3" t="s">
        <v>13613</v>
      </c>
      <c r="F6428" s="3" t="s">
        <v>13614</v>
      </c>
    </row>
    <row r="6429">
      <c r="A6429" s="3">
        <v>796.0</v>
      </c>
      <c r="B6429" s="3" t="s">
        <v>11280</v>
      </c>
      <c r="C6429" s="3" t="s">
        <v>11281</v>
      </c>
      <c r="D6429" s="3" t="s">
        <v>13615</v>
      </c>
      <c r="E6429" s="3" t="s">
        <v>13616</v>
      </c>
      <c r="F6429" s="3" t="s">
        <v>13617</v>
      </c>
    </row>
    <row r="6430">
      <c r="A6430" s="3">
        <v>797.0</v>
      </c>
      <c r="B6430" s="3" t="s">
        <v>11280</v>
      </c>
      <c r="C6430" s="3" t="s">
        <v>11281</v>
      </c>
      <c r="D6430" s="3" t="s">
        <v>13618</v>
      </c>
      <c r="E6430" s="3" t="s">
        <v>13619</v>
      </c>
      <c r="F6430" s="3" t="s">
        <v>13620</v>
      </c>
      <c r="G6430" s="3"/>
      <c r="H6430" s="3" t="s">
        <v>1168</v>
      </c>
      <c r="I6430" s="3" t="s">
        <v>1169</v>
      </c>
      <c r="J6430" s="3" t="s">
        <v>1170</v>
      </c>
      <c r="K6430" s="3" t="s">
        <v>1171</v>
      </c>
      <c r="L6430" s="3" t="s">
        <v>1172</v>
      </c>
      <c r="M6430" s="3" t="s">
        <v>1173</v>
      </c>
      <c r="N6430" s="3" t="s">
        <v>1174</v>
      </c>
      <c r="O6430" s="3" t="s">
        <v>13621</v>
      </c>
      <c r="P6430" s="3" t="s">
        <v>13622</v>
      </c>
    </row>
    <row r="6431">
      <c r="A6431" s="3">
        <v>798.0</v>
      </c>
      <c r="B6431" s="3" t="s">
        <v>11280</v>
      </c>
      <c r="C6431" s="3" t="s">
        <v>11281</v>
      </c>
      <c r="D6431" s="3" t="s">
        <v>13623</v>
      </c>
      <c r="E6431" s="3" t="s">
        <v>13624</v>
      </c>
      <c r="F6431" s="3" t="s">
        <v>13625</v>
      </c>
    </row>
    <row r="6432">
      <c r="A6432" s="3">
        <v>799.0</v>
      </c>
      <c r="B6432" s="3" t="s">
        <v>11280</v>
      </c>
      <c r="C6432" s="3" t="s">
        <v>11281</v>
      </c>
      <c r="D6432" s="3" t="s">
        <v>13626</v>
      </c>
      <c r="E6432" s="3" t="s">
        <v>13627</v>
      </c>
      <c r="F6432" s="3" t="s">
        <v>13628</v>
      </c>
      <c r="G6432" s="3"/>
      <c r="H6432" s="3" t="s">
        <v>13629</v>
      </c>
      <c r="I6432" s="3" t="s">
        <v>13630</v>
      </c>
    </row>
    <row r="6433">
      <c r="A6433" s="3">
        <v>800.0</v>
      </c>
      <c r="B6433" s="3" t="s">
        <v>11280</v>
      </c>
      <c r="C6433" s="3" t="s">
        <v>11281</v>
      </c>
      <c r="D6433" s="3" t="s">
        <v>13631</v>
      </c>
      <c r="E6433" s="3" t="s">
        <v>13632</v>
      </c>
      <c r="F6433" s="3" t="s">
        <v>13633</v>
      </c>
    </row>
    <row r="6434">
      <c r="A6434" s="3">
        <v>801.0</v>
      </c>
      <c r="B6434" s="3" t="s">
        <v>11280</v>
      </c>
      <c r="C6434" s="3" t="s">
        <v>11281</v>
      </c>
      <c r="D6434" s="3" t="s">
        <v>6915</v>
      </c>
      <c r="E6434" s="3" t="s">
        <v>1195</v>
      </c>
      <c r="F6434" s="3" t="s">
        <v>1196</v>
      </c>
    </row>
    <row r="6435">
      <c r="A6435" s="3">
        <v>802.0</v>
      </c>
      <c r="B6435" s="3" t="s">
        <v>11280</v>
      </c>
      <c r="C6435" s="3" t="s">
        <v>11281</v>
      </c>
      <c r="D6435" s="3" t="s">
        <v>13634</v>
      </c>
      <c r="E6435" s="3" t="s">
        <v>13635</v>
      </c>
      <c r="F6435" s="3" t="s">
        <v>13636</v>
      </c>
      <c r="G6435" s="3"/>
      <c r="H6435" s="3" t="s">
        <v>13637</v>
      </c>
      <c r="I6435" s="3" t="s">
        <v>13638</v>
      </c>
    </row>
    <row r="6436">
      <c r="A6436" s="3">
        <v>803.0</v>
      </c>
      <c r="B6436" s="3" t="s">
        <v>11280</v>
      </c>
      <c r="C6436" s="3" t="s">
        <v>11281</v>
      </c>
      <c r="D6436" s="3" t="s">
        <v>13639</v>
      </c>
      <c r="E6436" s="3" t="s">
        <v>13640</v>
      </c>
      <c r="F6436" s="3" t="s">
        <v>13641</v>
      </c>
    </row>
    <row r="6437">
      <c r="A6437" s="3">
        <v>804.0</v>
      </c>
      <c r="B6437" s="3" t="s">
        <v>11280</v>
      </c>
      <c r="C6437" s="3" t="s">
        <v>11281</v>
      </c>
      <c r="D6437" s="3" t="s">
        <v>13642</v>
      </c>
      <c r="E6437" s="3" t="s">
        <v>13643</v>
      </c>
      <c r="F6437" s="3" t="s">
        <v>13644</v>
      </c>
      <c r="G6437" s="3"/>
      <c r="H6437" s="3" t="s">
        <v>13642</v>
      </c>
    </row>
    <row r="6438">
      <c r="A6438" s="3">
        <v>805.0</v>
      </c>
      <c r="B6438" s="3" t="s">
        <v>11280</v>
      </c>
      <c r="C6438" s="3" t="s">
        <v>11281</v>
      </c>
      <c r="D6438" s="3" t="s">
        <v>13645</v>
      </c>
      <c r="E6438" s="3" t="s">
        <v>13646</v>
      </c>
      <c r="F6438" s="3" t="s">
        <v>13636</v>
      </c>
    </row>
    <row r="6439">
      <c r="A6439" s="3">
        <v>806.0</v>
      </c>
      <c r="B6439" s="3" t="s">
        <v>11280</v>
      </c>
      <c r="C6439" s="3" t="s">
        <v>11281</v>
      </c>
      <c r="D6439" s="3" t="s">
        <v>13647</v>
      </c>
      <c r="E6439" s="3" t="s">
        <v>13648</v>
      </c>
      <c r="F6439" s="3" t="s">
        <v>13641</v>
      </c>
    </row>
    <row r="6440">
      <c r="A6440" s="3">
        <v>807.0</v>
      </c>
      <c r="B6440" s="3" t="s">
        <v>11280</v>
      </c>
      <c r="C6440" s="3" t="s">
        <v>11281</v>
      </c>
      <c r="D6440" s="3" t="s">
        <v>13649</v>
      </c>
      <c r="E6440" s="3" t="s">
        <v>13650</v>
      </c>
      <c r="F6440" s="3" t="s">
        <v>13651</v>
      </c>
    </row>
    <row r="6441">
      <c r="A6441" s="3">
        <v>808.0</v>
      </c>
      <c r="B6441" s="3" t="s">
        <v>11280</v>
      </c>
      <c r="C6441" s="3" t="s">
        <v>11281</v>
      </c>
      <c r="D6441" s="3" t="s">
        <v>13652</v>
      </c>
      <c r="E6441" s="3" t="s">
        <v>13653</v>
      </c>
      <c r="F6441" s="3" t="s">
        <v>13654</v>
      </c>
    </row>
    <row r="6442">
      <c r="A6442" s="3">
        <v>809.0</v>
      </c>
      <c r="B6442" s="3" t="s">
        <v>11280</v>
      </c>
      <c r="C6442" s="3" t="s">
        <v>11281</v>
      </c>
      <c r="D6442" s="3" t="s">
        <v>13655</v>
      </c>
      <c r="E6442" s="3" t="s">
        <v>13656</v>
      </c>
      <c r="F6442" s="3" t="s">
        <v>13657</v>
      </c>
    </row>
    <row r="6443">
      <c r="A6443" s="3">
        <v>810.0</v>
      </c>
      <c r="B6443" s="3" t="s">
        <v>11280</v>
      </c>
      <c r="C6443" s="3" t="s">
        <v>11281</v>
      </c>
      <c r="D6443" s="3" t="s">
        <v>13658</v>
      </c>
      <c r="E6443" s="3" t="s">
        <v>13659</v>
      </c>
      <c r="F6443" s="3" t="s">
        <v>13660</v>
      </c>
    </row>
    <row r="6444">
      <c r="A6444" s="3">
        <v>811.0</v>
      </c>
      <c r="B6444" s="3" t="s">
        <v>11280</v>
      </c>
      <c r="C6444" s="3" t="s">
        <v>11281</v>
      </c>
      <c r="D6444" s="3" t="s">
        <v>13661</v>
      </c>
      <c r="E6444" s="3" t="s">
        <v>13662</v>
      </c>
      <c r="F6444" s="3" t="s">
        <v>13663</v>
      </c>
    </row>
    <row r="6445">
      <c r="A6445" s="3">
        <v>812.0</v>
      </c>
      <c r="B6445" s="3" t="s">
        <v>11280</v>
      </c>
      <c r="C6445" s="3" t="s">
        <v>11281</v>
      </c>
      <c r="D6445" s="3" t="s">
        <v>13664</v>
      </c>
      <c r="E6445" s="3" t="s">
        <v>13665</v>
      </c>
      <c r="F6445" s="3" t="s">
        <v>13666</v>
      </c>
      <c r="G6445" s="3"/>
      <c r="H6445" s="3" t="s">
        <v>6003</v>
      </c>
      <c r="I6445" s="3" t="s">
        <v>6004</v>
      </c>
      <c r="J6445" s="3" t="s">
        <v>1789</v>
      </c>
      <c r="K6445" s="3" t="s">
        <v>1203</v>
      </c>
      <c r="L6445" s="3" t="s">
        <v>1249</v>
      </c>
    </row>
    <row r="6446">
      <c r="A6446" s="3">
        <v>813.0</v>
      </c>
      <c r="B6446" s="3" t="s">
        <v>11280</v>
      </c>
      <c r="C6446" s="3" t="s">
        <v>11281</v>
      </c>
      <c r="D6446" s="3" t="s">
        <v>13667</v>
      </c>
      <c r="E6446" s="3" t="s">
        <v>13668</v>
      </c>
      <c r="F6446" s="3" t="s">
        <v>13669</v>
      </c>
    </row>
    <row r="6447">
      <c r="A6447" s="3">
        <v>814.0</v>
      </c>
      <c r="B6447" s="3" t="s">
        <v>11280</v>
      </c>
      <c r="C6447" s="3" t="s">
        <v>11281</v>
      </c>
      <c r="D6447" s="3" t="s">
        <v>13670</v>
      </c>
      <c r="E6447" s="3" t="s">
        <v>13671</v>
      </c>
      <c r="F6447" s="3" t="s">
        <v>13672</v>
      </c>
    </row>
    <row r="6448">
      <c r="A6448" s="3">
        <v>815.0</v>
      </c>
      <c r="B6448" s="3" t="s">
        <v>11280</v>
      </c>
      <c r="C6448" s="3" t="s">
        <v>11281</v>
      </c>
      <c r="D6448" s="3" t="s">
        <v>13673</v>
      </c>
      <c r="E6448" s="3" t="s">
        <v>13674</v>
      </c>
      <c r="F6448" s="3" t="s">
        <v>13675</v>
      </c>
    </row>
    <row r="6449">
      <c r="A6449" s="3">
        <v>816.0</v>
      </c>
      <c r="B6449" s="3" t="s">
        <v>11280</v>
      </c>
      <c r="C6449" s="3" t="s">
        <v>11281</v>
      </c>
      <c r="D6449" s="3" t="s">
        <v>13676</v>
      </c>
      <c r="E6449" s="3" t="s">
        <v>13677</v>
      </c>
      <c r="F6449" s="3" t="s">
        <v>13678</v>
      </c>
    </row>
    <row r="6450">
      <c r="A6450" s="3">
        <v>817.0</v>
      </c>
      <c r="B6450" s="3" t="s">
        <v>11280</v>
      </c>
      <c r="C6450" s="3" t="s">
        <v>11281</v>
      </c>
      <c r="D6450" s="3" t="s">
        <v>13679</v>
      </c>
      <c r="E6450" s="3" t="s">
        <v>13680</v>
      </c>
      <c r="F6450" s="3" t="s">
        <v>13681</v>
      </c>
    </row>
    <row r="6451">
      <c r="A6451" s="3">
        <v>818.0</v>
      </c>
      <c r="B6451" s="3" t="s">
        <v>11280</v>
      </c>
      <c r="C6451" s="3" t="s">
        <v>11281</v>
      </c>
      <c r="D6451" s="3" t="s">
        <v>13682</v>
      </c>
      <c r="E6451" s="3" t="s">
        <v>13683</v>
      </c>
      <c r="F6451" s="3" t="s">
        <v>13684</v>
      </c>
    </row>
    <row r="6452">
      <c r="A6452" s="3">
        <v>819.0</v>
      </c>
      <c r="B6452" s="3" t="s">
        <v>11280</v>
      </c>
      <c r="C6452" s="3" t="s">
        <v>11281</v>
      </c>
      <c r="D6452" s="3" t="s">
        <v>13685</v>
      </c>
      <c r="E6452" s="3" t="s">
        <v>13686</v>
      </c>
      <c r="F6452" s="3" t="s">
        <v>13687</v>
      </c>
    </row>
    <row r="6453">
      <c r="A6453" s="3">
        <v>820.0</v>
      </c>
      <c r="B6453" s="3" t="s">
        <v>11280</v>
      </c>
      <c r="C6453" s="3" t="s">
        <v>11281</v>
      </c>
      <c r="D6453" s="3" t="s">
        <v>13688</v>
      </c>
      <c r="E6453" s="3" t="s">
        <v>13689</v>
      </c>
      <c r="F6453" s="3" t="s">
        <v>13690</v>
      </c>
    </row>
    <row r="6454">
      <c r="A6454" s="3">
        <v>821.0</v>
      </c>
      <c r="B6454" s="3" t="s">
        <v>11280</v>
      </c>
      <c r="C6454" s="3" t="s">
        <v>11281</v>
      </c>
      <c r="D6454" s="3" t="s">
        <v>13691</v>
      </c>
      <c r="E6454" s="3" t="s">
        <v>1282</v>
      </c>
      <c r="F6454" s="3" t="s">
        <v>1283</v>
      </c>
      <c r="G6454" s="3"/>
      <c r="H6454" s="3" t="s">
        <v>13692</v>
      </c>
      <c r="I6454" s="3" t="s">
        <v>13693</v>
      </c>
      <c r="J6454" s="3" t="s">
        <v>13694</v>
      </c>
      <c r="K6454" s="3" t="s">
        <v>2034</v>
      </c>
      <c r="L6454" s="3" t="s">
        <v>2037</v>
      </c>
      <c r="M6454" s="3" t="s">
        <v>1269</v>
      </c>
      <c r="N6454" s="3" t="s">
        <v>1270</v>
      </c>
      <c r="O6454" s="3" t="s">
        <v>3523</v>
      </c>
      <c r="P6454" s="3" t="s">
        <v>13693</v>
      </c>
      <c r="Q6454" s="3" t="s">
        <v>13695</v>
      </c>
      <c r="R6454" s="3" t="s">
        <v>13696</v>
      </c>
      <c r="S6454" s="3" t="s">
        <v>2034</v>
      </c>
      <c r="T6454" s="3" t="s">
        <v>2037</v>
      </c>
      <c r="U6454" s="3" t="s">
        <v>2034</v>
      </c>
      <c r="V6454" s="3" t="s">
        <v>13697</v>
      </c>
      <c r="W6454" s="3" t="s">
        <v>1270</v>
      </c>
      <c r="X6454" s="3" t="s">
        <v>13698</v>
      </c>
    </row>
    <row r="6455">
      <c r="A6455" s="3">
        <v>822.0</v>
      </c>
      <c r="B6455" s="3" t="s">
        <v>11280</v>
      </c>
      <c r="C6455" s="3" t="s">
        <v>11281</v>
      </c>
      <c r="D6455" s="3" t="s">
        <v>13699</v>
      </c>
      <c r="E6455" s="3" t="s">
        <v>13700</v>
      </c>
      <c r="F6455" s="3" t="s">
        <v>13701</v>
      </c>
    </row>
    <row r="6456">
      <c r="A6456" s="3">
        <v>823.0</v>
      </c>
      <c r="B6456" s="3" t="s">
        <v>11280</v>
      </c>
      <c r="C6456" s="3" t="s">
        <v>11281</v>
      </c>
      <c r="D6456" s="3" t="s">
        <v>13702</v>
      </c>
      <c r="E6456" s="3" t="s">
        <v>13703</v>
      </c>
      <c r="F6456" s="3" t="s">
        <v>13704</v>
      </c>
    </row>
    <row r="6457">
      <c r="A6457" s="3">
        <v>824.0</v>
      </c>
      <c r="B6457" s="3" t="s">
        <v>11280</v>
      </c>
      <c r="C6457" s="3" t="s">
        <v>11281</v>
      </c>
      <c r="D6457" s="3" t="s">
        <v>13705</v>
      </c>
      <c r="E6457" s="3" t="s">
        <v>13706</v>
      </c>
      <c r="F6457" s="3" t="s">
        <v>13707</v>
      </c>
      <c r="G6457" s="3"/>
      <c r="H6457" s="3" t="s">
        <v>13708</v>
      </c>
      <c r="I6457" s="3" t="s">
        <v>13709</v>
      </c>
      <c r="J6457" s="3" t="s">
        <v>13710</v>
      </c>
    </row>
    <row r="6458">
      <c r="A6458" s="3">
        <v>825.0</v>
      </c>
      <c r="B6458" s="3" t="s">
        <v>11280</v>
      </c>
      <c r="C6458" s="3" t="s">
        <v>11281</v>
      </c>
      <c r="D6458" s="3" t="s">
        <v>13711</v>
      </c>
      <c r="E6458" s="3" t="s">
        <v>13712</v>
      </c>
      <c r="F6458" s="3" t="s">
        <v>13713</v>
      </c>
    </row>
    <row r="6459">
      <c r="A6459" s="3">
        <v>826.0</v>
      </c>
      <c r="B6459" s="3" t="s">
        <v>11280</v>
      </c>
      <c r="C6459" s="3" t="s">
        <v>11281</v>
      </c>
      <c r="D6459" s="3" t="s">
        <v>13714</v>
      </c>
      <c r="E6459" s="3" t="s">
        <v>13715</v>
      </c>
      <c r="F6459" s="3" t="s">
        <v>13716</v>
      </c>
    </row>
    <row r="6460">
      <c r="A6460" s="3">
        <v>827.0</v>
      </c>
      <c r="B6460" s="3" t="s">
        <v>11280</v>
      </c>
      <c r="C6460" s="3" t="s">
        <v>11281</v>
      </c>
      <c r="D6460" s="3" t="s">
        <v>13717</v>
      </c>
      <c r="E6460" s="3" t="s">
        <v>13718</v>
      </c>
      <c r="F6460" s="3" t="s">
        <v>13719</v>
      </c>
    </row>
    <row r="6461">
      <c r="A6461" s="3">
        <v>828.0</v>
      </c>
      <c r="B6461" s="3" t="s">
        <v>11280</v>
      </c>
      <c r="C6461" s="3" t="s">
        <v>11281</v>
      </c>
      <c r="D6461" s="3" t="s">
        <v>13720</v>
      </c>
      <c r="E6461" s="3" t="s">
        <v>13721</v>
      </c>
      <c r="F6461" s="3" t="s">
        <v>13722</v>
      </c>
    </row>
    <row r="6462">
      <c r="A6462" s="3">
        <v>829.0</v>
      </c>
      <c r="B6462" s="3" t="s">
        <v>11280</v>
      </c>
      <c r="C6462" s="3" t="s">
        <v>11281</v>
      </c>
      <c r="D6462" s="3" t="s">
        <v>13723</v>
      </c>
      <c r="E6462" s="3" t="s">
        <v>13724</v>
      </c>
      <c r="F6462" s="3" t="s">
        <v>13725</v>
      </c>
    </row>
    <row r="6463">
      <c r="A6463" s="3">
        <v>830.0</v>
      </c>
      <c r="B6463" s="3" t="s">
        <v>11280</v>
      </c>
      <c r="C6463" s="3" t="s">
        <v>11281</v>
      </c>
      <c r="D6463" s="3" t="s">
        <v>13726</v>
      </c>
      <c r="E6463" s="3" t="s">
        <v>13727</v>
      </c>
      <c r="F6463" s="3" t="s">
        <v>13728</v>
      </c>
      <c r="G6463" s="3"/>
      <c r="H6463" s="3" t="s">
        <v>13729</v>
      </c>
      <c r="I6463" s="3" t="s">
        <v>13730</v>
      </c>
      <c r="J6463" s="3" t="s">
        <v>13731</v>
      </c>
      <c r="K6463" s="3" t="s">
        <v>13732</v>
      </c>
      <c r="L6463" s="3" t="s">
        <v>13733</v>
      </c>
      <c r="M6463" s="3" t="s">
        <v>13734</v>
      </c>
      <c r="N6463" s="3" t="s">
        <v>13735</v>
      </c>
    </row>
    <row r="6464">
      <c r="A6464" s="3">
        <v>831.0</v>
      </c>
      <c r="B6464" s="3" t="s">
        <v>11280</v>
      </c>
      <c r="C6464" s="3" t="s">
        <v>11281</v>
      </c>
      <c r="D6464" s="3" t="s">
        <v>13736</v>
      </c>
      <c r="E6464" s="3" t="s">
        <v>13737</v>
      </c>
      <c r="F6464" s="3" t="s">
        <v>13738</v>
      </c>
    </row>
    <row r="6465">
      <c r="A6465" s="3">
        <v>832.0</v>
      </c>
      <c r="B6465" s="3" t="s">
        <v>11280</v>
      </c>
      <c r="C6465" s="3" t="s">
        <v>11281</v>
      </c>
      <c r="D6465" s="3" t="s">
        <v>13739</v>
      </c>
      <c r="E6465" s="3" t="s">
        <v>13740</v>
      </c>
      <c r="F6465" s="3" t="s">
        <v>13741</v>
      </c>
    </row>
    <row r="6466">
      <c r="A6466" s="3">
        <v>833.0</v>
      </c>
      <c r="B6466" s="3" t="s">
        <v>11280</v>
      </c>
      <c r="C6466" s="3" t="s">
        <v>11281</v>
      </c>
      <c r="D6466" s="3" t="s">
        <v>13742</v>
      </c>
      <c r="E6466" s="3" t="s">
        <v>13743</v>
      </c>
      <c r="F6466" s="3" t="s">
        <v>13744</v>
      </c>
    </row>
    <row r="6467">
      <c r="A6467" s="3">
        <v>834.0</v>
      </c>
      <c r="B6467" s="3" t="s">
        <v>11280</v>
      </c>
      <c r="C6467" s="3" t="s">
        <v>11281</v>
      </c>
      <c r="D6467" s="3" t="s">
        <v>13745</v>
      </c>
      <c r="E6467" s="3" t="s">
        <v>13746</v>
      </c>
      <c r="F6467" s="3" t="s">
        <v>13747</v>
      </c>
    </row>
    <row r="6468">
      <c r="A6468" s="3">
        <v>835.0</v>
      </c>
      <c r="B6468" s="3" t="s">
        <v>11280</v>
      </c>
      <c r="C6468" s="3" t="s">
        <v>11281</v>
      </c>
      <c r="D6468" s="3" t="s">
        <v>13748</v>
      </c>
      <c r="E6468" s="3" t="s">
        <v>13749</v>
      </c>
      <c r="F6468" s="3" t="s">
        <v>13750</v>
      </c>
    </row>
    <row r="6469">
      <c r="A6469" s="3">
        <v>836.0</v>
      </c>
      <c r="B6469" s="3" t="s">
        <v>11280</v>
      </c>
      <c r="C6469" s="3" t="s">
        <v>11281</v>
      </c>
      <c r="D6469" s="3" t="s">
        <v>13751</v>
      </c>
      <c r="E6469" s="3" t="s">
        <v>1279</v>
      </c>
      <c r="F6469" s="3" t="s">
        <v>1280</v>
      </c>
    </row>
    <row r="6470">
      <c r="A6470" s="3">
        <v>837.0</v>
      </c>
      <c r="B6470" s="3" t="s">
        <v>11280</v>
      </c>
      <c r="C6470" s="3" t="s">
        <v>11281</v>
      </c>
      <c r="D6470" s="3" t="s">
        <v>13752</v>
      </c>
      <c r="E6470" s="3" t="s">
        <v>13753</v>
      </c>
      <c r="F6470" s="3" t="s">
        <v>13754</v>
      </c>
    </row>
    <row r="6471">
      <c r="A6471" s="3">
        <v>838.0</v>
      </c>
      <c r="B6471" s="3" t="s">
        <v>11280</v>
      </c>
      <c r="C6471" s="3" t="s">
        <v>11281</v>
      </c>
      <c r="D6471" s="3" t="s">
        <v>13755</v>
      </c>
      <c r="E6471" s="3" t="s">
        <v>13756</v>
      </c>
      <c r="F6471" s="3" t="s">
        <v>13757</v>
      </c>
    </row>
    <row r="6472">
      <c r="A6472" s="3">
        <v>839.0</v>
      </c>
      <c r="B6472" s="3" t="s">
        <v>11280</v>
      </c>
      <c r="C6472" s="3" t="s">
        <v>11281</v>
      </c>
      <c r="D6472" s="3" t="s">
        <v>13758</v>
      </c>
      <c r="E6472" s="3" t="s">
        <v>13759</v>
      </c>
      <c r="F6472" s="3" t="s">
        <v>13760</v>
      </c>
    </row>
    <row r="6473">
      <c r="A6473" s="3">
        <v>840.0</v>
      </c>
      <c r="B6473" s="3" t="s">
        <v>11280</v>
      </c>
      <c r="C6473" s="3" t="s">
        <v>11281</v>
      </c>
      <c r="D6473" s="3" t="s">
        <v>13761</v>
      </c>
      <c r="E6473" s="3" t="s">
        <v>1279</v>
      </c>
      <c r="F6473" s="3" t="s">
        <v>1280</v>
      </c>
      <c r="G6473" s="3"/>
      <c r="H6473" s="3" t="s">
        <v>13762</v>
      </c>
      <c r="I6473" s="3" t="s">
        <v>13763</v>
      </c>
      <c r="J6473" s="3" t="s">
        <v>13764</v>
      </c>
      <c r="K6473" s="3" t="s">
        <v>13765</v>
      </c>
      <c r="L6473" s="3" t="s">
        <v>13766</v>
      </c>
      <c r="M6473" s="3" t="s">
        <v>13767</v>
      </c>
      <c r="N6473" s="3" t="s">
        <v>13768</v>
      </c>
      <c r="O6473" s="3" t="s">
        <v>719</v>
      </c>
      <c r="P6473" s="3" t="s">
        <v>720</v>
      </c>
      <c r="Q6473" s="3" t="s">
        <v>13766</v>
      </c>
      <c r="R6473" s="3" t="s">
        <v>13762</v>
      </c>
      <c r="S6473" s="3" t="s">
        <v>13766</v>
      </c>
      <c r="T6473" s="3" t="s">
        <v>13762</v>
      </c>
      <c r="U6473" s="3" t="s">
        <v>13766</v>
      </c>
      <c r="V6473" s="3" t="s">
        <v>13769</v>
      </c>
      <c r="W6473" s="3" t="s">
        <v>13770</v>
      </c>
      <c r="X6473" s="3" t="s">
        <v>13771</v>
      </c>
      <c r="Y6473" s="3" t="s">
        <v>13762</v>
      </c>
      <c r="Z6473" s="3" t="s">
        <v>13772</v>
      </c>
      <c r="AA6473" s="3" t="s">
        <v>5753</v>
      </c>
      <c r="AB6473" s="3" t="s">
        <v>13770</v>
      </c>
      <c r="AC6473" s="3" t="s">
        <v>13773</v>
      </c>
      <c r="AD6473" s="3" t="s">
        <v>7509</v>
      </c>
      <c r="AE6473" s="3" t="s">
        <v>13774</v>
      </c>
      <c r="AF6473" s="3" t="s">
        <v>13775</v>
      </c>
    </row>
    <row r="6474">
      <c r="A6474" s="3">
        <v>841.0</v>
      </c>
      <c r="B6474" s="3" t="s">
        <v>11280</v>
      </c>
      <c r="C6474" s="3" t="s">
        <v>11281</v>
      </c>
      <c r="D6474" s="3" t="s">
        <v>13776</v>
      </c>
      <c r="E6474" s="3" t="s">
        <v>13777</v>
      </c>
      <c r="F6474" s="3" t="s">
        <v>13778</v>
      </c>
    </row>
    <row r="6475">
      <c r="A6475" s="3">
        <v>842.0</v>
      </c>
      <c r="B6475" s="3" t="s">
        <v>11280</v>
      </c>
      <c r="C6475" s="3" t="s">
        <v>11281</v>
      </c>
      <c r="D6475" s="3" t="s">
        <v>13779</v>
      </c>
      <c r="E6475" s="3" t="s">
        <v>13780</v>
      </c>
      <c r="F6475" s="3" t="s">
        <v>13781</v>
      </c>
      <c r="G6475" s="3"/>
      <c r="H6475" s="3" t="s">
        <v>1587</v>
      </c>
      <c r="I6475" s="3" t="s">
        <v>1588</v>
      </c>
      <c r="J6475" s="3" t="s">
        <v>13782</v>
      </c>
      <c r="K6475" s="3" t="s">
        <v>1588</v>
      </c>
    </row>
    <row r="6476">
      <c r="A6476" s="3">
        <v>843.0</v>
      </c>
      <c r="B6476" s="3" t="s">
        <v>11280</v>
      </c>
      <c r="C6476" s="3" t="s">
        <v>11281</v>
      </c>
      <c r="D6476" s="3" t="s">
        <v>13783</v>
      </c>
      <c r="E6476" s="3" t="s">
        <v>13784</v>
      </c>
      <c r="F6476" s="3" t="s">
        <v>13785</v>
      </c>
    </row>
    <row r="6477">
      <c r="A6477" s="3">
        <v>844.0</v>
      </c>
      <c r="B6477" s="3" t="s">
        <v>11280</v>
      </c>
      <c r="C6477" s="3" t="s">
        <v>11281</v>
      </c>
      <c r="D6477" s="3" t="s">
        <v>1302</v>
      </c>
      <c r="E6477" s="3" t="s">
        <v>6923</v>
      </c>
      <c r="F6477" s="3" t="s">
        <v>1304</v>
      </c>
      <c r="G6477" s="3"/>
      <c r="H6477" s="3" t="s">
        <v>1302</v>
      </c>
      <c r="I6477" s="3" t="s">
        <v>1317</v>
      </c>
      <c r="J6477" s="3" t="s">
        <v>1318</v>
      </c>
      <c r="K6477" s="3" t="s">
        <v>1311</v>
      </c>
      <c r="L6477" s="3" t="s">
        <v>1314</v>
      </c>
      <c r="M6477" s="3" t="s">
        <v>13786</v>
      </c>
      <c r="N6477" s="3" t="s">
        <v>1302</v>
      </c>
      <c r="O6477" s="3" t="s">
        <v>13787</v>
      </c>
      <c r="P6477" s="3" t="s">
        <v>1302</v>
      </c>
      <c r="Q6477" s="3" t="s">
        <v>1302</v>
      </c>
      <c r="R6477" s="3" t="s">
        <v>1315</v>
      </c>
      <c r="S6477" s="3" t="s">
        <v>1310</v>
      </c>
    </row>
    <row r="6478">
      <c r="A6478" s="3">
        <v>845.0</v>
      </c>
      <c r="B6478" s="3" t="s">
        <v>11280</v>
      </c>
      <c r="C6478" s="3" t="s">
        <v>11281</v>
      </c>
      <c r="D6478" s="3" t="s">
        <v>13788</v>
      </c>
      <c r="E6478" s="3" t="s">
        <v>13789</v>
      </c>
      <c r="F6478" s="3" t="s">
        <v>13790</v>
      </c>
    </row>
    <row r="6479">
      <c r="A6479" s="3">
        <v>846.0</v>
      </c>
      <c r="B6479" s="3" t="s">
        <v>11280</v>
      </c>
      <c r="C6479" s="3" t="s">
        <v>11281</v>
      </c>
      <c r="D6479" s="3" t="s">
        <v>13791</v>
      </c>
      <c r="E6479" s="3" t="s">
        <v>13792</v>
      </c>
      <c r="F6479" s="3" t="s">
        <v>13793</v>
      </c>
    </row>
    <row r="6480">
      <c r="A6480" s="3">
        <v>847.0</v>
      </c>
      <c r="B6480" s="3" t="s">
        <v>11280</v>
      </c>
      <c r="C6480" s="3" t="s">
        <v>11281</v>
      </c>
      <c r="D6480" s="3" t="s">
        <v>13794</v>
      </c>
      <c r="E6480" s="3" t="s">
        <v>13795</v>
      </c>
      <c r="F6480" s="3" t="s">
        <v>13796</v>
      </c>
      <c r="G6480" s="3"/>
      <c r="H6480" s="3" t="s">
        <v>13797</v>
      </c>
      <c r="I6480" s="3" t="s">
        <v>13798</v>
      </c>
      <c r="J6480" s="3" t="s">
        <v>13799</v>
      </c>
    </row>
    <row r="6481">
      <c r="A6481" s="3">
        <v>848.0</v>
      </c>
      <c r="B6481" s="3" t="s">
        <v>11280</v>
      </c>
      <c r="C6481" s="3" t="s">
        <v>11281</v>
      </c>
      <c r="D6481" s="3" t="s">
        <v>13800</v>
      </c>
      <c r="E6481" s="3" t="s">
        <v>13801</v>
      </c>
      <c r="F6481" s="3" t="s">
        <v>13802</v>
      </c>
    </row>
    <row r="6482">
      <c r="A6482" s="3">
        <v>849.0</v>
      </c>
      <c r="B6482" s="3" t="s">
        <v>11280</v>
      </c>
      <c r="C6482" s="3" t="s">
        <v>11281</v>
      </c>
      <c r="D6482" s="3" t="s">
        <v>13803</v>
      </c>
      <c r="E6482" s="3" t="s">
        <v>13804</v>
      </c>
      <c r="F6482" s="3" t="s">
        <v>13805</v>
      </c>
    </row>
    <row r="6483">
      <c r="A6483" s="3">
        <v>850.0</v>
      </c>
      <c r="B6483" s="3" t="s">
        <v>11280</v>
      </c>
      <c r="C6483" s="3" t="s">
        <v>11281</v>
      </c>
      <c r="D6483" s="3" t="s">
        <v>13806</v>
      </c>
      <c r="E6483" s="3" t="s">
        <v>13807</v>
      </c>
      <c r="F6483" s="3" t="s">
        <v>13808</v>
      </c>
    </row>
    <row r="6484">
      <c r="A6484" s="3">
        <v>851.0</v>
      </c>
      <c r="B6484" s="3" t="s">
        <v>11280</v>
      </c>
      <c r="C6484" s="3" t="s">
        <v>11281</v>
      </c>
      <c r="D6484" s="3" t="s">
        <v>13809</v>
      </c>
      <c r="E6484" s="3" t="s">
        <v>13810</v>
      </c>
      <c r="F6484" s="3" t="s">
        <v>13811</v>
      </c>
    </row>
    <row r="6485">
      <c r="A6485" s="3">
        <v>852.0</v>
      </c>
      <c r="B6485" s="3" t="s">
        <v>11280</v>
      </c>
      <c r="C6485" s="3" t="s">
        <v>11281</v>
      </c>
      <c r="D6485" s="3" t="s">
        <v>13812</v>
      </c>
      <c r="E6485" s="3" t="s">
        <v>13813</v>
      </c>
      <c r="F6485" s="3" t="s">
        <v>13814</v>
      </c>
    </row>
    <row r="6486">
      <c r="A6486" s="3">
        <v>853.0</v>
      </c>
      <c r="B6486" s="3" t="s">
        <v>11280</v>
      </c>
      <c r="C6486" s="3" t="s">
        <v>11281</v>
      </c>
      <c r="D6486" s="3" t="s">
        <v>13815</v>
      </c>
      <c r="E6486" s="3" t="s">
        <v>13816</v>
      </c>
      <c r="F6486" s="3" t="s">
        <v>13817</v>
      </c>
    </row>
    <row r="6487">
      <c r="A6487" s="3">
        <v>854.0</v>
      </c>
      <c r="B6487" s="3" t="s">
        <v>11280</v>
      </c>
      <c r="C6487" s="3" t="s">
        <v>11281</v>
      </c>
      <c r="D6487" s="3" t="s">
        <v>13818</v>
      </c>
      <c r="E6487" s="3" t="s">
        <v>13819</v>
      </c>
      <c r="F6487" s="3" t="s">
        <v>13820</v>
      </c>
    </row>
    <row r="6488">
      <c r="A6488" s="3">
        <v>855.0</v>
      </c>
      <c r="B6488" s="3" t="s">
        <v>11280</v>
      </c>
      <c r="C6488" s="3" t="s">
        <v>11281</v>
      </c>
      <c r="D6488" s="3" t="s">
        <v>13821</v>
      </c>
      <c r="E6488" s="3" t="s">
        <v>13822</v>
      </c>
      <c r="F6488" s="3" t="s">
        <v>13823</v>
      </c>
    </row>
    <row r="6489">
      <c r="A6489" s="3">
        <v>856.0</v>
      </c>
      <c r="B6489" s="3" t="s">
        <v>11280</v>
      </c>
      <c r="C6489" s="3" t="s">
        <v>11281</v>
      </c>
      <c r="D6489" s="3" t="s">
        <v>13824</v>
      </c>
      <c r="E6489" s="3" t="s">
        <v>13825</v>
      </c>
      <c r="F6489" s="3" t="s">
        <v>13826</v>
      </c>
    </row>
    <row r="6490">
      <c r="A6490" s="3">
        <v>857.0</v>
      </c>
      <c r="B6490" s="3" t="s">
        <v>11280</v>
      </c>
      <c r="C6490" s="3" t="s">
        <v>11281</v>
      </c>
      <c r="D6490" s="3" t="s">
        <v>13827</v>
      </c>
      <c r="E6490" s="3" t="s">
        <v>13828</v>
      </c>
      <c r="F6490" s="3" t="s">
        <v>13829</v>
      </c>
    </row>
    <row r="6491">
      <c r="A6491" s="3">
        <v>858.0</v>
      </c>
      <c r="B6491" s="3" t="s">
        <v>11280</v>
      </c>
      <c r="C6491" s="3" t="s">
        <v>11281</v>
      </c>
      <c r="D6491" s="3" t="s">
        <v>13830</v>
      </c>
      <c r="E6491" s="3" t="s">
        <v>13831</v>
      </c>
      <c r="F6491" s="3" t="s">
        <v>13832</v>
      </c>
    </row>
    <row r="6492">
      <c r="A6492" s="3">
        <v>859.0</v>
      </c>
      <c r="B6492" s="3" t="s">
        <v>11280</v>
      </c>
      <c r="C6492" s="3" t="s">
        <v>11281</v>
      </c>
      <c r="D6492" s="3" t="s">
        <v>13833</v>
      </c>
      <c r="E6492" s="3" t="s">
        <v>13834</v>
      </c>
      <c r="F6492" s="3" t="s">
        <v>13835</v>
      </c>
    </row>
    <row r="6493">
      <c r="A6493" s="3">
        <v>860.0</v>
      </c>
      <c r="B6493" s="3" t="s">
        <v>11280</v>
      </c>
      <c r="C6493" s="3" t="s">
        <v>11281</v>
      </c>
      <c r="D6493" s="3" t="s">
        <v>13836</v>
      </c>
      <c r="E6493" s="3" t="s">
        <v>13837</v>
      </c>
      <c r="F6493" s="3" t="s">
        <v>13838</v>
      </c>
    </row>
    <row r="6494">
      <c r="A6494" s="3">
        <v>861.0</v>
      </c>
      <c r="B6494" s="3" t="s">
        <v>11280</v>
      </c>
      <c r="C6494" s="3" t="s">
        <v>11281</v>
      </c>
      <c r="D6494" s="3" t="s">
        <v>13839</v>
      </c>
      <c r="E6494" s="3" t="s">
        <v>13840</v>
      </c>
      <c r="F6494" s="3" t="s">
        <v>13841</v>
      </c>
    </row>
    <row r="6495">
      <c r="A6495" s="3">
        <v>862.0</v>
      </c>
      <c r="B6495" s="3" t="s">
        <v>11280</v>
      </c>
      <c r="C6495" s="3" t="s">
        <v>11281</v>
      </c>
      <c r="D6495" s="3" t="s">
        <v>13842</v>
      </c>
      <c r="E6495" s="3" t="s">
        <v>13843</v>
      </c>
      <c r="F6495" s="3" t="s">
        <v>13844</v>
      </c>
    </row>
    <row r="6496">
      <c r="A6496" s="3">
        <v>863.0</v>
      </c>
      <c r="B6496" s="3" t="s">
        <v>11280</v>
      </c>
      <c r="C6496" s="3" t="s">
        <v>11281</v>
      </c>
      <c r="D6496" s="3" t="s">
        <v>13845</v>
      </c>
      <c r="E6496" s="3" t="s">
        <v>2514</v>
      </c>
      <c r="F6496" s="3" t="s">
        <v>2513</v>
      </c>
      <c r="G6496" s="3"/>
      <c r="H6496" s="3" t="s">
        <v>13846</v>
      </c>
    </row>
    <row r="6497">
      <c r="A6497" s="3">
        <v>864.0</v>
      </c>
      <c r="B6497" s="3" t="s">
        <v>11280</v>
      </c>
      <c r="C6497" s="3" t="s">
        <v>11281</v>
      </c>
      <c r="D6497" s="3" t="s">
        <v>13847</v>
      </c>
      <c r="E6497" s="3" t="s">
        <v>8222</v>
      </c>
      <c r="F6497" s="3" t="s">
        <v>8223</v>
      </c>
      <c r="G6497" s="3"/>
      <c r="H6497" s="3" t="s">
        <v>6662</v>
      </c>
      <c r="I6497" s="3" t="s">
        <v>1274</v>
      </c>
      <c r="J6497" s="3" t="s">
        <v>9881</v>
      </c>
      <c r="K6497" s="3" t="s">
        <v>10157</v>
      </c>
      <c r="L6497" s="3" t="s">
        <v>10159</v>
      </c>
      <c r="M6497" s="3" t="s">
        <v>6662</v>
      </c>
      <c r="N6497" s="3" t="s">
        <v>6659</v>
      </c>
      <c r="O6497" s="3" t="s">
        <v>6660</v>
      </c>
      <c r="P6497" s="3" t="s">
        <v>6661</v>
      </c>
      <c r="Q6497" s="3" t="s">
        <v>6662</v>
      </c>
      <c r="R6497" s="3" t="s">
        <v>6663</v>
      </c>
      <c r="S6497" s="3" t="s">
        <v>13848</v>
      </c>
      <c r="T6497" s="3" t="s">
        <v>6662</v>
      </c>
      <c r="U6497" s="3" t="s">
        <v>13849</v>
      </c>
      <c r="V6497" s="3" t="s">
        <v>6662</v>
      </c>
      <c r="W6497" s="3" t="s">
        <v>13850</v>
      </c>
      <c r="X6497" s="3" t="s">
        <v>6662</v>
      </c>
      <c r="Y6497" s="3" t="s">
        <v>9881</v>
      </c>
      <c r="Z6497" s="3" t="s">
        <v>6662</v>
      </c>
      <c r="AA6497" s="3" t="s">
        <v>9586</v>
      </c>
      <c r="AB6497" s="3" t="s">
        <v>6662</v>
      </c>
    </row>
    <row r="6498">
      <c r="A6498" s="3">
        <v>865.0</v>
      </c>
      <c r="B6498" s="3" t="s">
        <v>11280</v>
      </c>
      <c r="C6498" s="3" t="s">
        <v>11281</v>
      </c>
      <c r="D6498" s="3" t="s">
        <v>13851</v>
      </c>
      <c r="E6498" s="3" t="s">
        <v>13852</v>
      </c>
      <c r="F6498" s="3" t="s">
        <v>13853</v>
      </c>
    </row>
    <row r="6499">
      <c r="A6499" s="3">
        <v>866.0</v>
      </c>
      <c r="B6499" s="3" t="s">
        <v>11280</v>
      </c>
      <c r="C6499" s="3" t="s">
        <v>11281</v>
      </c>
      <c r="D6499" s="3" t="s">
        <v>13854</v>
      </c>
      <c r="E6499" s="3" t="s">
        <v>13855</v>
      </c>
      <c r="F6499" s="3" t="s">
        <v>13856</v>
      </c>
    </row>
    <row r="6500">
      <c r="A6500" s="3">
        <v>867.0</v>
      </c>
      <c r="B6500" s="3" t="s">
        <v>11280</v>
      </c>
      <c r="C6500" s="3" t="s">
        <v>11281</v>
      </c>
      <c r="D6500" s="3" t="s">
        <v>13857</v>
      </c>
      <c r="E6500" s="3" t="s">
        <v>13858</v>
      </c>
      <c r="F6500" s="3" t="s">
        <v>13859</v>
      </c>
    </row>
    <row r="6501">
      <c r="A6501" s="3">
        <v>868.0</v>
      </c>
      <c r="B6501" s="3" t="s">
        <v>11280</v>
      </c>
      <c r="C6501" s="3" t="s">
        <v>11281</v>
      </c>
      <c r="D6501" s="3" t="s">
        <v>13860</v>
      </c>
      <c r="E6501" s="3" t="s">
        <v>13861</v>
      </c>
      <c r="F6501" s="3" t="s">
        <v>13862</v>
      </c>
    </row>
    <row r="6502">
      <c r="A6502" s="3">
        <v>869.0</v>
      </c>
      <c r="B6502" s="3" t="s">
        <v>11280</v>
      </c>
      <c r="C6502" s="3" t="s">
        <v>11281</v>
      </c>
      <c r="D6502" s="3" t="s">
        <v>13863</v>
      </c>
      <c r="E6502" s="3" t="s">
        <v>13864</v>
      </c>
      <c r="F6502" s="3" t="s">
        <v>13853</v>
      </c>
    </row>
    <row r="6503">
      <c r="A6503" s="3">
        <v>870.0</v>
      </c>
      <c r="B6503" s="3" t="s">
        <v>11280</v>
      </c>
      <c r="C6503" s="3" t="s">
        <v>11281</v>
      </c>
      <c r="D6503" s="3" t="s">
        <v>13865</v>
      </c>
      <c r="E6503" s="3" t="s">
        <v>13866</v>
      </c>
      <c r="F6503" s="3" t="s">
        <v>13862</v>
      </c>
    </row>
    <row r="6504">
      <c r="A6504" s="3">
        <v>871.0</v>
      </c>
      <c r="B6504" s="3" t="s">
        <v>11280</v>
      </c>
      <c r="C6504" s="3" t="s">
        <v>11281</v>
      </c>
      <c r="D6504" s="3" t="s">
        <v>13867</v>
      </c>
      <c r="E6504" s="3" t="s">
        <v>13868</v>
      </c>
      <c r="F6504" s="3" t="s">
        <v>13869</v>
      </c>
    </row>
    <row r="6505">
      <c r="A6505" s="3">
        <v>872.0</v>
      </c>
      <c r="B6505" s="3" t="s">
        <v>11280</v>
      </c>
      <c r="C6505" s="3" t="s">
        <v>11281</v>
      </c>
      <c r="D6505" s="3" t="s">
        <v>13870</v>
      </c>
      <c r="E6505" s="3" t="s">
        <v>13871</v>
      </c>
      <c r="F6505" s="3" t="s">
        <v>13872</v>
      </c>
    </row>
    <row r="6506">
      <c r="A6506" s="3">
        <v>873.0</v>
      </c>
      <c r="B6506" s="3" t="s">
        <v>11280</v>
      </c>
      <c r="C6506" s="3" t="s">
        <v>11281</v>
      </c>
      <c r="D6506" s="3" t="s">
        <v>13873</v>
      </c>
      <c r="E6506" s="3" t="s">
        <v>13874</v>
      </c>
      <c r="F6506" s="3" t="s">
        <v>13875</v>
      </c>
    </row>
    <row r="6507">
      <c r="A6507" s="3">
        <v>874.0</v>
      </c>
      <c r="B6507" s="3" t="s">
        <v>11280</v>
      </c>
      <c r="C6507" s="3" t="s">
        <v>11281</v>
      </c>
      <c r="D6507" s="3" t="s">
        <v>13876</v>
      </c>
      <c r="E6507" s="3" t="s">
        <v>13877</v>
      </c>
      <c r="F6507" s="3" t="s">
        <v>13878</v>
      </c>
    </row>
    <row r="6508">
      <c r="A6508" s="3">
        <v>875.0</v>
      </c>
      <c r="B6508" s="3" t="s">
        <v>11280</v>
      </c>
      <c r="C6508" s="3" t="s">
        <v>11281</v>
      </c>
      <c r="D6508" s="3" t="s">
        <v>13879</v>
      </c>
      <c r="E6508" s="3" t="s">
        <v>13880</v>
      </c>
      <c r="F6508" s="3" t="s">
        <v>13881</v>
      </c>
    </row>
    <row r="6509">
      <c r="A6509" s="3">
        <v>876.0</v>
      </c>
      <c r="B6509" s="3" t="s">
        <v>11280</v>
      </c>
      <c r="C6509" s="3" t="s">
        <v>11281</v>
      </c>
      <c r="D6509" s="3" t="s">
        <v>13882</v>
      </c>
      <c r="E6509" s="3" t="s">
        <v>13883</v>
      </c>
      <c r="F6509" s="3" t="s">
        <v>13884</v>
      </c>
    </row>
    <row r="6510">
      <c r="A6510" s="3">
        <v>877.0</v>
      </c>
      <c r="B6510" s="3" t="s">
        <v>11280</v>
      </c>
      <c r="C6510" s="3" t="s">
        <v>11281</v>
      </c>
      <c r="D6510" s="3" t="s">
        <v>13885</v>
      </c>
      <c r="E6510" s="3" t="s">
        <v>13886</v>
      </c>
      <c r="F6510" s="3" t="s">
        <v>13887</v>
      </c>
    </row>
    <row r="6511">
      <c r="A6511" s="3">
        <v>878.0</v>
      </c>
      <c r="B6511" s="3" t="s">
        <v>11280</v>
      </c>
      <c r="C6511" s="3" t="s">
        <v>11281</v>
      </c>
      <c r="D6511" s="3" t="s">
        <v>13888</v>
      </c>
      <c r="E6511" s="3" t="s">
        <v>13889</v>
      </c>
      <c r="F6511" s="3" t="s">
        <v>13890</v>
      </c>
    </row>
    <row r="6512">
      <c r="A6512" s="3">
        <v>879.0</v>
      </c>
      <c r="B6512" s="3" t="s">
        <v>11280</v>
      </c>
      <c r="C6512" s="3" t="s">
        <v>11281</v>
      </c>
      <c r="D6512" s="3" t="s">
        <v>13891</v>
      </c>
      <c r="E6512" s="3" t="s">
        <v>13892</v>
      </c>
      <c r="F6512" s="3" t="s">
        <v>13893</v>
      </c>
    </row>
    <row r="6513">
      <c r="A6513" s="3">
        <v>880.0</v>
      </c>
      <c r="B6513" s="3" t="s">
        <v>11280</v>
      </c>
      <c r="C6513" s="3" t="s">
        <v>11281</v>
      </c>
      <c r="D6513" s="3" t="s">
        <v>13894</v>
      </c>
      <c r="E6513" s="3" t="s">
        <v>13895</v>
      </c>
      <c r="F6513" s="3" t="s">
        <v>13896</v>
      </c>
    </row>
    <row r="6514">
      <c r="A6514" s="3">
        <v>881.0</v>
      </c>
      <c r="B6514" s="3" t="s">
        <v>11280</v>
      </c>
      <c r="C6514" s="3" t="s">
        <v>11281</v>
      </c>
      <c r="D6514" s="3" t="s">
        <v>13897</v>
      </c>
      <c r="E6514" s="3" t="s">
        <v>13898</v>
      </c>
      <c r="F6514" s="3" t="s">
        <v>13899</v>
      </c>
      <c r="G6514" s="3"/>
      <c r="H6514" s="3" t="s">
        <v>13900</v>
      </c>
      <c r="I6514" s="3" t="s">
        <v>13901</v>
      </c>
      <c r="J6514" s="3" t="s">
        <v>13902</v>
      </c>
      <c r="K6514" s="3" t="s">
        <v>13903</v>
      </c>
      <c r="L6514" s="3" t="s">
        <v>13904</v>
      </c>
    </row>
    <row r="6515">
      <c r="A6515" s="3">
        <v>882.0</v>
      </c>
      <c r="B6515" s="3" t="s">
        <v>11280</v>
      </c>
      <c r="C6515" s="3" t="s">
        <v>11281</v>
      </c>
      <c r="D6515" s="3" t="s">
        <v>13905</v>
      </c>
      <c r="E6515" s="3" t="s">
        <v>13906</v>
      </c>
      <c r="F6515" s="3" t="s">
        <v>13907</v>
      </c>
    </row>
    <row r="6516">
      <c r="A6516" s="3">
        <v>883.0</v>
      </c>
      <c r="B6516" s="3" t="s">
        <v>11280</v>
      </c>
      <c r="C6516" s="3" t="s">
        <v>11281</v>
      </c>
      <c r="D6516" s="3" t="s">
        <v>13908</v>
      </c>
      <c r="E6516" s="3" t="s">
        <v>13909</v>
      </c>
      <c r="F6516" s="3" t="s">
        <v>13910</v>
      </c>
    </row>
    <row r="6517">
      <c r="A6517" s="3">
        <v>884.0</v>
      </c>
      <c r="B6517" s="3" t="s">
        <v>11280</v>
      </c>
      <c r="C6517" s="3" t="s">
        <v>11281</v>
      </c>
      <c r="D6517" s="3" t="s">
        <v>13911</v>
      </c>
      <c r="E6517" s="3" t="s">
        <v>13912</v>
      </c>
      <c r="F6517" s="3" t="s">
        <v>13913</v>
      </c>
    </row>
    <row r="6518">
      <c r="A6518" s="3">
        <v>885.0</v>
      </c>
      <c r="B6518" s="3" t="s">
        <v>11280</v>
      </c>
      <c r="C6518" s="3" t="s">
        <v>11281</v>
      </c>
      <c r="D6518" s="3" t="s">
        <v>13914</v>
      </c>
      <c r="E6518" s="3" t="s">
        <v>13915</v>
      </c>
      <c r="F6518" s="3" t="s">
        <v>13916</v>
      </c>
      <c r="G6518" s="3"/>
      <c r="H6518" s="3" t="s">
        <v>13903</v>
      </c>
    </row>
    <row r="6519">
      <c r="A6519" s="3">
        <v>886.0</v>
      </c>
      <c r="B6519" s="3" t="s">
        <v>11280</v>
      </c>
      <c r="C6519" s="3" t="s">
        <v>11281</v>
      </c>
      <c r="D6519" s="3" t="s">
        <v>13917</v>
      </c>
      <c r="E6519" s="3" t="s">
        <v>13918</v>
      </c>
      <c r="F6519" s="3" t="s">
        <v>13919</v>
      </c>
    </row>
    <row r="6520">
      <c r="A6520" s="3">
        <v>887.0</v>
      </c>
      <c r="B6520" s="3" t="s">
        <v>11280</v>
      </c>
      <c r="C6520" s="3" t="s">
        <v>11281</v>
      </c>
      <c r="D6520" s="3" t="s">
        <v>13920</v>
      </c>
      <c r="E6520" s="3" t="s">
        <v>13921</v>
      </c>
      <c r="F6520" s="3" t="s">
        <v>13922</v>
      </c>
    </row>
    <row r="6521">
      <c r="A6521" s="3">
        <v>888.0</v>
      </c>
      <c r="B6521" s="3" t="s">
        <v>11280</v>
      </c>
      <c r="C6521" s="3" t="s">
        <v>11281</v>
      </c>
      <c r="D6521" s="3" t="s">
        <v>13923</v>
      </c>
      <c r="E6521" s="3" t="s">
        <v>13924</v>
      </c>
      <c r="F6521" s="3" t="s">
        <v>13925</v>
      </c>
    </row>
    <row r="6522">
      <c r="A6522" s="3">
        <v>889.0</v>
      </c>
      <c r="B6522" s="3" t="s">
        <v>11280</v>
      </c>
      <c r="C6522" s="3" t="s">
        <v>11281</v>
      </c>
      <c r="D6522" s="3" t="s">
        <v>13926</v>
      </c>
      <c r="E6522" s="3" t="s">
        <v>13927</v>
      </c>
      <c r="F6522" s="3" t="s">
        <v>13928</v>
      </c>
    </row>
    <row r="6523">
      <c r="A6523" s="3">
        <v>890.0</v>
      </c>
      <c r="B6523" s="3" t="s">
        <v>11280</v>
      </c>
      <c r="C6523" s="3" t="s">
        <v>11281</v>
      </c>
      <c r="D6523" s="3" t="s">
        <v>13929</v>
      </c>
      <c r="E6523" s="3" t="s">
        <v>13930</v>
      </c>
      <c r="F6523" s="3" t="s">
        <v>13931</v>
      </c>
    </row>
    <row r="6524">
      <c r="A6524" s="3">
        <v>891.0</v>
      </c>
      <c r="B6524" s="3" t="s">
        <v>11280</v>
      </c>
      <c r="C6524" s="3" t="s">
        <v>11281</v>
      </c>
      <c r="D6524" s="3" t="s">
        <v>13932</v>
      </c>
      <c r="E6524" s="3" t="s">
        <v>13933</v>
      </c>
      <c r="F6524" s="3" t="s">
        <v>13934</v>
      </c>
    </row>
    <row r="6525">
      <c r="A6525" s="3">
        <v>892.0</v>
      </c>
      <c r="B6525" s="3" t="s">
        <v>11280</v>
      </c>
      <c r="C6525" s="3" t="s">
        <v>11281</v>
      </c>
      <c r="D6525" s="3" t="s">
        <v>13935</v>
      </c>
      <c r="E6525" s="3" t="s">
        <v>13936</v>
      </c>
      <c r="F6525" s="3" t="s">
        <v>13937</v>
      </c>
    </row>
    <row r="6526">
      <c r="A6526" s="3">
        <v>893.0</v>
      </c>
      <c r="B6526" s="3" t="s">
        <v>11280</v>
      </c>
      <c r="C6526" s="3" t="s">
        <v>11281</v>
      </c>
      <c r="D6526" s="3" t="s">
        <v>13938</v>
      </c>
      <c r="E6526" s="3" t="s">
        <v>13939</v>
      </c>
      <c r="F6526" s="3" t="s">
        <v>13940</v>
      </c>
    </row>
    <row r="6527">
      <c r="A6527" s="3">
        <v>894.0</v>
      </c>
      <c r="B6527" s="3" t="s">
        <v>11280</v>
      </c>
      <c r="C6527" s="3" t="s">
        <v>11281</v>
      </c>
      <c r="D6527" s="3" t="s">
        <v>13941</v>
      </c>
      <c r="E6527" s="3" t="s">
        <v>13942</v>
      </c>
      <c r="F6527" s="3" t="s">
        <v>13943</v>
      </c>
    </row>
    <row r="6528">
      <c r="A6528" s="3">
        <v>895.0</v>
      </c>
      <c r="B6528" s="3" t="s">
        <v>11280</v>
      </c>
      <c r="C6528" s="3" t="s">
        <v>11281</v>
      </c>
      <c r="D6528" s="3" t="s">
        <v>13944</v>
      </c>
      <c r="E6528" s="3" t="s">
        <v>13945</v>
      </c>
      <c r="F6528" s="3" t="s">
        <v>13946</v>
      </c>
    </row>
    <row r="6529">
      <c r="A6529" s="3">
        <v>896.0</v>
      </c>
      <c r="B6529" s="3" t="s">
        <v>11280</v>
      </c>
      <c r="C6529" s="3" t="s">
        <v>11281</v>
      </c>
      <c r="D6529" s="3" t="s">
        <v>13947</v>
      </c>
      <c r="E6529" s="3" t="s">
        <v>13948</v>
      </c>
      <c r="F6529" s="3" t="s">
        <v>13949</v>
      </c>
    </row>
    <row r="6530">
      <c r="A6530" s="3">
        <v>897.0</v>
      </c>
      <c r="B6530" s="3" t="s">
        <v>11280</v>
      </c>
      <c r="C6530" s="3" t="s">
        <v>11281</v>
      </c>
      <c r="D6530" s="3" t="s">
        <v>13950</v>
      </c>
      <c r="E6530" s="3" t="s">
        <v>13951</v>
      </c>
      <c r="F6530" s="3" t="s">
        <v>13952</v>
      </c>
    </row>
    <row r="6531">
      <c r="A6531" s="3">
        <v>898.0</v>
      </c>
      <c r="B6531" s="3" t="s">
        <v>11280</v>
      </c>
      <c r="C6531" s="3" t="s">
        <v>11281</v>
      </c>
      <c r="D6531" s="3" t="s">
        <v>13953</v>
      </c>
      <c r="E6531" s="3" t="s">
        <v>13954</v>
      </c>
      <c r="F6531" s="3" t="s">
        <v>13955</v>
      </c>
    </row>
    <row r="6532">
      <c r="A6532" s="3">
        <v>899.0</v>
      </c>
      <c r="B6532" s="3" t="s">
        <v>11280</v>
      </c>
      <c r="C6532" s="3" t="s">
        <v>11281</v>
      </c>
      <c r="D6532" s="3" t="s">
        <v>13956</v>
      </c>
      <c r="E6532" s="3" t="s">
        <v>13957</v>
      </c>
      <c r="F6532" s="3" t="s">
        <v>13958</v>
      </c>
    </row>
    <row r="6533">
      <c r="A6533" s="3">
        <v>900.0</v>
      </c>
      <c r="B6533" s="3" t="s">
        <v>11280</v>
      </c>
      <c r="C6533" s="3" t="s">
        <v>11281</v>
      </c>
      <c r="D6533" s="3" t="s">
        <v>13959</v>
      </c>
      <c r="E6533" s="3" t="s">
        <v>1345</v>
      </c>
      <c r="F6533" s="3" t="s">
        <v>1346</v>
      </c>
      <c r="G6533" s="3"/>
      <c r="H6533" s="3" t="s">
        <v>13960</v>
      </c>
      <c r="I6533" s="3" t="s">
        <v>13961</v>
      </c>
      <c r="J6533" s="3" t="s">
        <v>13962</v>
      </c>
      <c r="K6533" s="3" t="s">
        <v>13963</v>
      </c>
      <c r="L6533" s="3" t="s">
        <v>13964</v>
      </c>
      <c r="M6533" s="3" t="s">
        <v>9010</v>
      </c>
      <c r="N6533" s="3" t="s">
        <v>8754</v>
      </c>
      <c r="O6533" s="3" t="s">
        <v>9011</v>
      </c>
      <c r="P6533" s="3" t="s">
        <v>9012</v>
      </c>
      <c r="Q6533" s="3" t="s">
        <v>9013</v>
      </c>
      <c r="R6533" s="3" t="s">
        <v>9014</v>
      </c>
      <c r="S6533" s="3" t="s">
        <v>5944</v>
      </c>
      <c r="T6533" s="3" t="s">
        <v>5944</v>
      </c>
      <c r="U6533" s="3" t="s">
        <v>13965</v>
      </c>
      <c r="V6533" s="3" t="s">
        <v>5944</v>
      </c>
      <c r="W6533" s="3" t="s">
        <v>13966</v>
      </c>
      <c r="X6533" s="3" t="s">
        <v>13967</v>
      </c>
      <c r="Y6533" s="3" t="s">
        <v>13968</v>
      </c>
      <c r="Z6533" s="3" t="s">
        <v>13969</v>
      </c>
      <c r="AA6533" s="3" t="s">
        <v>8751</v>
      </c>
      <c r="AB6533" s="3" t="s">
        <v>8753</v>
      </c>
      <c r="AC6533" s="3" t="s">
        <v>5944</v>
      </c>
      <c r="AD6533" s="3" t="s">
        <v>8754</v>
      </c>
      <c r="AE6533" s="3" t="s">
        <v>8755</v>
      </c>
      <c r="AF6533" s="3" t="s">
        <v>5944</v>
      </c>
      <c r="AG6533" s="3" t="s">
        <v>8754</v>
      </c>
      <c r="AH6533" s="3" t="s">
        <v>8754</v>
      </c>
      <c r="AI6533" s="3" t="s">
        <v>9877</v>
      </c>
      <c r="AJ6533" s="3" t="s">
        <v>8754</v>
      </c>
    </row>
    <row r="6534">
      <c r="A6534" s="3">
        <v>901.0</v>
      </c>
      <c r="B6534" s="3" t="s">
        <v>11280</v>
      </c>
      <c r="C6534" s="3" t="s">
        <v>11281</v>
      </c>
      <c r="D6534" s="3" t="s">
        <v>13970</v>
      </c>
      <c r="E6534" s="3" t="s">
        <v>13971</v>
      </c>
      <c r="F6534" s="3" t="s">
        <v>13972</v>
      </c>
    </row>
    <row r="6535">
      <c r="A6535" s="3">
        <v>902.0</v>
      </c>
      <c r="B6535" s="3" t="s">
        <v>11280</v>
      </c>
      <c r="C6535" s="3" t="s">
        <v>11281</v>
      </c>
      <c r="D6535" s="3" t="s">
        <v>13973</v>
      </c>
      <c r="E6535" s="3" t="s">
        <v>13974</v>
      </c>
      <c r="F6535" s="3" t="s">
        <v>13975</v>
      </c>
    </row>
    <row r="6536">
      <c r="A6536" s="3">
        <v>903.0</v>
      </c>
      <c r="B6536" s="3" t="s">
        <v>11280</v>
      </c>
      <c r="C6536" s="3" t="s">
        <v>11281</v>
      </c>
      <c r="D6536" s="3" t="s">
        <v>13976</v>
      </c>
      <c r="E6536" s="3" t="s">
        <v>13977</v>
      </c>
      <c r="F6536" s="3" t="s">
        <v>13978</v>
      </c>
    </row>
    <row r="6537">
      <c r="A6537" s="3">
        <v>904.0</v>
      </c>
      <c r="B6537" s="3" t="s">
        <v>11280</v>
      </c>
      <c r="C6537" s="3" t="s">
        <v>11281</v>
      </c>
      <c r="D6537" s="3" t="s">
        <v>13979</v>
      </c>
      <c r="E6537" s="3" t="s">
        <v>13980</v>
      </c>
      <c r="F6537" s="3" t="s">
        <v>13981</v>
      </c>
    </row>
    <row r="6538">
      <c r="A6538" s="3">
        <v>905.0</v>
      </c>
      <c r="B6538" s="3" t="s">
        <v>11280</v>
      </c>
      <c r="C6538" s="3" t="s">
        <v>11281</v>
      </c>
      <c r="D6538" s="3" t="s">
        <v>13982</v>
      </c>
      <c r="E6538" s="3" t="s">
        <v>13983</v>
      </c>
      <c r="F6538" s="3" t="s">
        <v>13984</v>
      </c>
    </row>
    <row r="6539">
      <c r="A6539" s="3">
        <v>906.0</v>
      </c>
      <c r="B6539" s="3" t="s">
        <v>11280</v>
      </c>
      <c r="C6539" s="3" t="s">
        <v>11281</v>
      </c>
      <c r="D6539" s="3" t="s">
        <v>13985</v>
      </c>
      <c r="E6539" s="3" t="s">
        <v>13986</v>
      </c>
      <c r="F6539" s="3" t="s">
        <v>13987</v>
      </c>
    </row>
    <row r="6540">
      <c r="A6540" s="3">
        <v>907.0</v>
      </c>
      <c r="B6540" s="3" t="s">
        <v>11280</v>
      </c>
      <c r="C6540" s="3" t="s">
        <v>11281</v>
      </c>
      <c r="D6540" s="3" t="s">
        <v>13988</v>
      </c>
      <c r="E6540" s="3" t="s">
        <v>13989</v>
      </c>
      <c r="F6540" s="3" t="s">
        <v>13990</v>
      </c>
    </row>
    <row r="6541">
      <c r="A6541" s="3">
        <v>908.0</v>
      </c>
      <c r="B6541" s="3" t="s">
        <v>11280</v>
      </c>
      <c r="C6541" s="3" t="s">
        <v>11281</v>
      </c>
      <c r="D6541" s="3" t="s">
        <v>13991</v>
      </c>
      <c r="E6541" s="3" t="s">
        <v>13992</v>
      </c>
      <c r="F6541" s="3" t="s">
        <v>13993</v>
      </c>
    </row>
    <row r="6542">
      <c r="A6542" s="3">
        <v>909.0</v>
      </c>
      <c r="B6542" s="3" t="s">
        <v>11280</v>
      </c>
      <c r="C6542" s="3" t="s">
        <v>11281</v>
      </c>
      <c r="D6542" s="3" t="s">
        <v>13994</v>
      </c>
      <c r="E6542" s="3" t="s">
        <v>13995</v>
      </c>
      <c r="F6542" s="3" t="s">
        <v>13996</v>
      </c>
      <c r="G6542" s="3"/>
      <c r="H6542" s="3" t="s">
        <v>13997</v>
      </c>
      <c r="I6542" s="3" t="s">
        <v>13998</v>
      </c>
      <c r="J6542" s="3" t="s">
        <v>13999</v>
      </c>
      <c r="K6542" s="3" t="s">
        <v>14000</v>
      </c>
      <c r="L6542" s="3" t="s">
        <v>14001</v>
      </c>
      <c r="M6542" s="3" t="s">
        <v>13997</v>
      </c>
      <c r="N6542" s="3" t="s">
        <v>14002</v>
      </c>
      <c r="O6542" s="3" t="s">
        <v>14003</v>
      </c>
      <c r="P6542" s="3" t="s">
        <v>13035</v>
      </c>
      <c r="Q6542" s="3" t="s">
        <v>14004</v>
      </c>
      <c r="R6542" s="3" t="s">
        <v>14005</v>
      </c>
      <c r="S6542" s="3" t="s">
        <v>14006</v>
      </c>
      <c r="T6542" s="3" t="s">
        <v>14007</v>
      </c>
    </row>
    <row r="6543">
      <c r="A6543" s="3">
        <v>910.0</v>
      </c>
      <c r="B6543" s="3" t="s">
        <v>11280</v>
      </c>
      <c r="C6543" s="3" t="s">
        <v>11281</v>
      </c>
      <c r="D6543" s="3" t="s">
        <v>14008</v>
      </c>
      <c r="E6543" s="3" t="s">
        <v>14009</v>
      </c>
      <c r="F6543" s="3" t="s">
        <v>14010</v>
      </c>
    </row>
    <row r="6544">
      <c r="A6544" s="3">
        <v>911.0</v>
      </c>
      <c r="B6544" s="3" t="s">
        <v>11280</v>
      </c>
      <c r="C6544" s="3" t="s">
        <v>11281</v>
      </c>
      <c r="D6544" s="3" t="s">
        <v>14011</v>
      </c>
      <c r="E6544" s="3" t="s">
        <v>14012</v>
      </c>
      <c r="F6544" s="3" t="s">
        <v>14013</v>
      </c>
    </row>
    <row r="6545">
      <c r="A6545" s="3">
        <v>912.0</v>
      </c>
      <c r="B6545" s="3" t="s">
        <v>11280</v>
      </c>
      <c r="C6545" s="3" t="s">
        <v>11281</v>
      </c>
      <c r="D6545" s="3" t="s">
        <v>14014</v>
      </c>
      <c r="E6545" s="3" t="s">
        <v>14015</v>
      </c>
      <c r="F6545" s="3" t="s">
        <v>14016</v>
      </c>
    </row>
    <row r="6546">
      <c r="A6546" s="3">
        <v>913.0</v>
      </c>
      <c r="B6546" s="3" t="s">
        <v>11280</v>
      </c>
      <c r="C6546" s="3" t="s">
        <v>11281</v>
      </c>
      <c r="D6546" s="3" t="s">
        <v>14017</v>
      </c>
      <c r="E6546" s="3" t="s">
        <v>1354</v>
      </c>
      <c r="F6546" s="3" t="s">
        <v>1355</v>
      </c>
    </row>
    <row r="6547">
      <c r="A6547" s="3">
        <v>914.0</v>
      </c>
      <c r="B6547" s="3" t="s">
        <v>11280</v>
      </c>
      <c r="C6547" s="3" t="s">
        <v>11281</v>
      </c>
      <c r="D6547" s="3" t="s">
        <v>14018</v>
      </c>
      <c r="E6547" s="3" t="s">
        <v>14019</v>
      </c>
      <c r="F6547" s="3" t="s">
        <v>14020</v>
      </c>
    </row>
    <row r="6548">
      <c r="A6548" s="3">
        <v>915.0</v>
      </c>
      <c r="B6548" s="3" t="s">
        <v>11280</v>
      </c>
      <c r="C6548" s="3" t="s">
        <v>11281</v>
      </c>
      <c r="D6548" s="3" t="s">
        <v>14021</v>
      </c>
      <c r="E6548" s="3" t="s">
        <v>14022</v>
      </c>
      <c r="F6548" s="3" t="s">
        <v>14023</v>
      </c>
      <c r="G6548" s="3"/>
      <c r="H6548" s="3" t="s">
        <v>14024</v>
      </c>
      <c r="I6548" s="3" t="s">
        <v>14025</v>
      </c>
    </row>
    <row r="6549">
      <c r="A6549" s="3">
        <v>916.0</v>
      </c>
      <c r="B6549" s="3" t="s">
        <v>11280</v>
      </c>
      <c r="C6549" s="3" t="s">
        <v>11281</v>
      </c>
      <c r="D6549" s="3" t="s">
        <v>14026</v>
      </c>
      <c r="E6549" s="3" t="s">
        <v>14027</v>
      </c>
      <c r="F6549" s="3" t="s">
        <v>14028</v>
      </c>
    </row>
    <row r="6550">
      <c r="A6550" s="3">
        <v>917.0</v>
      </c>
      <c r="B6550" s="3" t="s">
        <v>11280</v>
      </c>
      <c r="C6550" s="3" t="s">
        <v>11281</v>
      </c>
      <c r="D6550" s="3" t="s">
        <v>14029</v>
      </c>
      <c r="E6550" s="3" t="s">
        <v>14030</v>
      </c>
      <c r="F6550" s="3" t="s">
        <v>14031</v>
      </c>
    </row>
    <row r="6551">
      <c r="A6551" s="3">
        <v>918.0</v>
      </c>
      <c r="B6551" s="3" t="s">
        <v>11280</v>
      </c>
      <c r="C6551" s="3" t="s">
        <v>11281</v>
      </c>
      <c r="D6551" s="3" t="s">
        <v>14032</v>
      </c>
      <c r="E6551" s="3" t="s">
        <v>14033</v>
      </c>
      <c r="F6551" s="3" t="s">
        <v>14034</v>
      </c>
    </row>
    <row r="6552">
      <c r="A6552" s="3">
        <v>919.0</v>
      </c>
      <c r="B6552" s="3" t="s">
        <v>11280</v>
      </c>
      <c r="C6552" s="3" t="s">
        <v>11281</v>
      </c>
      <c r="D6552" s="3" t="s">
        <v>14035</v>
      </c>
      <c r="E6552" s="3" t="s">
        <v>14036</v>
      </c>
      <c r="F6552" s="3" t="s">
        <v>14037</v>
      </c>
    </row>
    <row r="6553">
      <c r="A6553" s="3">
        <v>920.0</v>
      </c>
      <c r="B6553" s="3" t="s">
        <v>11280</v>
      </c>
      <c r="C6553" s="3" t="s">
        <v>11281</v>
      </c>
      <c r="D6553" s="3" t="s">
        <v>14038</v>
      </c>
      <c r="E6553" s="3" t="s">
        <v>14039</v>
      </c>
      <c r="F6553" s="3" t="s">
        <v>14040</v>
      </c>
    </row>
    <row r="6554">
      <c r="A6554" s="3">
        <v>921.0</v>
      </c>
      <c r="B6554" s="3" t="s">
        <v>11280</v>
      </c>
      <c r="C6554" s="3" t="s">
        <v>11281</v>
      </c>
      <c r="D6554" s="3" t="s">
        <v>14041</v>
      </c>
      <c r="E6554" s="3" t="s">
        <v>14042</v>
      </c>
      <c r="F6554" s="3" t="s">
        <v>14043</v>
      </c>
    </row>
    <row r="6555">
      <c r="A6555" s="3">
        <v>922.0</v>
      </c>
      <c r="B6555" s="3" t="s">
        <v>11280</v>
      </c>
      <c r="C6555" s="3" t="s">
        <v>11281</v>
      </c>
      <c r="D6555" s="3" t="s">
        <v>14044</v>
      </c>
      <c r="E6555" s="3" t="s">
        <v>14045</v>
      </c>
      <c r="F6555" s="3" t="s">
        <v>14046</v>
      </c>
    </row>
    <row r="6556">
      <c r="A6556" s="3">
        <v>923.0</v>
      </c>
      <c r="B6556" s="3" t="s">
        <v>11280</v>
      </c>
      <c r="C6556" s="3" t="s">
        <v>11281</v>
      </c>
      <c r="D6556" s="3" t="s">
        <v>14047</v>
      </c>
      <c r="E6556" s="3" t="s">
        <v>14048</v>
      </c>
      <c r="F6556" s="3" t="s">
        <v>14049</v>
      </c>
    </row>
    <row r="6557">
      <c r="A6557" s="3">
        <v>924.0</v>
      </c>
      <c r="B6557" s="3" t="s">
        <v>11280</v>
      </c>
      <c r="C6557" s="3" t="s">
        <v>11281</v>
      </c>
      <c r="D6557" s="3" t="s">
        <v>14050</v>
      </c>
      <c r="E6557" s="3" t="s">
        <v>14051</v>
      </c>
      <c r="F6557" s="3" t="s">
        <v>14052</v>
      </c>
    </row>
    <row r="6558">
      <c r="A6558" s="3">
        <v>925.0</v>
      </c>
      <c r="B6558" s="3" t="s">
        <v>11280</v>
      </c>
      <c r="C6558" s="3" t="s">
        <v>11281</v>
      </c>
      <c r="D6558" s="3" t="s">
        <v>14053</v>
      </c>
      <c r="E6558" s="3" t="s">
        <v>14054</v>
      </c>
      <c r="F6558" s="3" t="s">
        <v>14055</v>
      </c>
    </row>
    <row r="6559">
      <c r="A6559" s="3">
        <v>926.0</v>
      </c>
      <c r="B6559" s="3" t="s">
        <v>11280</v>
      </c>
      <c r="C6559" s="3" t="s">
        <v>11281</v>
      </c>
      <c r="D6559" s="3" t="s">
        <v>14056</v>
      </c>
      <c r="E6559" s="3" t="s">
        <v>5394</v>
      </c>
      <c r="F6559" s="3" t="s">
        <v>5395</v>
      </c>
    </row>
    <row r="6560">
      <c r="A6560" s="3">
        <v>927.0</v>
      </c>
      <c r="B6560" s="3" t="s">
        <v>11280</v>
      </c>
      <c r="C6560" s="3" t="s">
        <v>11281</v>
      </c>
      <c r="D6560" s="3" t="s">
        <v>14057</v>
      </c>
      <c r="E6560" s="3" t="s">
        <v>14058</v>
      </c>
      <c r="F6560" s="3" t="s">
        <v>14059</v>
      </c>
    </row>
    <row r="6561">
      <c r="A6561" s="3">
        <v>928.0</v>
      </c>
      <c r="B6561" s="3" t="s">
        <v>11280</v>
      </c>
      <c r="C6561" s="3" t="s">
        <v>11281</v>
      </c>
      <c r="D6561" s="3" t="s">
        <v>14060</v>
      </c>
      <c r="E6561" s="3" t="s">
        <v>14061</v>
      </c>
      <c r="F6561" s="3" t="s">
        <v>14062</v>
      </c>
    </row>
    <row r="6562">
      <c r="A6562" s="3">
        <v>929.0</v>
      </c>
      <c r="B6562" s="3" t="s">
        <v>11280</v>
      </c>
      <c r="C6562" s="3" t="s">
        <v>11281</v>
      </c>
      <c r="D6562" s="3" t="s">
        <v>14063</v>
      </c>
      <c r="E6562" s="3" t="s">
        <v>14064</v>
      </c>
      <c r="F6562" s="3" t="s">
        <v>14065</v>
      </c>
    </row>
    <row r="6563">
      <c r="A6563" s="3">
        <v>930.0</v>
      </c>
      <c r="B6563" s="3" t="s">
        <v>11280</v>
      </c>
      <c r="C6563" s="3" t="s">
        <v>11281</v>
      </c>
      <c r="D6563" s="3" t="s">
        <v>14066</v>
      </c>
      <c r="E6563" s="3" t="s">
        <v>14067</v>
      </c>
      <c r="F6563" s="3" t="s">
        <v>14068</v>
      </c>
    </row>
    <row r="6564">
      <c r="A6564" s="3">
        <v>931.0</v>
      </c>
      <c r="B6564" s="3" t="s">
        <v>11280</v>
      </c>
      <c r="C6564" s="3" t="s">
        <v>11281</v>
      </c>
      <c r="D6564" s="3" t="s">
        <v>14069</v>
      </c>
      <c r="E6564" s="3" t="s">
        <v>14070</v>
      </c>
      <c r="F6564" s="3" t="s">
        <v>14071</v>
      </c>
      <c r="G6564" s="3"/>
      <c r="H6564" s="3" t="s">
        <v>14072</v>
      </c>
      <c r="I6564" s="3" t="s">
        <v>14073</v>
      </c>
      <c r="J6564" s="3" t="s">
        <v>14074</v>
      </c>
      <c r="K6564" s="3" t="s">
        <v>14075</v>
      </c>
      <c r="L6564" s="3" t="s">
        <v>14075</v>
      </c>
    </row>
    <row r="6565">
      <c r="A6565" s="3">
        <v>932.0</v>
      </c>
      <c r="B6565" s="3" t="s">
        <v>11280</v>
      </c>
      <c r="C6565" s="3" t="s">
        <v>11281</v>
      </c>
      <c r="D6565" s="3" t="s">
        <v>14076</v>
      </c>
      <c r="E6565" s="3" t="s">
        <v>14077</v>
      </c>
      <c r="F6565" s="3" t="s">
        <v>14078</v>
      </c>
    </row>
    <row r="6566">
      <c r="A6566" s="3">
        <v>933.0</v>
      </c>
      <c r="B6566" s="3" t="s">
        <v>11280</v>
      </c>
      <c r="C6566" s="3" t="s">
        <v>11281</v>
      </c>
      <c r="D6566" s="3" t="s">
        <v>14079</v>
      </c>
      <c r="E6566" s="3" t="s">
        <v>14080</v>
      </c>
      <c r="F6566" s="3" t="s">
        <v>14081</v>
      </c>
    </row>
    <row r="6567">
      <c r="A6567" s="3">
        <v>934.0</v>
      </c>
      <c r="B6567" s="3" t="s">
        <v>11280</v>
      </c>
      <c r="C6567" s="3" t="s">
        <v>11281</v>
      </c>
      <c r="D6567" s="3" t="s">
        <v>14082</v>
      </c>
      <c r="E6567" s="3" t="s">
        <v>14083</v>
      </c>
      <c r="F6567" s="3" t="s">
        <v>14084</v>
      </c>
    </row>
    <row r="6568">
      <c r="A6568" s="3">
        <v>935.0</v>
      </c>
      <c r="B6568" s="3" t="s">
        <v>11280</v>
      </c>
      <c r="C6568" s="3" t="s">
        <v>11281</v>
      </c>
      <c r="D6568" s="3" t="s">
        <v>14085</v>
      </c>
      <c r="E6568" s="3" t="s">
        <v>14086</v>
      </c>
      <c r="F6568" s="3" t="s">
        <v>14087</v>
      </c>
    </row>
    <row r="6569">
      <c r="A6569" s="3">
        <v>936.0</v>
      </c>
      <c r="B6569" s="3" t="s">
        <v>11280</v>
      </c>
      <c r="C6569" s="3" t="s">
        <v>11281</v>
      </c>
      <c r="D6569" s="3" t="s">
        <v>14088</v>
      </c>
      <c r="E6569" s="3" t="s">
        <v>14089</v>
      </c>
      <c r="F6569" s="3" t="s">
        <v>14090</v>
      </c>
    </row>
    <row r="6570">
      <c r="A6570" s="3">
        <v>937.0</v>
      </c>
      <c r="B6570" s="3" t="s">
        <v>11280</v>
      </c>
      <c r="C6570" s="3" t="s">
        <v>11281</v>
      </c>
      <c r="D6570" s="3" t="s">
        <v>14091</v>
      </c>
      <c r="E6570" s="3" t="s">
        <v>5403</v>
      </c>
      <c r="F6570" s="3" t="s">
        <v>5404</v>
      </c>
    </row>
    <row r="6571">
      <c r="A6571" s="3">
        <v>938.0</v>
      </c>
      <c r="B6571" s="3" t="s">
        <v>11280</v>
      </c>
      <c r="C6571" s="3" t="s">
        <v>11281</v>
      </c>
      <c r="D6571" s="3" t="s">
        <v>14092</v>
      </c>
      <c r="E6571" s="3" t="s">
        <v>1048</v>
      </c>
      <c r="F6571" s="3" t="s">
        <v>127</v>
      </c>
    </row>
    <row r="6572">
      <c r="A6572" s="3">
        <v>939.0</v>
      </c>
      <c r="B6572" s="3" t="s">
        <v>11280</v>
      </c>
      <c r="C6572" s="3" t="s">
        <v>11281</v>
      </c>
      <c r="D6572" s="3" t="s">
        <v>14093</v>
      </c>
      <c r="E6572" s="3" t="s">
        <v>1345</v>
      </c>
      <c r="F6572" s="3" t="s">
        <v>1346</v>
      </c>
      <c r="G6572" s="3"/>
      <c r="H6572" s="3" t="s">
        <v>6602</v>
      </c>
      <c r="I6572" s="3" t="s">
        <v>14094</v>
      </c>
      <c r="J6572" s="3" t="s">
        <v>14095</v>
      </c>
      <c r="K6572" s="3" t="s">
        <v>14096</v>
      </c>
      <c r="L6572" s="3" t="s">
        <v>1617</v>
      </c>
      <c r="M6572" s="3" t="s">
        <v>1618</v>
      </c>
      <c r="N6572" s="3" t="s">
        <v>1617</v>
      </c>
      <c r="O6572" s="3" t="s">
        <v>1618</v>
      </c>
      <c r="P6572" s="3" t="s">
        <v>14097</v>
      </c>
      <c r="Q6572" s="3" t="s">
        <v>14098</v>
      </c>
      <c r="R6572" s="3" t="s">
        <v>14099</v>
      </c>
      <c r="S6572" s="3" t="s">
        <v>14100</v>
      </c>
      <c r="T6572" s="3" t="s">
        <v>1617</v>
      </c>
    </row>
    <row r="6573">
      <c r="A6573" s="3">
        <v>940.0</v>
      </c>
      <c r="B6573" s="3" t="s">
        <v>11280</v>
      </c>
      <c r="C6573" s="3" t="s">
        <v>11281</v>
      </c>
      <c r="D6573" s="3" t="s">
        <v>14101</v>
      </c>
      <c r="E6573" s="3" t="s">
        <v>13986</v>
      </c>
      <c r="F6573" s="3" t="s">
        <v>13987</v>
      </c>
    </row>
    <row r="6574">
      <c r="A6574" s="3">
        <v>941.0</v>
      </c>
      <c r="B6574" s="3" t="s">
        <v>11280</v>
      </c>
      <c r="C6574" s="3" t="s">
        <v>11281</v>
      </c>
      <c r="D6574" s="3" t="s">
        <v>14102</v>
      </c>
      <c r="E6574" s="3" t="s">
        <v>13995</v>
      </c>
      <c r="F6574" s="3" t="s">
        <v>13996</v>
      </c>
      <c r="G6574" s="3"/>
      <c r="H6574" s="3" t="s">
        <v>1617</v>
      </c>
      <c r="I6574" s="3" t="s">
        <v>1621</v>
      </c>
      <c r="J6574" s="3" t="s">
        <v>1622</v>
      </c>
      <c r="K6574" s="3" t="s">
        <v>1623</v>
      </c>
      <c r="L6574" s="3" t="s">
        <v>3027</v>
      </c>
      <c r="M6574" s="3" t="s">
        <v>1617</v>
      </c>
      <c r="N6574" s="3" t="s">
        <v>14103</v>
      </c>
      <c r="O6574" s="3" t="s">
        <v>14103</v>
      </c>
      <c r="P6574" s="3" t="s">
        <v>14104</v>
      </c>
      <c r="Q6574" s="3" t="s">
        <v>14105</v>
      </c>
      <c r="R6574" s="3" t="s">
        <v>14106</v>
      </c>
      <c r="S6574" s="3" t="s">
        <v>14107</v>
      </c>
      <c r="T6574" s="3" t="s">
        <v>14108</v>
      </c>
      <c r="U6574" s="3" t="s">
        <v>14109</v>
      </c>
      <c r="V6574" s="3" t="s">
        <v>3441</v>
      </c>
      <c r="W6574" s="3" t="s">
        <v>265</v>
      </c>
      <c r="X6574" s="3" t="s">
        <v>1617</v>
      </c>
      <c r="Y6574" s="3" t="s">
        <v>1624</v>
      </c>
    </row>
    <row r="6575">
      <c r="A6575" s="3">
        <v>942.0</v>
      </c>
      <c r="B6575" s="3" t="s">
        <v>11280</v>
      </c>
      <c r="C6575" s="3" t="s">
        <v>11281</v>
      </c>
      <c r="D6575" s="3" t="s">
        <v>14110</v>
      </c>
      <c r="E6575" s="3" t="s">
        <v>14009</v>
      </c>
      <c r="F6575" s="3" t="s">
        <v>14010</v>
      </c>
    </row>
    <row r="6576">
      <c r="A6576" s="3">
        <v>943.0</v>
      </c>
      <c r="B6576" s="3" t="s">
        <v>11280</v>
      </c>
      <c r="C6576" s="3" t="s">
        <v>11281</v>
      </c>
      <c r="D6576" s="3" t="s">
        <v>14111</v>
      </c>
      <c r="E6576" s="3" t="s">
        <v>14012</v>
      </c>
      <c r="F6576" s="3" t="s">
        <v>14013</v>
      </c>
    </row>
    <row r="6577">
      <c r="A6577" s="3">
        <v>944.0</v>
      </c>
      <c r="B6577" s="3" t="s">
        <v>11280</v>
      </c>
      <c r="C6577" s="3" t="s">
        <v>11281</v>
      </c>
      <c r="D6577" s="3" t="s">
        <v>14112</v>
      </c>
      <c r="E6577" s="3" t="s">
        <v>14015</v>
      </c>
      <c r="F6577" s="3" t="s">
        <v>14016</v>
      </c>
    </row>
    <row r="6578">
      <c r="A6578" s="3">
        <v>945.0</v>
      </c>
      <c r="B6578" s="3" t="s">
        <v>11280</v>
      </c>
      <c r="C6578" s="3" t="s">
        <v>11281</v>
      </c>
      <c r="D6578" s="3" t="s">
        <v>14113</v>
      </c>
      <c r="E6578" s="3" t="s">
        <v>1354</v>
      </c>
      <c r="F6578" s="3" t="s">
        <v>1355</v>
      </c>
    </row>
    <row r="6579">
      <c r="A6579" s="3">
        <v>946.0</v>
      </c>
      <c r="B6579" s="3" t="s">
        <v>11280</v>
      </c>
      <c r="C6579" s="3" t="s">
        <v>11281</v>
      </c>
      <c r="D6579" s="3" t="s">
        <v>14114</v>
      </c>
      <c r="E6579" s="3" t="s">
        <v>14115</v>
      </c>
      <c r="F6579" s="3" t="s">
        <v>14116</v>
      </c>
    </row>
    <row r="6580">
      <c r="A6580" s="3">
        <v>947.0</v>
      </c>
      <c r="B6580" s="3" t="s">
        <v>11280</v>
      </c>
      <c r="C6580" s="3" t="s">
        <v>11281</v>
      </c>
      <c r="D6580" s="3" t="s">
        <v>14117</v>
      </c>
      <c r="E6580" s="3" t="s">
        <v>14118</v>
      </c>
      <c r="F6580" s="3" t="s">
        <v>14119</v>
      </c>
    </row>
    <row r="6581">
      <c r="A6581" s="3">
        <v>948.0</v>
      </c>
      <c r="B6581" s="3" t="s">
        <v>11280</v>
      </c>
      <c r="C6581" s="3" t="s">
        <v>11281</v>
      </c>
      <c r="D6581" s="3" t="s">
        <v>14120</v>
      </c>
      <c r="E6581" s="3" t="s">
        <v>14121</v>
      </c>
      <c r="F6581" s="3" t="s">
        <v>14122</v>
      </c>
    </row>
    <row r="6582">
      <c r="A6582" s="3">
        <v>949.0</v>
      </c>
      <c r="B6582" s="3" t="s">
        <v>11280</v>
      </c>
      <c r="C6582" s="3" t="s">
        <v>11281</v>
      </c>
      <c r="D6582" s="3" t="s">
        <v>14123</v>
      </c>
      <c r="E6582" s="3" t="s">
        <v>14124</v>
      </c>
      <c r="F6582" s="3" t="s">
        <v>14125</v>
      </c>
    </row>
    <row r="6583">
      <c r="A6583" s="3">
        <v>950.0</v>
      </c>
      <c r="B6583" s="3" t="s">
        <v>11280</v>
      </c>
      <c r="C6583" s="3" t="s">
        <v>11281</v>
      </c>
      <c r="D6583" s="3" t="s">
        <v>14126</v>
      </c>
      <c r="E6583" s="3" t="s">
        <v>14127</v>
      </c>
      <c r="F6583" s="3" t="s">
        <v>14128</v>
      </c>
    </row>
    <row r="6584">
      <c r="A6584" s="3">
        <v>951.0</v>
      </c>
      <c r="B6584" s="3" t="s">
        <v>11280</v>
      </c>
      <c r="C6584" s="3" t="s">
        <v>11281</v>
      </c>
      <c r="D6584" s="3" t="s">
        <v>14129</v>
      </c>
      <c r="E6584" s="3" t="s">
        <v>14130</v>
      </c>
      <c r="F6584" s="3" t="s">
        <v>14131</v>
      </c>
    </row>
    <row r="6585">
      <c r="A6585" s="3">
        <v>952.0</v>
      </c>
      <c r="B6585" s="3" t="s">
        <v>11280</v>
      </c>
      <c r="C6585" s="3" t="s">
        <v>11281</v>
      </c>
      <c r="D6585" s="3" t="s">
        <v>14132</v>
      </c>
      <c r="E6585" s="3" t="s">
        <v>14133</v>
      </c>
      <c r="F6585" s="3" t="s">
        <v>14134</v>
      </c>
      <c r="G6585" s="3"/>
      <c r="H6585" s="3" t="s">
        <v>1956</v>
      </c>
      <c r="I6585" s="3" t="s">
        <v>14135</v>
      </c>
      <c r="J6585" s="3" t="s">
        <v>14136</v>
      </c>
      <c r="K6585" s="3" t="s">
        <v>1954</v>
      </c>
      <c r="L6585" s="3" t="s">
        <v>1955</v>
      </c>
      <c r="M6585" s="3" t="s">
        <v>1956</v>
      </c>
      <c r="N6585" s="3" t="s">
        <v>1957</v>
      </c>
      <c r="O6585" s="3" t="s">
        <v>1958</v>
      </c>
      <c r="P6585" s="3" t="s">
        <v>1959</v>
      </c>
      <c r="Q6585" s="3" t="s">
        <v>1961</v>
      </c>
      <c r="R6585" s="3" t="s">
        <v>1964</v>
      </c>
      <c r="S6585" s="3" t="s">
        <v>1965</v>
      </c>
      <c r="T6585" s="3" t="s">
        <v>1954</v>
      </c>
      <c r="U6585" s="3" t="s">
        <v>1966</v>
      </c>
      <c r="V6585" s="3" t="s">
        <v>1959</v>
      </c>
      <c r="W6585" s="3" t="s">
        <v>1967</v>
      </c>
      <c r="X6585" s="3" t="s">
        <v>1968</v>
      </c>
      <c r="Y6585" s="3" t="s">
        <v>1969</v>
      </c>
      <c r="Z6585" s="3" t="s">
        <v>1957</v>
      </c>
    </row>
    <row r="6586">
      <c r="A6586" s="3">
        <v>953.0</v>
      </c>
      <c r="B6586" s="3" t="s">
        <v>11280</v>
      </c>
      <c r="C6586" s="3" t="s">
        <v>11281</v>
      </c>
      <c r="D6586" s="3" t="s">
        <v>14137</v>
      </c>
      <c r="E6586" s="3" t="s">
        <v>14138</v>
      </c>
      <c r="F6586" s="3" t="s">
        <v>14139</v>
      </c>
    </row>
    <row r="6587">
      <c r="A6587" s="3">
        <v>954.0</v>
      </c>
      <c r="B6587" s="3" t="s">
        <v>11280</v>
      </c>
      <c r="C6587" s="3" t="s">
        <v>11281</v>
      </c>
      <c r="D6587" s="3" t="s">
        <v>14140</v>
      </c>
      <c r="E6587" s="3" t="s">
        <v>5901</v>
      </c>
      <c r="F6587" s="3" t="s">
        <v>5902</v>
      </c>
    </row>
    <row r="6588">
      <c r="A6588" s="3">
        <v>955.0</v>
      </c>
      <c r="B6588" s="3" t="s">
        <v>11280</v>
      </c>
      <c r="C6588" s="3" t="s">
        <v>11281</v>
      </c>
      <c r="D6588" s="3" t="s">
        <v>14141</v>
      </c>
      <c r="E6588" s="3" t="s">
        <v>14142</v>
      </c>
      <c r="F6588" s="3" t="s">
        <v>14143</v>
      </c>
    </row>
    <row r="6589">
      <c r="A6589" s="3">
        <v>956.0</v>
      </c>
      <c r="B6589" s="3" t="s">
        <v>11280</v>
      </c>
      <c r="C6589" s="3" t="s">
        <v>11281</v>
      </c>
      <c r="D6589" s="3" t="s">
        <v>14144</v>
      </c>
      <c r="E6589" s="3" t="s">
        <v>5935</v>
      </c>
      <c r="F6589" s="3" t="s">
        <v>5936</v>
      </c>
    </row>
    <row r="6590">
      <c r="A6590" s="3">
        <v>957.0</v>
      </c>
      <c r="B6590" s="3" t="s">
        <v>11280</v>
      </c>
      <c r="C6590" s="3" t="s">
        <v>11281</v>
      </c>
      <c r="D6590" s="3" t="s">
        <v>14145</v>
      </c>
      <c r="E6590" s="3" t="s">
        <v>14146</v>
      </c>
      <c r="F6590" s="3" t="s">
        <v>14147</v>
      </c>
    </row>
    <row r="6591">
      <c r="A6591" s="3">
        <v>958.0</v>
      </c>
      <c r="B6591" s="3" t="s">
        <v>11280</v>
      </c>
      <c r="C6591" s="3" t="s">
        <v>11281</v>
      </c>
      <c r="D6591" s="3" t="s">
        <v>14148</v>
      </c>
      <c r="E6591" s="3" t="s">
        <v>14149</v>
      </c>
      <c r="F6591" s="3" t="s">
        <v>14150</v>
      </c>
    </row>
    <row r="6592">
      <c r="A6592" s="3">
        <v>959.0</v>
      </c>
      <c r="B6592" s="3" t="s">
        <v>11280</v>
      </c>
      <c r="C6592" s="3" t="s">
        <v>11281</v>
      </c>
      <c r="D6592" s="3" t="s">
        <v>14151</v>
      </c>
      <c r="E6592" s="3" t="s">
        <v>14152</v>
      </c>
      <c r="F6592" s="3" t="s">
        <v>14153</v>
      </c>
    </row>
    <row r="6593">
      <c r="A6593" s="3">
        <v>960.0</v>
      </c>
      <c r="B6593" s="3" t="s">
        <v>11280</v>
      </c>
      <c r="C6593" s="3" t="s">
        <v>11281</v>
      </c>
      <c r="D6593" s="3" t="s">
        <v>14154</v>
      </c>
      <c r="E6593" s="3" t="s">
        <v>14155</v>
      </c>
      <c r="F6593" s="3" t="s">
        <v>14156</v>
      </c>
    </row>
    <row r="6594">
      <c r="A6594" s="3">
        <v>961.0</v>
      </c>
      <c r="B6594" s="3" t="s">
        <v>11280</v>
      </c>
      <c r="C6594" s="3" t="s">
        <v>11281</v>
      </c>
      <c r="D6594" s="3" t="s">
        <v>14157</v>
      </c>
      <c r="E6594" s="3" t="s">
        <v>14158</v>
      </c>
      <c r="F6594" s="3" t="s">
        <v>14159</v>
      </c>
    </row>
    <row r="6595">
      <c r="A6595" s="3">
        <v>962.0</v>
      </c>
      <c r="B6595" s="3" t="s">
        <v>11280</v>
      </c>
      <c r="C6595" s="3" t="s">
        <v>11281</v>
      </c>
      <c r="D6595" s="3" t="s">
        <v>14160</v>
      </c>
      <c r="E6595" s="3" t="s">
        <v>14161</v>
      </c>
      <c r="F6595" s="3" t="s">
        <v>14162</v>
      </c>
    </row>
    <row r="6596">
      <c r="A6596" s="3">
        <v>963.0</v>
      </c>
      <c r="B6596" s="3" t="s">
        <v>11280</v>
      </c>
      <c r="C6596" s="3" t="s">
        <v>11281</v>
      </c>
      <c r="D6596" s="3" t="s">
        <v>7050</v>
      </c>
      <c r="E6596" s="3" t="s">
        <v>7051</v>
      </c>
      <c r="F6596" s="3" t="s">
        <v>1973</v>
      </c>
      <c r="G6596" s="3"/>
      <c r="H6596" s="3" t="s">
        <v>14163</v>
      </c>
      <c r="I6596" s="3" t="s">
        <v>14164</v>
      </c>
      <c r="J6596" s="3" t="s">
        <v>14165</v>
      </c>
      <c r="K6596" s="3" t="s">
        <v>14166</v>
      </c>
      <c r="L6596" s="3" t="s">
        <v>14167</v>
      </c>
      <c r="M6596" s="3" t="s">
        <v>14168</v>
      </c>
      <c r="N6596" s="3" t="s">
        <v>14168</v>
      </c>
      <c r="O6596" s="3" t="s">
        <v>14169</v>
      </c>
      <c r="P6596" s="3" t="s">
        <v>14170</v>
      </c>
      <c r="Q6596" s="3" t="s">
        <v>14171</v>
      </c>
      <c r="R6596" s="3" t="s">
        <v>14172</v>
      </c>
      <c r="S6596" s="3" t="s">
        <v>14173</v>
      </c>
      <c r="T6596" s="3" t="s">
        <v>14166</v>
      </c>
      <c r="U6596" s="3" t="s">
        <v>14174</v>
      </c>
      <c r="V6596" s="3" t="s">
        <v>14175</v>
      </c>
      <c r="W6596" s="3" t="s">
        <v>14176</v>
      </c>
      <c r="X6596" s="3" t="s">
        <v>14177</v>
      </c>
      <c r="Y6596" s="3" t="s">
        <v>14165</v>
      </c>
      <c r="Z6596" s="3" t="s">
        <v>14174</v>
      </c>
      <c r="AA6596" s="3" t="s">
        <v>14178</v>
      </c>
    </row>
    <row r="6597">
      <c r="A6597" s="3">
        <v>964.0</v>
      </c>
      <c r="B6597" s="3" t="s">
        <v>11280</v>
      </c>
      <c r="C6597" s="3" t="s">
        <v>11281</v>
      </c>
      <c r="D6597" s="3" t="s">
        <v>14179</v>
      </c>
      <c r="E6597" s="3" t="s">
        <v>14180</v>
      </c>
      <c r="F6597" s="3" t="s">
        <v>14181</v>
      </c>
    </row>
    <row r="6598">
      <c r="A6598" s="3">
        <v>965.0</v>
      </c>
      <c r="B6598" s="3" t="s">
        <v>11280</v>
      </c>
      <c r="C6598" s="3" t="s">
        <v>11281</v>
      </c>
      <c r="D6598" s="3" t="s">
        <v>14182</v>
      </c>
      <c r="E6598" s="3" t="s">
        <v>14183</v>
      </c>
      <c r="F6598" s="3" t="s">
        <v>14184</v>
      </c>
    </row>
    <row r="6599">
      <c r="A6599" s="3">
        <v>966.0</v>
      </c>
      <c r="B6599" s="3" t="s">
        <v>11280</v>
      </c>
      <c r="C6599" s="3" t="s">
        <v>11281</v>
      </c>
      <c r="D6599" s="3" t="s">
        <v>14185</v>
      </c>
      <c r="E6599" s="3" t="s">
        <v>14186</v>
      </c>
      <c r="F6599" s="3" t="s">
        <v>14187</v>
      </c>
    </row>
    <row r="6600">
      <c r="A6600" s="3">
        <v>967.0</v>
      </c>
      <c r="B6600" s="3" t="s">
        <v>11280</v>
      </c>
      <c r="C6600" s="3" t="s">
        <v>11281</v>
      </c>
      <c r="D6600" s="3" t="s">
        <v>14188</v>
      </c>
      <c r="E6600" s="3" t="s">
        <v>14189</v>
      </c>
      <c r="F6600" s="3" t="s">
        <v>14190</v>
      </c>
      <c r="G6600" s="3"/>
      <c r="H6600" s="3" t="s">
        <v>14191</v>
      </c>
      <c r="I6600" s="3" t="s">
        <v>14192</v>
      </c>
      <c r="J6600" s="3" t="s">
        <v>14193</v>
      </c>
      <c r="K6600" s="3" t="s">
        <v>14194</v>
      </c>
      <c r="L6600" s="3" t="s">
        <v>14195</v>
      </c>
      <c r="M6600" s="3" t="s">
        <v>14169</v>
      </c>
      <c r="N6600" s="3" t="s">
        <v>14173</v>
      </c>
      <c r="O6600" s="3" t="s">
        <v>14169</v>
      </c>
      <c r="P6600" s="3" t="s">
        <v>14167</v>
      </c>
      <c r="Q6600" s="3" t="s">
        <v>14169</v>
      </c>
      <c r="R6600" s="3" t="s">
        <v>14167</v>
      </c>
      <c r="S6600" s="3" t="s">
        <v>14169</v>
      </c>
      <c r="T6600" s="3" t="s">
        <v>14173</v>
      </c>
      <c r="U6600" s="3" t="s">
        <v>14196</v>
      </c>
      <c r="V6600" s="3" t="s">
        <v>11743</v>
      </c>
      <c r="W6600" s="3" t="s">
        <v>14169</v>
      </c>
      <c r="X6600" s="3" t="s">
        <v>2997</v>
      </c>
      <c r="Y6600" s="3" t="s">
        <v>14197</v>
      </c>
      <c r="Z6600" s="3" t="s">
        <v>14198</v>
      </c>
      <c r="AA6600" s="3" t="s">
        <v>14199</v>
      </c>
      <c r="AB6600" s="3" t="s">
        <v>14200</v>
      </c>
      <c r="AC6600" s="3" t="s">
        <v>14172</v>
      </c>
      <c r="AD6600" s="3" t="s">
        <v>14169</v>
      </c>
      <c r="AE6600" s="3" t="s">
        <v>14201</v>
      </c>
      <c r="AF6600" s="3" t="s">
        <v>14202</v>
      </c>
      <c r="AG6600" s="3" t="s">
        <v>14193</v>
      </c>
    </row>
    <row r="6601">
      <c r="A6601" s="3">
        <v>968.0</v>
      </c>
      <c r="B6601" s="3" t="s">
        <v>11280</v>
      </c>
      <c r="C6601" s="3" t="s">
        <v>11281</v>
      </c>
      <c r="D6601" s="3" t="s">
        <v>14203</v>
      </c>
      <c r="E6601" s="3" t="s">
        <v>14204</v>
      </c>
      <c r="F6601" s="3" t="s">
        <v>14205</v>
      </c>
    </row>
    <row r="6602">
      <c r="A6602" s="3">
        <v>969.0</v>
      </c>
      <c r="B6602" s="3" t="s">
        <v>11280</v>
      </c>
      <c r="C6602" s="3" t="s">
        <v>11281</v>
      </c>
      <c r="D6602" s="3" t="s">
        <v>14206</v>
      </c>
      <c r="E6602" s="3" t="s">
        <v>14207</v>
      </c>
      <c r="F6602" s="3" t="s">
        <v>14208</v>
      </c>
    </row>
    <row r="6603">
      <c r="A6603" s="3">
        <v>970.0</v>
      </c>
      <c r="B6603" s="3" t="s">
        <v>11280</v>
      </c>
      <c r="C6603" s="3" t="s">
        <v>11281</v>
      </c>
      <c r="D6603" s="3" t="s">
        <v>14209</v>
      </c>
      <c r="E6603" s="3" t="s">
        <v>14210</v>
      </c>
      <c r="F6603" s="3" t="s">
        <v>14211</v>
      </c>
    </row>
    <row r="6604">
      <c r="A6604" s="3">
        <v>971.0</v>
      </c>
      <c r="B6604" s="3" t="s">
        <v>11280</v>
      </c>
      <c r="C6604" s="3" t="s">
        <v>11281</v>
      </c>
      <c r="D6604" s="3" t="s">
        <v>14212</v>
      </c>
      <c r="E6604" s="3" t="s">
        <v>14213</v>
      </c>
      <c r="F6604" s="3" t="s">
        <v>14214</v>
      </c>
    </row>
    <row r="6605">
      <c r="A6605" s="3">
        <v>972.0</v>
      </c>
      <c r="B6605" s="3" t="s">
        <v>11280</v>
      </c>
      <c r="C6605" s="3" t="s">
        <v>11281</v>
      </c>
      <c r="D6605" s="3" t="s">
        <v>14215</v>
      </c>
      <c r="E6605" s="3" t="s">
        <v>14216</v>
      </c>
      <c r="F6605" s="3" t="s">
        <v>14217</v>
      </c>
    </row>
    <row r="6606">
      <c r="A6606" s="3">
        <v>973.0</v>
      </c>
      <c r="B6606" s="3" t="s">
        <v>11280</v>
      </c>
      <c r="C6606" s="3" t="s">
        <v>11281</v>
      </c>
      <c r="D6606" s="3" t="s">
        <v>7053</v>
      </c>
      <c r="E6606" s="3" t="s">
        <v>7054</v>
      </c>
      <c r="F6606" s="3" t="s">
        <v>1982</v>
      </c>
    </row>
    <row r="6607">
      <c r="A6607" s="3">
        <v>974.0</v>
      </c>
      <c r="B6607" s="3" t="s">
        <v>11280</v>
      </c>
      <c r="C6607" s="3" t="s">
        <v>11281</v>
      </c>
      <c r="D6607" s="3" t="s">
        <v>14218</v>
      </c>
      <c r="E6607" s="3" t="s">
        <v>14219</v>
      </c>
      <c r="F6607" s="3" t="s">
        <v>14220</v>
      </c>
      <c r="G6607" s="3"/>
      <c r="H6607" s="3" t="s">
        <v>14221</v>
      </c>
    </row>
    <row r="6608">
      <c r="A6608" s="3">
        <v>975.0</v>
      </c>
      <c r="B6608" s="3" t="s">
        <v>11280</v>
      </c>
      <c r="C6608" s="3" t="s">
        <v>11281</v>
      </c>
      <c r="D6608" s="3" t="s">
        <v>14222</v>
      </c>
      <c r="E6608" s="3" t="s">
        <v>14223</v>
      </c>
      <c r="F6608" s="3" t="s">
        <v>14224</v>
      </c>
    </row>
    <row r="6609">
      <c r="A6609" s="3">
        <v>976.0</v>
      </c>
      <c r="B6609" s="3" t="s">
        <v>11280</v>
      </c>
      <c r="C6609" s="3" t="s">
        <v>11281</v>
      </c>
      <c r="D6609" s="3" t="s">
        <v>14225</v>
      </c>
      <c r="E6609" s="3" t="s">
        <v>14226</v>
      </c>
      <c r="F6609" s="3" t="s">
        <v>14227</v>
      </c>
    </row>
    <row r="6610">
      <c r="A6610" s="3">
        <v>977.0</v>
      </c>
      <c r="B6610" s="3" t="s">
        <v>11280</v>
      </c>
      <c r="C6610" s="3" t="s">
        <v>11281</v>
      </c>
      <c r="D6610" s="3" t="s">
        <v>14228</v>
      </c>
      <c r="E6610" s="3" t="s">
        <v>14229</v>
      </c>
      <c r="F6610" s="3" t="s">
        <v>14230</v>
      </c>
    </row>
    <row r="6611">
      <c r="A6611" s="3">
        <v>978.0</v>
      </c>
      <c r="B6611" s="3" t="s">
        <v>11280</v>
      </c>
      <c r="C6611" s="3" t="s">
        <v>11281</v>
      </c>
      <c r="D6611" s="3" t="s">
        <v>14231</v>
      </c>
      <c r="E6611" s="3" t="s">
        <v>14232</v>
      </c>
      <c r="F6611" s="3" t="s">
        <v>14233</v>
      </c>
    </row>
    <row r="6612">
      <c r="A6612" s="3">
        <v>979.0</v>
      </c>
      <c r="B6612" s="3" t="s">
        <v>11280</v>
      </c>
      <c r="C6612" s="3" t="s">
        <v>11281</v>
      </c>
      <c r="D6612" s="3" t="s">
        <v>14234</v>
      </c>
      <c r="E6612" s="3" t="s">
        <v>14235</v>
      </c>
      <c r="F6612" s="3" t="s">
        <v>14236</v>
      </c>
    </row>
    <row r="6613">
      <c r="A6613" s="3">
        <v>980.0</v>
      </c>
      <c r="B6613" s="3" t="s">
        <v>11280</v>
      </c>
      <c r="C6613" s="3" t="s">
        <v>11281</v>
      </c>
      <c r="D6613" s="3" t="s">
        <v>14237</v>
      </c>
      <c r="E6613" s="3" t="s">
        <v>14238</v>
      </c>
      <c r="F6613" s="3" t="s">
        <v>14239</v>
      </c>
      <c r="G6613" s="3"/>
      <c r="H6613" s="3" t="s">
        <v>14240</v>
      </c>
      <c r="I6613" s="3" t="s">
        <v>14241</v>
      </c>
    </row>
    <row r="6614">
      <c r="A6614" s="3">
        <v>981.0</v>
      </c>
      <c r="B6614" s="3" t="s">
        <v>11280</v>
      </c>
      <c r="C6614" s="3" t="s">
        <v>11281</v>
      </c>
      <c r="D6614" s="3" t="s">
        <v>14242</v>
      </c>
      <c r="E6614" s="3" t="s">
        <v>14243</v>
      </c>
      <c r="F6614" s="3" t="s">
        <v>14244</v>
      </c>
    </row>
    <row r="6615">
      <c r="A6615" s="3">
        <v>982.0</v>
      </c>
      <c r="B6615" s="3" t="s">
        <v>11280</v>
      </c>
      <c r="C6615" s="3" t="s">
        <v>11281</v>
      </c>
      <c r="D6615" s="3" t="s">
        <v>14245</v>
      </c>
      <c r="E6615" s="3" t="s">
        <v>14246</v>
      </c>
      <c r="F6615" s="3" t="s">
        <v>14247</v>
      </c>
    </row>
    <row r="6616">
      <c r="A6616" s="3">
        <v>983.0</v>
      </c>
      <c r="B6616" s="3" t="s">
        <v>11280</v>
      </c>
      <c r="C6616" s="3" t="s">
        <v>11281</v>
      </c>
      <c r="D6616" s="3" t="s">
        <v>14248</v>
      </c>
      <c r="E6616" s="3" t="s">
        <v>14249</v>
      </c>
      <c r="F6616" s="3" t="s">
        <v>14250</v>
      </c>
    </row>
    <row r="6617">
      <c r="A6617" s="3">
        <v>984.0</v>
      </c>
      <c r="B6617" s="3" t="s">
        <v>11280</v>
      </c>
      <c r="C6617" s="3" t="s">
        <v>11281</v>
      </c>
      <c r="D6617" s="3" t="s">
        <v>14251</v>
      </c>
      <c r="E6617" s="3" t="s">
        <v>14252</v>
      </c>
      <c r="F6617" s="3" t="s">
        <v>14253</v>
      </c>
    </row>
    <row r="6618">
      <c r="A6618" s="3">
        <v>985.0</v>
      </c>
      <c r="B6618" s="3" t="s">
        <v>11280</v>
      </c>
      <c r="C6618" s="3" t="s">
        <v>11281</v>
      </c>
      <c r="D6618" s="3" t="s">
        <v>14254</v>
      </c>
      <c r="E6618" s="3" t="s">
        <v>14255</v>
      </c>
      <c r="F6618" s="3" t="s">
        <v>14256</v>
      </c>
    </row>
    <row r="6619">
      <c r="A6619" s="3">
        <v>986.0</v>
      </c>
      <c r="B6619" s="3" t="s">
        <v>11280</v>
      </c>
      <c r="C6619" s="3" t="s">
        <v>11281</v>
      </c>
      <c r="D6619" s="3" t="s">
        <v>14257</v>
      </c>
      <c r="E6619" s="3" t="s">
        <v>14258</v>
      </c>
      <c r="F6619" s="3" t="s">
        <v>14259</v>
      </c>
    </row>
    <row r="6620">
      <c r="A6620" s="3">
        <v>987.0</v>
      </c>
      <c r="B6620" s="3" t="s">
        <v>11280</v>
      </c>
      <c r="C6620" s="3" t="s">
        <v>11281</v>
      </c>
      <c r="D6620" s="3" t="s">
        <v>14260</v>
      </c>
      <c r="E6620" s="3" t="s">
        <v>14261</v>
      </c>
      <c r="F6620" s="3" t="s">
        <v>14262</v>
      </c>
    </row>
    <row r="6621">
      <c r="A6621" s="3">
        <v>988.0</v>
      </c>
      <c r="B6621" s="3" t="s">
        <v>11280</v>
      </c>
      <c r="C6621" s="3" t="s">
        <v>11281</v>
      </c>
      <c r="D6621" s="3" t="s">
        <v>14263</v>
      </c>
      <c r="E6621" s="3" t="s">
        <v>14264</v>
      </c>
      <c r="F6621" s="3" t="s">
        <v>14265</v>
      </c>
    </row>
    <row r="6622">
      <c r="A6622" s="3">
        <v>989.0</v>
      </c>
      <c r="B6622" s="3" t="s">
        <v>11280</v>
      </c>
      <c r="C6622" s="3" t="s">
        <v>11281</v>
      </c>
      <c r="D6622" s="3" t="s">
        <v>14266</v>
      </c>
      <c r="E6622" s="3" t="s">
        <v>14267</v>
      </c>
      <c r="F6622" s="3" t="s">
        <v>14268</v>
      </c>
    </row>
    <row r="6623">
      <c r="A6623" s="3">
        <v>990.0</v>
      </c>
      <c r="B6623" s="3" t="s">
        <v>11280</v>
      </c>
      <c r="C6623" s="3" t="s">
        <v>11281</v>
      </c>
      <c r="D6623" s="3" t="s">
        <v>14269</v>
      </c>
      <c r="E6623" s="3" t="s">
        <v>14270</v>
      </c>
      <c r="F6623" s="3" t="s">
        <v>14271</v>
      </c>
      <c r="G6623" s="3"/>
      <c r="H6623" s="3" t="s">
        <v>3255</v>
      </c>
    </row>
    <row r="6624">
      <c r="A6624" s="3">
        <v>991.0</v>
      </c>
      <c r="B6624" s="3" t="s">
        <v>11280</v>
      </c>
      <c r="C6624" s="3" t="s">
        <v>11281</v>
      </c>
      <c r="D6624" s="3" t="s">
        <v>14272</v>
      </c>
      <c r="E6624" s="3" t="s">
        <v>14273</v>
      </c>
      <c r="F6624" s="3" t="s">
        <v>14274</v>
      </c>
    </row>
    <row r="6625">
      <c r="A6625" s="3">
        <v>992.0</v>
      </c>
      <c r="B6625" s="3" t="s">
        <v>11280</v>
      </c>
      <c r="C6625" s="3" t="s">
        <v>11281</v>
      </c>
      <c r="D6625" s="3" t="s">
        <v>14275</v>
      </c>
      <c r="E6625" s="3" t="s">
        <v>14276</v>
      </c>
      <c r="F6625" s="3" t="s">
        <v>14277</v>
      </c>
    </row>
    <row r="6626">
      <c r="A6626" s="3">
        <v>993.0</v>
      </c>
      <c r="B6626" s="3" t="s">
        <v>11280</v>
      </c>
      <c r="C6626" s="3" t="s">
        <v>11281</v>
      </c>
      <c r="D6626" s="3" t="s">
        <v>14278</v>
      </c>
      <c r="E6626" s="3" t="s">
        <v>14279</v>
      </c>
      <c r="F6626" s="3" t="s">
        <v>14280</v>
      </c>
    </row>
    <row r="6627">
      <c r="A6627" s="3">
        <v>994.0</v>
      </c>
      <c r="B6627" s="3" t="s">
        <v>11280</v>
      </c>
      <c r="C6627" s="3" t="s">
        <v>11281</v>
      </c>
      <c r="D6627" s="3" t="s">
        <v>14281</v>
      </c>
      <c r="E6627" s="3" t="s">
        <v>14282</v>
      </c>
      <c r="F6627" s="3" t="s">
        <v>14283</v>
      </c>
    </row>
    <row r="6628">
      <c r="A6628" s="3">
        <v>995.0</v>
      </c>
      <c r="B6628" s="3" t="s">
        <v>11280</v>
      </c>
      <c r="C6628" s="3" t="s">
        <v>11281</v>
      </c>
      <c r="D6628" s="3" t="s">
        <v>14284</v>
      </c>
      <c r="E6628" s="3" t="s">
        <v>14285</v>
      </c>
      <c r="F6628" s="3" t="s">
        <v>14286</v>
      </c>
    </row>
    <row r="6629">
      <c r="A6629" s="3">
        <v>996.0</v>
      </c>
      <c r="B6629" s="3" t="s">
        <v>11280</v>
      </c>
      <c r="C6629" s="3" t="s">
        <v>11281</v>
      </c>
      <c r="D6629" s="3" t="s">
        <v>14287</v>
      </c>
      <c r="E6629" s="3" t="s">
        <v>14288</v>
      </c>
      <c r="F6629" s="3" t="s">
        <v>14289</v>
      </c>
    </row>
    <row r="6630">
      <c r="A6630" s="3">
        <v>997.0</v>
      </c>
      <c r="B6630" s="3" t="s">
        <v>11280</v>
      </c>
      <c r="C6630" s="3" t="s">
        <v>11281</v>
      </c>
      <c r="D6630" s="3" t="s">
        <v>14290</v>
      </c>
      <c r="E6630" s="3" t="s">
        <v>14291</v>
      </c>
      <c r="F6630" s="3" t="s">
        <v>14292</v>
      </c>
    </row>
    <row r="6631">
      <c r="A6631" s="3">
        <v>998.0</v>
      </c>
      <c r="B6631" s="3" t="s">
        <v>11280</v>
      </c>
      <c r="C6631" s="3" t="s">
        <v>11281</v>
      </c>
      <c r="D6631" s="3" t="s">
        <v>14293</v>
      </c>
      <c r="E6631" s="3" t="s">
        <v>14294</v>
      </c>
      <c r="F6631" s="3" t="s">
        <v>14295</v>
      </c>
    </row>
    <row r="6632">
      <c r="A6632" s="3">
        <v>999.0</v>
      </c>
      <c r="B6632" s="3" t="s">
        <v>11280</v>
      </c>
      <c r="C6632" s="3" t="s">
        <v>11281</v>
      </c>
      <c r="D6632" s="3" t="s">
        <v>14296</v>
      </c>
      <c r="E6632" s="3" t="s">
        <v>14297</v>
      </c>
      <c r="F6632" s="3" t="s">
        <v>14298</v>
      </c>
    </row>
    <row r="6633">
      <c r="A6633" s="3">
        <v>1000.0</v>
      </c>
      <c r="B6633" s="3" t="s">
        <v>11280</v>
      </c>
      <c r="C6633" s="3" t="s">
        <v>11281</v>
      </c>
      <c r="D6633" s="3" t="s">
        <v>14299</v>
      </c>
      <c r="E6633" s="3" t="s">
        <v>14300</v>
      </c>
      <c r="F6633" s="3" t="s">
        <v>14301</v>
      </c>
    </row>
    <row r="6634">
      <c r="A6634" s="3">
        <v>1001.0</v>
      </c>
      <c r="B6634" s="3" t="s">
        <v>11280</v>
      </c>
      <c r="C6634" s="3" t="s">
        <v>11281</v>
      </c>
      <c r="D6634" s="3" t="s">
        <v>14302</v>
      </c>
      <c r="E6634" s="3" t="s">
        <v>14303</v>
      </c>
      <c r="F6634" s="3" t="s">
        <v>14304</v>
      </c>
    </row>
    <row r="6635">
      <c r="A6635" s="3">
        <v>1002.0</v>
      </c>
      <c r="B6635" s="3" t="s">
        <v>11280</v>
      </c>
      <c r="C6635" s="3" t="s">
        <v>11281</v>
      </c>
      <c r="D6635" s="3" t="s">
        <v>14305</v>
      </c>
      <c r="E6635" s="3" t="s">
        <v>14306</v>
      </c>
      <c r="F6635" s="3" t="s">
        <v>14307</v>
      </c>
    </row>
    <row r="6636">
      <c r="A6636" s="3">
        <v>1003.0</v>
      </c>
      <c r="B6636" s="3" t="s">
        <v>11280</v>
      </c>
      <c r="C6636" s="3" t="s">
        <v>11281</v>
      </c>
      <c r="D6636" s="3" t="s">
        <v>14308</v>
      </c>
      <c r="E6636" s="3" t="s">
        <v>14309</v>
      </c>
      <c r="F6636" s="3" t="s">
        <v>14310</v>
      </c>
    </row>
    <row r="6637">
      <c r="A6637" s="3">
        <v>1004.0</v>
      </c>
      <c r="B6637" s="3" t="s">
        <v>11280</v>
      </c>
      <c r="C6637" s="3" t="s">
        <v>11281</v>
      </c>
      <c r="D6637" s="3" t="s">
        <v>14311</v>
      </c>
      <c r="E6637" s="3" t="s">
        <v>14312</v>
      </c>
      <c r="F6637" s="3" t="s">
        <v>14313</v>
      </c>
    </row>
    <row r="6638">
      <c r="A6638" s="3">
        <v>1005.0</v>
      </c>
      <c r="B6638" s="3" t="s">
        <v>11280</v>
      </c>
      <c r="C6638" s="3" t="s">
        <v>11281</v>
      </c>
      <c r="D6638" s="3" t="s">
        <v>14314</v>
      </c>
      <c r="E6638" s="3" t="s">
        <v>14315</v>
      </c>
      <c r="F6638" s="3" t="s">
        <v>14316</v>
      </c>
    </row>
    <row r="6639">
      <c r="A6639" s="3">
        <v>1006.0</v>
      </c>
      <c r="B6639" s="3" t="s">
        <v>11280</v>
      </c>
      <c r="C6639" s="3" t="s">
        <v>11281</v>
      </c>
      <c r="D6639" s="3" t="s">
        <v>14317</v>
      </c>
      <c r="E6639" s="3" t="s">
        <v>14318</v>
      </c>
      <c r="F6639" s="3" t="s">
        <v>14319</v>
      </c>
      <c r="G6639" s="3"/>
      <c r="H6639" s="3" t="s">
        <v>14320</v>
      </c>
      <c r="I6639" s="3" t="s">
        <v>14321</v>
      </c>
      <c r="J6639" s="3" t="s">
        <v>14322</v>
      </c>
      <c r="K6639" s="3" t="s">
        <v>14323</v>
      </c>
      <c r="L6639" s="3" t="s">
        <v>14324</v>
      </c>
      <c r="M6639" s="3" t="s">
        <v>14325</v>
      </c>
      <c r="N6639" s="3" t="s">
        <v>14326</v>
      </c>
      <c r="O6639" s="3" t="s">
        <v>14320</v>
      </c>
      <c r="P6639" s="3" t="s">
        <v>14327</v>
      </c>
      <c r="Q6639" s="3" t="s">
        <v>14328</v>
      </c>
      <c r="R6639" s="3" t="s">
        <v>14329</v>
      </c>
      <c r="S6639" s="3" t="s">
        <v>8754</v>
      </c>
    </row>
    <row r="6640">
      <c r="A6640" s="3">
        <v>1007.0</v>
      </c>
      <c r="B6640" s="3" t="s">
        <v>11280</v>
      </c>
      <c r="C6640" s="3" t="s">
        <v>11281</v>
      </c>
      <c r="D6640" s="3" t="s">
        <v>14330</v>
      </c>
      <c r="E6640" s="3" t="s">
        <v>14331</v>
      </c>
      <c r="F6640" s="3" t="s">
        <v>14332</v>
      </c>
    </row>
    <row r="6641">
      <c r="A6641" s="3">
        <v>1008.0</v>
      </c>
      <c r="B6641" s="3" t="s">
        <v>11280</v>
      </c>
      <c r="C6641" s="3" t="s">
        <v>11281</v>
      </c>
      <c r="D6641" s="3" t="s">
        <v>14333</v>
      </c>
      <c r="E6641" s="3" t="s">
        <v>14334</v>
      </c>
      <c r="F6641" s="3" t="s">
        <v>14335</v>
      </c>
    </row>
    <row r="6642">
      <c r="A6642" s="3">
        <v>1009.0</v>
      </c>
      <c r="B6642" s="3" t="s">
        <v>11280</v>
      </c>
      <c r="C6642" s="3" t="s">
        <v>11281</v>
      </c>
      <c r="D6642" s="3" t="s">
        <v>14336</v>
      </c>
      <c r="E6642" s="3" t="s">
        <v>14337</v>
      </c>
      <c r="F6642" s="3" t="s">
        <v>14338</v>
      </c>
    </row>
    <row r="6643">
      <c r="A6643" s="3">
        <v>1010.0</v>
      </c>
      <c r="B6643" s="3" t="s">
        <v>11280</v>
      </c>
      <c r="C6643" s="3" t="s">
        <v>11281</v>
      </c>
      <c r="D6643" s="3" t="s">
        <v>14339</v>
      </c>
      <c r="E6643" s="3" t="s">
        <v>14340</v>
      </c>
      <c r="F6643" s="3" t="s">
        <v>14341</v>
      </c>
    </row>
    <row r="6644">
      <c r="A6644" s="3">
        <v>1011.0</v>
      </c>
      <c r="B6644" s="3" t="s">
        <v>11280</v>
      </c>
      <c r="C6644" s="3" t="s">
        <v>11281</v>
      </c>
      <c r="D6644" s="3" t="s">
        <v>14342</v>
      </c>
      <c r="E6644" s="3" t="s">
        <v>14343</v>
      </c>
      <c r="F6644" s="3" t="s">
        <v>14344</v>
      </c>
    </row>
    <row r="6645">
      <c r="A6645" s="3">
        <v>1012.0</v>
      </c>
      <c r="B6645" s="3" t="s">
        <v>11280</v>
      </c>
      <c r="C6645" s="3" t="s">
        <v>11281</v>
      </c>
      <c r="D6645" s="3" t="s">
        <v>14345</v>
      </c>
      <c r="E6645" s="3" t="s">
        <v>14346</v>
      </c>
      <c r="F6645" s="3" t="s">
        <v>14347</v>
      </c>
    </row>
    <row r="6646">
      <c r="A6646" s="3">
        <v>1013.0</v>
      </c>
      <c r="B6646" s="3" t="s">
        <v>11280</v>
      </c>
      <c r="C6646" s="3" t="s">
        <v>11281</v>
      </c>
      <c r="D6646" s="3" t="s">
        <v>14348</v>
      </c>
      <c r="E6646" s="3" t="s">
        <v>14349</v>
      </c>
      <c r="F6646" s="3" t="s">
        <v>14350</v>
      </c>
      <c r="G6646" s="3"/>
      <c r="H6646" s="3" t="s">
        <v>14351</v>
      </c>
      <c r="I6646" s="3" t="s">
        <v>14352</v>
      </c>
      <c r="J6646" s="3" t="s">
        <v>14353</v>
      </c>
    </row>
    <row r="6647">
      <c r="A6647" s="3">
        <v>1014.0</v>
      </c>
      <c r="B6647" s="3" t="s">
        <v>11280</v>
      </c>
      <c r="C6647" s="3" t="s">
        <v>11281</v>
      </c>
      <c r="D6647" s="3" t="s">
        <v>14354</v>
      </c>
      <c r="E6647" s="3" t="s">
        <v>14355</v>
      </c>
      <c r="F6647" s="3" t="s">
        <v>14356</v>
      </c>
    </row>
    <row r="6648">
      <c r="A6648" s="3">
        <v>1015.0</v>
      </c>
      <c r="B6648" s="3" t="s">
        <v>11280</v>
      </c>
      <c r="C6648" s="3" t="s">
        <v>11281</v>
      </c>
      <c r="D6648" s="3" t="s">
        <v>14357</v>
      </c>
      <c r="E6648" s="3" t="s">
        <v>14358</v>
      </c>
      <c r="F6648" s="3" t="s">
        <v>14359</v>
      </c>
    </row>
    <row r="6649">
      <c r="A6649" s="3">
        <v>1016.0</v>
      </c>
      <c r="B6649" s="3" t="s">
        <v>11280</v>
      </c>
      <c r="C6649" s="3" t="s">
        <v>11281</v>
      </c>
      <c r="D6649" s="3" t="s">
        <v>14360</v>
      </c>
      <c r="E6649" s="3" t="s">
        <v>14361</v>
      </c>
      <c r="F6649" s="3" t="s">
        <v>14362</v>
      </c>
    </row>
    <row r="6650">
      <c r="A6650" s="3">
        <v>1017.0</v>
      </c>
      <c r="B6650" s="3" t="s">
        <v>11280</v>
      </c>
      <c r="C6650" s="3" t="s">
        <v>11281</v>
      </c>
      <c r="D6650" s="3" t="s">
        <v>14363</v>
      </c>
      <c r="E6650" s="3" t="s">
        <v>14364</v>
      </c>
      <c r="F6650" s="3" t="s">
        <v>14365</v>
      </c>
    </row>
    <row r="6651">
      <c r="A6651" s="3">
        <v>1018.0</v>
      </c>
      <c r="B6651" s="3" t="s">
        <v>11280</v>
      </c>
      <c r="C6651" s="3" t="s">
        <v>11281</v>
      </c>
      <c r="D6651" s="3" t="s">
        <v>14366</v>
      </c>
      <c r="E6651" s="3" t="s">
        <v>14367</v>
      </c>
      <c r="F6651" s="3" t="s">
        <v>14368</v>
      </c>
    </row>
    <row r="6652">
      <c r="A6652" s="3">
        <v>1019.0</v>
      </c>
      <c r="B6652" s="3" t="s">
        <v>11280</v>
      </c>
      <c r="C6652" s="3" t="s">
        <v>11281</v>
      </c>
      <c r="D6652" s="3" t="s">
        <v>14369</v>
      </c>
      <c r="E6652" s="3" t="s">
        <v>14370</v>
      </c>
      <c r="F6652" s="3" t="s">
        <v>14371</v>
      </c>
    </row>
    <row r="6653">
      <c r="A6653" s="3">
        <v>1020.0</v>
      </c>
      <c r="B6653" s="3" t="s">
        <v>11280</v>
      </c>
      <c r="C6653" s="3" t="s">
        <v>11281</v>
      </c>
      <c r="D6653" s="3" t="s">
        <v>14372</v>
      </c>
      <c r="E6653" s="3" t="s">
        <v>14373</v>
      </c>
      <c r="F6653" s="3" t="s">
        <v>14374</v>
      </c>
      <c r="G6653" s="3"/>
      <c r="H6653" s="3" t="s">
        <v>14375</v>
      </c>
      <c r="I6653" s="3" t="s">
        <v>14376</v>
      </c>
      <c r="J6653" s="3" t="s">
        <v>14377</v>
      </c>
      <c r="K6653" s="3" t="s">
        <v>14378</v>
      </c>
      <c r="L6653" s="3" t="s">
        <v>14379</v>
      </c>
      <c r="M6653" s="3" t="s">
        <v>14380</v>
      </c>
    </row>
    <row r="6654">
      <c r="A6654" s="3">
        <v>1021.0</v>
      </c>
      <c r="B6654" s="3" t="s">
        <v>11280</v>
      </c>
      <c r="C6654" s="3" t="s">
        <v>11281</v>
      </c>
      <c r="D6654" s="3" t="s">
        <v>14381</v>
      </c>
      <c r="E6654" s="3" t="s">
        <v>14382</v>
      </c>
      <c r="F6654" s="3" t="s">
        <v>14383</v>
      </c>
    </row>
    <row r="6655">
      <c r="A6655" s="3">
        <v>1022.0</v>
      </c>
      <c r="B6655" s="3" t="s">
        <v>11280</v>
      </c>
      <c r="C6655" s="3" t="s">
        <v>11281</v>
      </c>
      <c r="D6655" s="3" t="s">
        <v>14384</v>
      </c>
      <c r="E6655" s="3" t="s">
        <v>14385</v>
      </c>
      <c r="F6655" s="3" t="s">
        <v>14386</v>
      </c>
      <c r="G6655" s="3"/>
      <c r="H6655" s="3" t="s">
        <v>14387</v>
      </c>
      <c r="I6655" s="3" t="s">
        <v>14377</v>
      </c>
      <c r="J6655" s="3" t="s">
        <v>14388</v>
      </c>
      <c r="K6655" s="3" t="s">
        <v>14389</v>
      </c>
      <c r="L6655" s="3" t="s">
        <v>14388</v>
      </c>
      <c r="M6655" s="3" t="s">
        <v>14377</v>
      </c>
    </row>
    <row r="6656">
      <c r="A6656" s="3">
        <v>1023.0</v>
      </c>
      <c r="B6656" s="3" t="s">
        <v>11280</v>
      </c>
      <c r="C6656" s="3" t="s">
        <v>11281</v>
      </c>
      <c r="D6656" s="3" t="s">
        <v>14390</v>
      </c>
      <c r="E6656" s="3" t="s">
        <v>14391</v>
      </c>
      <c r="F6656" s="3" t="s">
        <v>14392</v>
      </c>
    </row>
    <row r="6657">
      <c r="A6657" s="3">
        <v>1024.0</v>
      </c>
      <c r="B6657" s="3" t="s">
        <v>11280</v>
      </c>
      <c r="C6657" s="3" t="s">
        <v>11281</v>
      </c>
      <c r="D6657" s="3" t="s">
        <v>14393</v>
      </c>
      <c r="E6657" s="3" t="s">
        <v>14394</v>
      </c>
      <c r="F6657" s="3" t="s">
        <v>14395</v>
      </c>
    </row>
    <row r="6658">
      <c r="A6658" s="3">
        <v>1025.0</v>
      </c>
      <c r="B6658" s="3" t="s">
        <v>11280</v>
      </c>
      <c r="C6658" s="3" t="s">
        <v>11281</v>
      </c>
      <c r="D6658" s="3" t="s">
        <v>14396</v>
      </c>
      <c r="E6658" s="3" t="s">
        <v>14397</v>
      </c>
      <c r="F6658" s="3" t="s">
        <v>14398</v>
      </c>
    </row>
    <row r="6659">
      <c r="A6659" s="3">
        <v>1026.0</v>
      </c>
      <c r="B6659" s="3" t="s">
        <v>11280</v>
      </c>
      <c r="C6659" s="3" t="s">
        <v>11281</v>
      </c>
      <c r="D6659" s="3" t="s">
        <v>14399</v>
      </c>
      <c r="E6659" s="3" t="s">
        <v>14400</v>
      </c>
      <c r="F6659" s="3" t="s">
        <v>14401</v>
      </c>
    </row>
    <row r="6660">
      <c r="A6660" s="3">
        <v>1027.0</v>
      </c>
      <c r="B6660" s="3" t="s">
        <v>11280</v>
      </c>
      <c r="C6660" s="3" t="s">
        <v>11281</v>
      </c>
      <c r="D6660" s="3" t="s">
        <v>14402</v>
      </c>
      <c r="E6660" s="3" t="s">
        <v>14403</v>
      </c>
      <c r="F6660" s="3" t="s">
        <v>14404</v>
      </c>
      <c r="G6660" s="3"/>
      <c r="H6660" s="3" t="s">
        <v>14402</v>
      </c>
      <c r="I6660" s="3" t="s">
        <v>14405</v>
      </c>
      <c r="J6660" s="3" t="s">
        <v>14406</v>
      </c>
      <c r="K6660" s="3" t="s">
        <v>14407</v>
      </c>
    </row>
    <row r="6661">
      <c r="A6661" s="3">
        <v>1028.0</v>
      </c>
      <c r="B6661" s="3" t="s">
        <v>11280</v>
      </c>
      <c r="C6661" s="3" t="s">
        <v>11281</v>
      </c>
      <c r="D6661" s="3" t="s">
        <v>14408</v>
      </c>
      <c r="E6661" s="3" t="s">
        <v>14409</v>
      </c>
      <c r="F6661" s="3" t="s">
        <v>14410</v>
      </c>
      <c r="G6661" s="3"/>
      <c r="H6661" s="3" t="s">
        <v>14411</v>
      </c>
      <c r="I6661" s="3" t="s">
        <v>14412</v>
      </c>
      <c r="J6661" s="3" t="s">
        <v>14413</v>
      </c>
    </row>
    <row r="6662">
      <c r="A6662" s="3">
        <v>1029.0</v>
      </c>
      <c r="B6662" s="3" t="s">
        <v>11280</v>
      </c>
      <c r="C6662" s="3" t="s">
        <v>11281</v>
      </c>
      <c r="D6662" s="3" t="s">
        <v>14414</v>
      </c>
      <c r="E6662" s="3" t="s">
        <v>14415</v>
      </c>
      <c r="F6662" s="3" t="s">
        <v>8875</v>
      </c>
      <c r="G6662" s="3"/>
      <c r="H6662" s="3" t="s">
        <v>14416</v>
      </c>
      <c r="I6662" s="3" t="s">
        <v>14417</v>
      </c>
    </row>
    <row r="6663">
      <c r="A6663" s="3">
        <v>1030.0</v>
      </c>
      <c r="B6663" s="3" t="s">
        <v>11280</v>
      </c>
      <c r="C6663" s="3" t="s">
        <v>11281</v>
      </c>
      <c r="D6663" s="3" t="s">
        <v>14418</v>
      </c>
      <c r="E6663" s="3" t="s">
        <v>14419</v>
      </c>
      <c r="F6663" s="3" t="s">
        <v>14420</v>
      </c>
    </row>
    <row r="6664">
      <c r="A6664" s="3">
        <v>1031.0</v>
      </c>
      <c r="B6664" s="3" t="s">
        <v>11280</v>
      </c>
      <c r="C6664" s="3" t="s">
        <v>11281</v>
      </c>
      <c r="D6664" s="3" t="s">
        <v>14421</v>
      </c>
      <c r="E6664" s="3" t="s">
        <v>14422</v>
      </c>
      <c r="F6664" s="3" t="s">
        <v>2528</v>
      </c>
    </row>
    <row r="6665">
      <c r="A6665" s="3">
        <v>1032.0</v>
      </c>
      <c r="B6665" s="3" t="s">
        <v>11280</v>
      </c>
      <c r="C6665" s="3" t="s">
        <v>11281</v>
      </c>
      <c r="D6665" s="3" t="s">
        <v>14423</v>
      </c>
      <c r="E6665" s="3" t="s">
        <v>14424</v>
      </c>
      <c r="F6665" s="3" t="s">
        <v>14425</v>
      </c>
    </row>
    <row r="6666">
      <c r="A6666" s="3">
        <v>1033.0</v>
      </c>
      <c r="B6666" s="3" t="s">
        <v>11280</v>
      </c>
      <c r="C6666" s="3" t="s">
        <v>11281</v>
      </c>
      <c r="D6666" s="3" t="s">
        <v>14426</v>
      </c>
      <c r="E6666" s="3" t="s">
        <v>14427</v>
      </c>
      <c r="F6666" s="3" t="s">
        <v>14428</v>
      </c>
    </row>
    <row r="6667">
      <c r="A6667" s="3">
        <v>1034.0</v>
      </c>
      <c r="B6667" s="3" t="s">
        <v>11280</v>
      </c>
      <c r="C6667" s="3" t="s">
        <v>11281</v>
      </c>
      <c r="D6667" s="3" t="s">
        <v>14429</v>
      </c>
      <c r="E6667" s="3" t="s">
        <v>14430</v>
      </c>
      <c r="F6667" s="3" t="s">
        <v>14431</v>
      </c>
    </row>
    <row r="6668">
      <c r="A6668" s="3">
        <v>1035.0</v>
      </c>
      <c r="B6668" s="3" t="s">
        <v>11280</v>
      </c>
      <c r="C6668" s="3" t="s">
        <v>11281</v>
      </c>
      <c r="D6668" s="3" t="s">
        <v>14432</v>
      </c>
      <c r="E6668" s="3" t="s">
        <v>14433</v>
      </c>
      <c r="F6668" s="3" t="s">
        <v>11105</v>
      </c>
    </row>
    <row r="6669">
      <c r="A6669" s="3">
        <v>1036.0</v>
      </c>
      <c r="B6669" s="3" t="s">
        <v>11280</v>
      </c>
      <c r="C6669" s="3" t="s">
        <v>11281</v>
      </c>
      <c r="D6669" s="3" t="s">
        <v>14434</v>
      </c>
      <c r="E6669" s="3" t="s">
        <v>14435</v>
      </c>
      <c r="F6669" s="3" t="s">
        <v>14436</v>
      </c>
    </row>
    <row r="6670">
      <c r="A6670" s="3">
        <v>1037.0</v>
      </c>
      <c r="B6670" s="3" t="s">
        <v>11280</v>
      </c>
      <c r="C6670" s="3" t="s">
        <v>11281</v>
      </c>
      <c r="D6670" s="3" t="s">
        <v>14437</v>
      </c>
      <c r="E6670" s="3" t="s">
        <v>14438</v>
      </c>
      <c r="F6670" s="3" t="s">
        <v>14439</v>
      </c>
      <c r="G6670" s="3"/>
      <c r="H6670" s="3" t="s">
        <v>3010</v>
      </c>
      <c r="I6670" s="3" t="s">
        <v>14440</v>
      </c>
      <c r="J6670" s="3" t="s">
        <v>324</v>
      </c>
      <c r="K6670" s="3" t="s">
        <v>324</v>
      </c>
      <c r="L6670" s="3" t="s">
        <v>14441</v>
      </c>
      <c r="M6670" s="3" t="s">
        <v>14442</v>
      </c>
      <c r="N6670" s="3" t="s">
        <v>14443</v>
      </c>
      <c r="O6670" s="3" t="s">
        <v>14444</v>
      </c>
      <c r="P6670" s="3" t="s">
        <v>14445</v>
      </c>
      <c r="Q6670" s="3" t="s">
        <v>14446</v>
      </c>
      <c r="R6670" s="3" t="s">
        <v>14447</v>
      </c>
      <c r="S6670" s="3" t="s">
        <v>14448</v>
      </c>
      <c r="T6670" s="3" t="s">
        <v>14449</v>
      </c>
      <c r="U6670" s="3" t="s">
        <v>14450</v>
      </c>
      <c r="V6670" s="3" t="s">
        <v>14451</v>
      </c>
      <c r="W6670" s="3" t="s">
        <v>14452</v>
      </c>
      <c r="X6670" s="3" t="s">
        <v>14453</v>
      </c>
      <c r="Y6670" s="3" t="s">
        <v>14454</v>
      </c>
      <c r="Z6670" s="3" t="s">
        <v>14455</v>
      </c>
      <c r="AA6670" s="3" t="s">
        <v>14453</v>
      </c>
      <c r="AB6670" s="3" t="s">
        <v>14456</v>
      </c>
      <c r="AC6670" s="3" t="s">
        <v>14457</v>
      </c>
      <c r="AD6670" s="3" t="s">
        <v>14451</v>
      </c>
      <c r="AE6670" s="3" t="s">
        <v>324</v>
      </c>
      <c r="AF6670" s="3" t="s">
        <v>14440</v>
      </c>
      <c r="AG6670" s="3" t="s">
        <v>324</v>
      </c>
      <c r="AH6670" s="3" t="s">
        <v>324</v>
      </c>
      <c r="AI6670" s="3" t="s">
        <v>1685</v>
      </c>
      <c r="AJ6670" s="3" t="s">
        <v>1686</v>
      </c>
    </row>
    <row r="6671">
      <c r="A6671" s="3">
        <v>1038.0</v>
      </c>
      <c r="B6671" s="3" t="s">
        <v>11280</v>
      </c>
      <c r="C6671" s="3" t="s">
        <v>11281</v>
      </c>
      <c r="D6671" s="3" t="s">
        <v>14458</v>
      </c>
      <c r="E6671" s="3" t="s">
        <v>14459</v>
      </c>
      <c r="F6671" s="3" t="s">
        <v>14460</v>
      </c>
    </row>
    <row r="6672">
      <c r="A6672" s="3">
        <v>1039.0</v>
      </c>
      <c r="B6672" s="3" t="s">
        <v>11280</v>
      </c>
      <c r="C6672" s="3" t="s">
        <v>11281</v>
      </c>
      <c r="D6672" s="3" t="s">
        <v>14461</v>
      </c>
      <c r="E6672" s="3" t="s">
        <v>14462</v>
      </c>
      <c r="F6672" s="3" t="s">
        <v>14463</v>
      </c>
    </row>
    <row r="6673">
      <c r="A6673" s="3">
        <v>1040.0</v>
      </c>
      <c r="B6673" s="3" t="s">
        <v>11280</v>
      </c>
      <c r="C6673" s="3" t="s">
        <v>11281</v>
      </c>
      <c r="D6673" s="3" t="s">
        <v>14464</v>
      </c>
      <c r="E6673" s="3" t="s">
        <v>14465</v>
      </c>
      <c r="F6673" s="3" t="s">
        <v>14466</v>
      </c>
    </row>
    <row r="6674">
      <c r="A6674" s="3">
        <v>1041.0</v>
      </c>
      <c r="B6674" s="3" t="s">
        <v>11280</v>
      </c>
      <c r="C6674" s="3" t="s">
        <v>11281</v>
      </c>
      <c r="D6674" s="3" t="s">
        <v>14467</v>
      </c>
      <c r="E6674" s="3" t="s">
        <v>14468</v>
      </c>
      <c r="F6674" s="3" t="s">
        <v>14469</v>
      </c>
    </row>
    <row r="6675">
      <c r="A6675" s="3">
        <v>1042.0</v>
      </c>
      <c r="B6675" s="3" t="s">
        <v>11280</v>
      </c>
      <c r="C6675" s="3" t="s">
        <v>11281</v>
      </c>
      <c r="D6675" s="3" t="s">
        <v>14470</v>
      </c>
      <c r="E6675" s="3" t="s">
        <v>14471</v>
      </c>
      <c r="F6675" s="3" t="s">
        <v>129</v>
      </c>
    </row>
    <row r="6676">
      <c r="A6676" s="3">
        <v>1043.0</v>
      </c>
      <c r="B6676" s="3" t="s">
        <v>11280</v>
      </c>
      <c r="C6676" s="3" t="s">
        <v>11281</v>
      </c>
      <c r="D6676" s="3" t="s">
        <v>14472</v>
      </c>
      <c r="E6676" s="3" t="s">
        <v>14473</v>
      </c>
      <c r="F6676" s="3" t="s">
        <v>14474</v>
      </c>
    </row>
    <row r="6677">
      <c r="A6677" s="3">
        <v>1044.0</v>
      </c>
      <c r="B6677" s="3" t="s">
        <v>11280</v>
      </c>
      <c r="C6677" s="3" t="s">
        <v>11281</v>
      </c>
      <c r="D6677" s="3" t="s">
        <v>14475</v>
      </c>
      <c r="E6677" s="3" t="s">
        <v>14476</v>
      </c>
      <c r="F6677" s="3" t="s">
        <v>14477</v>
      </c>
    </row>
    <row r="6678">
      <c r="A6678" s="3">
        <v>1045.0</v>
      </c>
      <c r="B6678" s="3" t="s">
        <v>11280</v>
      </c>
      <c r="C6678" s="3" t="s">
        <v>11281</v>
      </c>
      <c r="D6678" s="3" t="s">
        <v>93</v>
      </c>
      <c r="E6678" s="3" t="s">
        <v>192</v>
      </c>
      <c r="F6678" s="3" t="s">
        <v>191</v>
      </c>
    </row>
    <row r="6679">
      <c r="A6679" s="3">
        <v>1046.0</v>
      </c>
      <c r="B6679" s="3" t="s">
        <v>11280</v>
      </c>
      <c r="C6679" s="3" t="s">
        <v>11281</v>
      </c>
      <c r="D6679" s="3" t="s">
        <v>14478</v>
      </c>
      <c r="E6679" s="3" t="s">
        <v>268</v>
      </c>
      <c r="F6679" s="3" t="s">
        <v>269</v>
      </c>
    </row>
    <row r="6680">
      <c r="A6680" s="3">
        <v>1047.0</v>
      </c>
      <c r="B6680" s="3" t="s">
        <v>11280</v>
      </c>
      <c r="C6680" s="3" t="s">
        <v>11281</v>
      </c>
      <c r="D6680" s="3" t="s">
        <v>14479</v>
      </c>
      <c r="E6680" s="3" t="s">
        <v>14480</v>
      </c>
      <c r="F6680" s="3" t="s">
        <v>11856</v>
      </c>
    </row>
    <row r="6681">
      <c r="A6681" s="3">
        <v>1048.0</v>
      </c>
      <c r="B6681" s="3" t="s">
        <v>11280</v>
      </c>
      <c r="C6681" s="3" t="s">
        <v>11281</v>
      </c>
      <c r="D6681" s="3" t="s">
        <v>14481</v>
      </c>
      <c r="E6681" s="3" t="s">
        <v>12849</v>
      </c>
      <c r="F6681" s="3" t="s">
        <v>12848</v>
      </c>
    </row>
    <row r="6682">
      <c r="A6682" s="3">
        <v>1049.0</v>
      </c>
      <c r="B6682" s="3" t="s">
        <v>11280</v>
      </c>
      <c r="C6682" s="3" t="s">
        <v>11281</v>
      </c>
      <c r="D6682" s="3" t="s">
        <v>14482</v>
      </c>
      <c r="E6682" s="3" t="s">
        <v>14483</v>
      </c>
      <c r="F6682" s="3" t="s">
        <v>14484</v>
      </c>
    </row>
    <row r="6683">
      <c r="A6683" s="3">
        <v>1050.0</v>
      </c>
      <c r="B6683" s="3" t="s">
        <v>11280</v>
      </c>
      <c r="C6683" s="3" t="s">
        <v>11281</v>
      </c>
      <c r="D6683" s="3" t="s">
        <v>14485</v>
      </c>
      <c r="E6683" s="3" t="s">
        <v>14486</v>
      </c>
      <c r="F6683" s="3" t="s">
        <v>14487</v>
      </c>
    </row>
    <row r="6684">
      <c r="A6684" s="3">
        <v>1051.0</v>
      </c>
      <c r="B6684" s="3" t="s">
        <v>11280</v>
      </c>
      <c r="C6684" s="3" t="s">
        <v>11281</v>
      </c>
      <c r="D6684" s="3" t="s">
        <v>14488</v>
      </c>
      <c r="E6684" s="3" t="s">
        <v>14489</v>
      </c>
      <c r="F6684" s="3" t="s">
        <v>14490</v>
      </c>
    </row>
    <row r="6685">
      <c r="A6685" s="3">
        <v>1052.0</v>
      </c>
      <c r="B6685" s="3" t="s">
        <v>11280</v>
      </c>
      <c r="C6685" s="3" t="s">
        <v>11281</v>
      </c>
      <c r="D6685" s="3" t="s">
        <v>14491</v>
      </c>
      <c r="E6685" s="3" t="s">
        <v>14492</v>
      </c>
      <c r="F6685" s="3" t="s">
        <v>14493</v>
      </c>
    </row>
    <row r="6686">
      <c r="A6686" s="3">
        <v>1053.0</v>
      </c>
      <c r="B6686" s="3" t="s">
        <v>11280</v>
      </c>
      <c r="C6686" s="3" t="s">
        <v>11281</v>
      </c>
      <c r="D6686" s="3" t="s">
        <v>14494</v>
      </c>
      <c r="E6686" s="3" t="s">
        <v>14495</v>
      </c>
      <c r="F6686" s="3" t="s">
        <v>14496</v>
      </c>
    </row>
    <row r="6687">
      <c r="A6687" s="3">
        <v>1054.0</v>
      </c>
      <c r="B6687" s="3" t="s">
        <v>11280</v>
      </c>
      <c r="C6687" s="3" t="s">
        <v>11281</v>
      </c>
      <c r="D6687" s="3" t="s">
        <v>14497</v>
      </c>
      <c r="E6687" s="3" t="s">
        <v>12851</v>
      </c>
      <c r="F6687" s="3" t="s">
        <v>12850</v>
      </c>
    </row>
    <row r="6688">
      <c r="A6688" s="3">
        <v>1055.0</v>
      </c>
      <c r="B6688" s="3" t="s">
        <v>11280</v>
      </c>
      <c r="C6688" s="3" t="s">
        <v>11281</v>
      </c>
      <c r="D6688" s="3" t="s">
        <v>14498</v>
      </c>
      <c r="E6688" s="3" t="s">
        <v>14499</v>
      </c>
      <c r="F6688" s="3" t="s">
        <v>269</v>
      </c>
    </row>
    <row r="6689">
      <c r="A6689" s="3">
        <v>1056.0</v>
      </c>
      <c r="B6689" s="3" t="s">
        <v>11280</v>
      </c>
      <c r="C6689" s="3" t="s">
        <v>11281</v>
      </c>
      <c r="D6689" s="3" t="s">
        <v>14500</v>
      </c>
      <c r="E6689" s="3" t="s">
        <v>14501</v>
      </c>
      <c r="F6689" s="3" t="s">
        <v>11835</v>
      </c>
    </row>
    <row r="6690">
      <c r="A6690" s="3">
        <v>1057.0</v>
      </c>
      <c r="B6690" s="3" t="s">
        <v>11280</v>
      </c>
      <c r="C6690" s="3" t="s">
        <v>11281</v>
      </c>
      <c r="D6690" s="3" t="s">
        <v>14502</v>
      </c>
      <c r="E6690" s="3" t="s">
        <v>14503</v>
      </c>
      <c r="F6690" s="3" t="s">
        <v>11856</v>
      </c>
    </row>
    <row r="6691">
      <c r="A6691" s="3">
        <v>1058.0</v>
      </c>
      <c r="B6691" s="3" t="s">
        <v>11280</v>
      </c>
      <c r="C6691" s="3" t="s">
        <v>11281</v>
      </c>
      <c r="D6691" s="3" t="s">
        <v>14504</v>
      </c>
      <c r="E6691" s="3" t="s">
        <v>479</v>
      </c>
      <c r="F6691" s="3" t="s">
        <v>480</v>
      </c>
    </row>
    <row r="6692">
      <c r="A6692" s="3">
        <v>1059.0</v>
      </c>
      <c r="B6692" s="3" t="s">
        <v>11280</v>
      </c>
      <c r="C6692" s="3" t="s">
        <v>11281</v>
      </c>
      <c r="D6692" s="3" t="s">
        <v>14505</v>
      </c>
      <c r="E6692" s="3" t="s">
        <v>11888</v>
      </c>
      <c r="F6692" s="3" t="s">
        <v>11889</v>
      </c>
    </row>
    <row r="6693">
      <c r="A6693" s="3">
        <v>1060.0</v>
      </c>
      <c r="B6693" s="3" t="s">
        <v>11280</v>
      </c>
      <c r="C6693" s="3" t="s">
        <v>11281</v>
      </c>
      <c r="D6693" s="3" t="s">
        <v>14506</v>
      </c>
      <c r="E6693" s="3" t="s">
        <v>11891</v>
      </c>
      <c r="F6693" s="3" t="s">
        <v>11892</v>
      </c>
    </row>
    <row r="6694">
      <c r="A6694" s="3">
        <v>1061.0</v>
      </c>
      <c r="B6694" s="3" t="s">
        <v>11280</v>
      </c>
      <c r="C6694" s="3" t="s">
        <v>11281</v>
      </c>
      <c r="D6694" s="3" t="s">
        <v>14507</v>
      </c>
      <c r="E6694" s="3" t="s">
        <v>11894</v>
      </c>
      <c r="F6694" s="3" t="s">
        <v>11895</v>
      </c>
    </row>
    <row r="6695">
      <c r="A6695" s="3">
        <v>1062.0</v>
      </c>
      <c r="B6695" s="3" t="s">
        <v>11280</v>
      </c>
      <c r="C6695" s="3" t="s">
        <v>11281</v>
      </c>
      <c r="D6695" s="3" t="s">
        <v>14508</v>
      </c>
      <c r="E6695" s="3" t="s">
        <v>11897</v>
      </c>
      <c r="F6695" s="3" t="s">
        <v>11898</v>
      </c>
    </row>
    <row r="6696">
      <c r="A6696" s="3">
        <v>1063.0</v>
      </c>
      <c r="B6696" s="3" t="s">
        <v>11280</v>
      </c>
      <c r="C6696" s="3" t="s">
        <v>11281</v>
      </c>
      <c r="D6696" s="3" t="s">
        <v>14509</v>
      </c>
      <c r="E6696" s="3" t="s">
        <v>11900</v>
      </c>
      <c r="F6696" s="3" t="s">
        <v>11901</v>
      </c>
    </row>
    <row r="6697">
      <c r="A6697" s="3">
        <v>1064.0</v>
      </c>
      <c r="B6697" s="3" t="s">
        <v>11280</v>
      </c>
      <c r="C6697" s="3" t="s">
        <v>11281</v>
      </c>
      <c r="D6697" s="3" t="s">
        <v>14510</v>
      </c>
      <c r="E6697" s="3" t="s">
        <v>11903</v>
      </c>
      <c r="F6697" s="3" t="s">
        <v>11904</v>
      </c>
    </row>
    <row r="6698">
      <c r="A6698" s="3">
        <v>1065.0</v>
      </c>
      <c r="B6698" s="3" t="s">
        <v>11280</v>
      </c>
      <c r="C6698" s="3" t="s">
        <v>11281</v>
      </c>
      <c r="D6698" s="3" t="s">
        <v>14511</v>
      </c>
      <c r="E6698" s="3" t="s">
        <v>11906</v>
      </c>
      <c r="F6698" s="3" t="s">
        <v>11907</v>
      </c>
    </row>
    <row r="6699">
      <c r="A6699" s="3">
        <v>1066.0</v>
      </c>
      <c r="B6699" s="3" t="s">
        <v>11280</v>
      </c>
      <c r="C6699" s="3" t="s">
        <v>11281</v>
      </c>
      <c r="D6699" s="3" t="s">
        <v>14512</v>
      </c>
      <c r="E6699" s="3" t="s">
        <v>2284</v>
      </c>
      <c r="F6699" s="3" t="s">
        <v>2285</v>
      </c>
    </row>
    <row r="6700">
      <c r="A6700" s="3">
        <v>1067.0</v>
      </c>
      <c r="B6700" s="3" t="s">
        <v>11280</v>
      </c>
      <c r="C6700" s="3" t="s">
        <v>11281</v>
      </c>
      <c r="D6700" s="3" t="s">
        <v>14513</v>
      </c>
      <c r="E6700" s="3" t="s">
        <v>11919</v>
      </c>
      <c r="F6700" s="3" t="s">
        <v>11918</v>
      </c>
    </row>
    <row r="6701">
      <c r="A6701" s="3">
        <v>1068.0</v>
      </c>
      <c r="B6701" s="3" t="s">
        <v>11280</v>
      </c>
      <c r="C6701" s="3" t="s">
        <v>11281</v>
      </c>
      <c r="D6701" s="3" t="s">
        <v>14514</v>
      </c>
      <c r="E6701" s="3" t="s">
        <v>14515</v>
      </c>
      <c r="F6701" s="3" t="s">
        <v>14516</v>
      </c>
    </row>
    <row r="6702">
      <c r="A6702" s="3">
        <v>1069.0</v>
      </c>
      <c r="B6702" s="3" t="s">
        <v>11280</v>
      </c>
      <c r="C6702" s="3" t="s">
        <v>11281</v>
      </c>
      <c r="D6702" s="3" t="s">
        <v>14517</v>
      </c>
      <c r="E6702" s="3" t="s">
        <v>14518</v>
      </c>
      <c r="F6702" s="3" t="s">
        <v>14519</v>
      </c>
    </row>
    <row r="6703">
      <c r="A6703" s="3">
        <v>1070.0</v>
      </c>
      <c r="B6703" s="3" t="s">
        <v>11280</v>
      </c>
      <c r="C6703" s="3" t="s">
        <v>11281</v>
      </c>
      <c r="D6703" s="3" t="s">
        <v>14520</v>
      </c>
      <c r="E6703" s="3" t="s">
        <v>14521</v>
      </c>
      <c r="F6703" s="3" t="s">
        <v>14522</v>
      </c>
    </row>
    <row r="6704">
      <c r="A6704" s="3">
        <v>1071.0</v>
      </c>
      <c r="B6704" s="3" t="s">
        <v>11280</v>
      </c>
      <c r="C6704" s="3" t="s">
        <v>11281</v>
      </c>
      <c r="D6704" s="3" t="s">
        <v>14523</v>
      </c>
      <c r="E6704" s="3" t="s">
        <v>488</v>
      </c>
      <c r="F6704" s="3" t="s">
        <v>489</v>
      </c>
    </row>
    <row r="6705">
      <c r="A6705" s="3">
        <v>1072.0</v>
      </c>
      <c r="B6705" s="3" t="s">
        <v>11280</v>
      </c>
      <c r="C6705" s="3" t="s">
        <v>11281</v>
      </c>
      <c r="D6705" s="3" t="s">
        <v>14524</v>
      </c>
      <c r="E6705" s="3" t="s">
        <v>14525</v>
      </c>
      <c r="F6705" s="3" t="s">
        <v>6785</v>
      </c>
    </row>
    <row r="6706">
      <c r="A6706" s="3">
        <v>1073.0</v>
      </c>
      <c r="B6706" s="3" t="s">
        <v>11280</v>
      </c>
      <c r="C6706" s="3" t="s">
        <v>11281</v>
      </c>
      <c r="D6706" s="3" t="s">
        <v>14526</v>
      </c>
      <c r="E6706" s="3" t="s">
        <v>14527</v>
      </c>
      <c r="F6706" s="3" t="s">
        <v>14528</v>
      </c>
    </row>
    <row r="6707">
      <c r="A6707" s="3">
        <v>1074.0</v>
      </c>
      <c r="B6707" s="3" t="s">
        <v>11280</v>
      </c>
      <c r="C6707" s="3" t="s">
        <v>11281</v>
      </c>
      <c r="D6707" s="3" t="s">
        <v>14529</v>
      </c>
      <c r="E6707" s="3" t="s">
        <v>14530</v>
      </c>
      <c r="F6707" s="3" t="s">
        <v>14531</v>
      </c>
      <c r="G6707" s="3"/>
      <c r="H6707" s="3" t="s">
        <v>14532</v>
      </c>
      <c r="I6707" s="3" t="s">
        <v>911</v>
      </c>
      <c r="J6707" s="3" t="s">
        <v>14533</v>
      </c>
      <c r="K6707" s="3" t="s">
        <v>14534</v>
      </c>
      <c r="L6707" s="3" t="s">
        <v>14535</v>
      </c>
      <c r="M6707" s="3" t="s">
        <v>14536</v>
      </c>
      <c r="N6707" s="3" t="s">
        <v>14537</v>
      </c>
      <c r="O6707" s="3" t="s">
        <v>14538</v>
      </c>
      <c r="P6707" s="3" t="s">
        <v>14539</v>
      </c>
      <c r="Q6707" s="3" t="s">
        <v>14540</v>
      </c>
    </row>
    <row r="6708">
      <c r="A6708" s="3">
        <v>1075.0</v>
      </c>
      <c r="B6708" s="3" t="s">
        <v>11280</v>
      </c>
      <c r="C6708" s="3" t="s">
        <v>11281</v>
      </c>
      <c r="D6708" s="3" t="s">
        <v>14541</v>
      </c>
      <c r="E6708" s="3" t="s">
        <v>14542</v>
      </c>
      <c r="F6708" s="3" t="s">
        <v>14543</v>
      </c>
    </row>
    <row r="6709">
      <c r="A6709" s="3">
        <v>1076.0</v>
      </c>
      <c r="B6709" s="3" t="s">
        <v>11280</v>
      </c>
      <c r="C6709" s="3" t="s">
        <v>11281</v>
      </c>
      <c r="D6709" s="3" t="s">
        <v>14544</v>
      </c>
      <c r="E6709" s="3" t="s">
        <v>14545</v>
      </c>
      <c r="F6709" s="3" t="s">
        <v>14546</v>
      </c>
    </row>
    <row r="6710">
      <c r="A6710" s="3">
        <v>1077.0</v>
      </c>
      <c r="B6710" s="3" t="s">
        <v>11280</v>
      </c>
      <c r="C6710" s="3" t="s">
        <v>11281</v>
      </c>
      <c r="D6710" s="3" t="s">
        <v>14547</v>
      </c>
      <c r="E6710" s="3" t="s">
        <v>14548</v>
      </c>
      <c r="F6710" s="3" t="s">
        <v>14549</v>
      </c>
    </row>
    <row r="6711">
      <c r="A6711" s="3">
        <v>1078.0</v>
      </c>
      <c r="B6711" s="3" t="s">
        <v>11280</v>
      </c>
      <c r="C6711" s="3" t="s">
        <v>11281</v>
      </c>
      <c r="D6711" s="3" t="s">
        <v>14550</v>
      </c>
      <c r="E6711" s="3" t="s">
        <v>14551</v>
      </c>
      <c r="F6711" s="3" t="s">
        <v>6787</v>
      </c>
    </row>
    <row r="6712">
      <c r="A6712" s="3">
        <v>1079.0</v>
      </c>
      <c r="B6712" s="3" t="s">
        <v>11280</v>
      </c>
      <c r="C6712" s="3" t="s">
        <v>11281</v>
      </c>
      <c r="D6712" s="3" t="s">
        <v>14552</v>
      </c>
      <c r="E6712" s="3" t="s">
        <v>14553</v>
      </c>
      <c r="F6712" s="3" t="s">
        <v>14554</v>
      </c>
    </row>
    <row r="6713">
      <c r="A6713" s="3">
        <v>1080.0</v>
      </c>
      <c r="B6713" s="3" t="s">
        <v>11280</v>
      </c>
      <c r="C6713" s="3" t="s">
        <v>11281</v>
      </c>
      <c r="D6713" s="3" t="s">
        <v>14555</v>
      </c>
      <c r="E6713" s="3" t="s">
        <v>14556</v>
      </c>
      <c r="F6713" s="3" t="s">
        <v>14557</v>
      </c>
    </row>
    <row r="6714">
      <c r="A6714" s="3">
        <v>1081.0</v>
      </c>
      <c r="B6714" s="3" t="s">
        <v>11280</v>
      </c>
      <c r="C6714" s="3" t="s">
        <v>11281</v>
      </c>
      <c r="D6714" s="3" t="s">
        <v>14558</v>
      </c>
      <c r="E6714" s="3" t="s">
        <v>14559</v>
      </c>
      <c r="F6714" s="3" t="s">
        <v>12085</v>
      </c>
    </row>
    <row r="6715">
      <c r="A6715" s="3">
        <v>1082.0</v>
      </c>
      <c r="B6715" s="3" t="s">
        <v>11280</v>
      </c>
      <c r="C6715" s="3" t="s">
        <v>11281</v>
      </c>
      <c r="D6715" s="3" t="s">
        <v>14560</v>
      </c>
      <c r="E6715" s="3" t="s">
        <v>14561</v>
      </c>
      <c r="F6715" s="3" t="s">
        <v>12102</v>
      </c>
    </row>
    <row r="6716">
      <c r="A6716" s="3">
        <v>1083.0</v>
      </c>
      <c r="B6716" s="3" t="s">
        <v>11280</v>
      </c>
      <c r="C6716" s="3" t="s">
        <v>11281</v>
      </c>
      <c r="D6716" s="3" t="s">
        <v>115</v>
      </c>
      <c r="E6716" s="3" t="s">
        <v>413</v>
      </c>
      <c r="F6716" s="3" t="s">
        <v>414</v>
      </c>
    </row>
    <row r="6717">
      <c r="A6717" s="3">
        <v>1084.0</v>
      </c>
      <c r="B6717" s="3" t="s">
        <v>11280</v>
      </c>
      <c r="C6717" s="3" t="s">
        <v>11281</v>
      </c>
      <c r="D6717" s="3" t="s">
        <v>14562</v>
      </c>
      <c r="E6717" s="3" t="s">
        <v>14563</v>
      </c>
      <c r="F6717" s="3" t="s">
        <v>14564</v>
      </c>
    </row>
    <row r="6718">
      <c r="A6718" s="3">
        <v>1085.0</v>
      </c>
      <c r="B6718" s="3" t="s">
        <v>11280</v>
      </c>
      <c r="C6718" s="3" t="s">
        <v>11281</v>
      </c>
      <c r="D6718" s="3" t="s">
        <v>14565</v>
      </c>
      <c r="E6718" s="3" t="s">
        <v>14566</v>
      </c>
      <c r="F6718" s="3" t="s">
        <v>14567</v>
      </c>
    </row>
    <row r="6719">
      <c r="A6719" s="3">
        <v>1086.0</v>
      </c>
      <c r="B6719" s="3" t="s">
        <v>11280</v>
      </c>
      <c r="C6719" s="3" t="s">
        <v>11281</v>
      </c>
      <c r="D6719" s="3" t="s">
        <v>14568</v>
      </c>
      <c r="E6719" s="3" t="s">
        <v>14569</v>
      </c>
      <c r="F6719" s="3" t="s">
        <v>9860</v>
      </c>
    </row>
    <row r="6720">
      <c r="A6720" s="3">
        <v>1087.0</v>
      </c>
      <c r="B6720" s="3" t="s">
        <v>11280</v>
      </c>
      <c r="C6720" s="3" t="s">
        <v>11281</v>
      </c>
      <c r="D6720" s="3" t="s">
        <v>14570</v>
      </c>
      <c r="E6720" s="3" t="s">
        <v>14571</v>
      </c>
      <c r="F6720" s="3" t="s">
        <v>12784</v>
      </c>
    </row>
    <row r="6721">
      <c r="A6721" s="3">
        <v>1088.0</v>
      </c>
      <c r="B6721" s="3" t="s">
        <v>11280</v>
      </c>
      <c r="C6721" s="3" t="s">
        <v>11281</v>
      </c>
      <c r="D6721" s="3" t="s">
        <v>14572</v>
      </c>
      <c r="E6721" s="3" t="s">
        <v>14573</v>
      </c>
      <c r="F6721" s="3" t="s">
        <v>14574</v>
      </c>
      <c r="G6721" s="3"/>
      <c r="H6721" s="3" t="s">
        <v>14575</v>
      </c>
    </row>
    <row r="6722">
      <c r="A6722" s="3">
        <v>1089.0</v>
      </c>
      <c r="B6722" s="3" t="s">
        <v>11280</v>
      </c>
      <c r="C6722" s="3" t="s">
        <v>11281</v>
      </c>
      <c r="D6722" s="3" t="s">
        <v>14576</v>
      </c>
      <c r="E6722" s="3" t="s">
        <v>14577</v>
      </c>
      <c r="F6722" s="3" t="s">
        <v>14578</v>
      </c>
    </row>
    <row r="6723">
      <c r="A6723" s="3">
        <v>1090.0</v>
      </c>
      <c r="B6723" s="3" t="s">
        <v>11280</v>
      </c>
      <c r="C6723" s="3" t="s">
        <v>11281</v>
      </c>
      <c r="D6723" s="3" t="s">
        <v>14579</v>
      </c>
      <c r="E6723" s="3" t="s">
        <v>826</v>
      </c>
      <c r="F6723" s="3" t="s">
        <v>827</v>
      </c>
    </row>
    <row r="6724">
      <c r="A6724" s="3">
        <v>1091.0</v>
      </c>
      <c r="B6724" s="3" t="s">
        <v>11280</v>
      </c>
      <c r="C6724" s="3" t="s">
        <v>11281</v>
      </c>
      <c r="D6724" s="3" t="s">
        <v>14580</v>
      </c>
      <c r="E6724" s="3" t="s">
        <v>888</v>
      </c>
      <c r="F6724" s="3" t="s">
        <v>889</v>
      </c>
    </row>
    <row r="6725">
      <c r="A6725" s="3">
        <v>1092.0</v>
      </c>
      <c r="B6725" s="3" t="s">
        <v>11280</v>
      </c>
      <c r="C6725" s="3" t="s">
        <v>11281</v>
      </c>
      <c r="D6725" s="3" t="s">
        <v>14581</v>
      </c>
      <c r="E6725" s="3" t="s">
        <v>897</v>
      </c>
      <c r="F6725" s="3" t="s">
        <v>898</v>
      </c>
    </row>
    <row r="6726">
      <c r="A6726" s="3">
        <v>1093.0</v>
      </c>
      <c r="B6726" s="3" t="s">
        <v>11280</v>
      </c>
      <c r="C6726" s="3" t="s">
        <v>11281</v>
      </c>
      <c r="D6726" s="3" t="s">
        <v>4380</v>
      </c>
      <c r="E6726" s="3" t="s">
        <v>353</v>
      </c>
      <c r="F6726" s="3" t="s">
        <v>354</v>
      </c>
    </row>
    <row r="6727">
      <c r="A6727" s="3">
        <v>1094.0</v>
      </c>
      <c r="B6727" s="3" t="s">
        <v>11280</v>
      </c>
      <c r="C6727" s="3" t="s">
        <v>11281</v>
      </c>
      <c r="D6727" s="3" t="s">
        <v>14582</v>
      </c>
      <c r="E6727" s="3" t="s">
        <v>826</v>
      </c>
      <c r="F6727" s="3" t="s">
        <v>827</v>
      </c>
      <c r="G6727" s="3"/>
      <c r="H6727" s="3" t="s">
        <v>14583</v>
      </c>
      <c r="I6727" s="3" t="s">
        <v>14584</v>
      </c>
      <c r="J6727" s="3" t="s">
        <v>14585</v>
      </c>
      <c r="K6727" s="3" t="s">
        <v>14586</v>
      </c>
      <c r="L6727" s="3" t="s">
        <v>14587</v>
      </c>
      <c r="M6727" s="3" t="s">
        <v>14588</v>
      </c>
      <c r="N6727" s="3" t="s">
        <v>14589</v>
      </c>
      <c r="O6727" s="3" t="s">
        <v>14590</v>
      </c>
      <c r="P6727" s="3" t="s">
        <v>7515</v>
      </c>
      <c r="Q6727" s="3" t="s">
        <v>14591</v>
      </c>
      <c r="R6727" s="3" t="s">
        <v>14592</v>
      </c>
    </row>
    <row r="6728">
      <c r="A6728" s="3">
        <v>1095.0</v>
      </c>
      <c r="B6728" s="3" t="s">
        <v>11280</v>
      </c>
      <c r="C6728" s="3" t="s">
        <v>11281</v>
      </c>
      <c r="D6728" s="3" t="s">
        <v>14593</v>
      </c>
      <c r="E6728" s="3" t="s">
        <v>12798</v>
      </c>
      <c r="F6728" s="3" t="s">
        <v>12797</v>
      </c>
    </row>
    <row r="6729">
      <c r="A6729" s="3">
        <v>1096.0</v>
      </c>
      <c r="B6729" s="3" t="s">
        <v>11280</v>
      </c>
      <c r="C6729" s="3" t="s">
        <v>11281</v>
      </c>
      <c r="D6729" s="3" t="s">
        <v>14594</v>
      </c>
      <c r="E6729" s="3" t="s">
        <v>14595</v>
      </c>
      <c r="F6729" s="3" t="s">
        <v>14596</v>
      </c>
    </row>
    <row r="6730">
      <c r="A6730" s="3">
        <v>1097.0</v>
      </c>
      <c r="B6730" s="3" t="s">
        <v>11280</v>
      </c>
      <c r="C6730" s="3" t="s">
        <v>11281</v>
      </c>
      <c r="D6730" s="3" t="s">
        <v>14597</v>
      </c>
      <c r="E6730" s="3" t="s">
        <v>14598</v>
      </c>
      <c r="F6730" s="3" t="s">
        <v>14599</v>
      </c>
    </row>
    <row r="6731">
      <c r="A6731" s="3">
        <v>1098.0</v>
      </c>
      <c r="B6731" s="3" t="s">
        <v>11280</v>
      </c>
      <c r="C6731" s="3" t="s">
        <v>11281</v>
      </c>
      <c r="D6731" s="3" t="s">
        <v>14600</v>
      </c>
      <c r="E6731" s="3" t="s">
        <v>14601</v>
      </c>
      <c r="F6731" s="3" t="s">
        <v>14602</v>
      </c>
      <c r="G6731" s="3"/>
      <c r="H6731" s="3" t="s">
        <v>14603</v>
      </c>
      <c r="I6731" s="3" t="s">
        <v>4858</v>
      </c>
      <c r="J6731" s="3" t="s">
        <v>14604</v>
      </c>
      <c r="K6731" s="3" t="s">
        <v>14605</v>
      </c>
    </row>
    <row r="6732">
      <c r="A6732" s="3">
        <v>1099.0</v>
      </c>
      <c r="B6732" s="3" t="s">
        <v>11280</v>
      </c>
      <c r="C6732" s="3" t="s">
        <v>11281</v>
      </c>
      <c r="D6732" s="3" t="s">
        <v>14606</v>
      </c>
      <c r="E6732" s="3" t="s">
        <v>14607</v>
      </c>
      <c r="F6732" s="3" t="s">
        <v>14608</v>
      </c>
    </row>
    <row r="6733">
      <c r="A6733" s="3">
        <v>1100.0</v>
      </c>
      <c r="B6733" s="3" t="s">
        <v>11280</v>
      </c>
      <c r="C6733" s="3" t="s">
        <v>11281</v>
      </c>
      <c r="D6733" s="3" t="s">
        <v>14609</v>
      </c>
      <c r="E6733" s="3" t="s">
        <v>12814</v>
      </c>
      <c r="F6733" s="3" t="s">
        <v>12813</v>
      </c>
    </row>
    <row r="6734">
      <c r="A6734" s="3">
        <v>1101.0</v>
      </c>
      <c r="B6734" s="3" t="s">
        <v>11280</v>
      </c>
      <c r="C6734" s="3" t="s">
        <v>11281</v>
      </c>
      <c r="D6734" s="3" t="s">
        <v>14610</v>
      </c>
      <c r="E6734" s="3" t="s">
        <v>14611</v>
      </c>
      <c r="F6734" s="3" t="s">
        <v>14612</v>
      </c>
    </row>
    <row r="6735">
      <c r="A6735" s="3">
        <v>1102.0</v>
      </c>
      <c r="B6735" s="3" t="s">
        <v>11280</v>
      </c>
      <c r="C6735" s="3" t="s">
        <v>11281</v>
      </c>
      <c r="D6735" s="3" t="s">
        <v>14613</v>
      </c>
      <c r="E6735" s="3" t="s">
        <v>14614</v>
      </c>
      <c r="F6735" s="3" t="s">
        <v>14615</v>
      </c>
    </row>
    <row r="6736">
      <c r="A6736" s="3">
        <v>1103.0</v>
      </c>
      <c r="B6736" s="3" t="s">
        <v>11280</v>
      </c>
      <c r="C6736" s="3" t="s">
        <v>11281</v>
      </c>
      <c r="D6736" s="3" t="s">
        <v>14616</v>
      </c>
      <c r="E6736" s="3" t="s">
        <v>14617</v>
      </c>
      <c r="F6736" s="3" t="s">
        <v>8546</v>
      </c>
    </row>
    <row r="6737">
      <c r="A6737" s="3">
        <v>1104.0</v>
      </c>
      <c r="B6737" s="3" t="s">
        <v>11280</v>
      </c>
      <c r="C6737" s="3" t="s">
        <v>11281</v>
      </c>
      <c r="D6737" s="3" t="s">
        <v>14618</v>
      </c>
      <c r="E6737" s="3" t="s">
        <v>14619</v>
      </c>
      <c r="F6737" s="3" t="s">
        <v>14620</v>
      </c>
    </row>
    <row r="6738">
      <c r="A6738" s="3">
        <v>1105.0</v>
      </c>
      <c r="B6738" s="3" t="s">
        <v>11280</v>
      </c>
      <c r="C6738" s="3" t="s">
        <v>11281</v>
      </c>
      <c r="D6738" s="3" t="s">
        <v>14621</v>
      </c>
      <c r="E6738" s="3" t="s">
        <v>14622</v>
      </c>
      <c r="F6738" s="3" t="s">
        <v>8546</v>
      </c>
      <c r="G6738" s="3"/>
      <c r="H6738" s="3" t="s">
        <v>14623</v>
      </c>
      <c r="I6738" s="3" t="s">
        <v>14624</v>
      </c>
      <c r="J6738" s="3" t="s">
        <v>14625</v>
      </c>
      <c r="K6738" s="3" t="s">
        <v>8524</v>
      </c>
    </row>
    <row r="6739">
      <c r="A6739" s="3">
        <v>1106.0</v>
      </c>
      <c r="B6739" s="3" t="s">
        <v>11280</v>
      </c>
      <c r="C6739" s="3" t="s">
        <v>11281</v>
      </c>
      <c r="D6739" s="3" t="s">
        <v>14626</v>
      </c>
      <c r="E6739" s="3" t="s">
        <v>14627</v>
      </c>
      <c r="F6739" s="3" t="s">
        <v>14620</v>
      </c>
    </row>
    <row r="6740">
      <c r="A6740" s="3">
        <v>1107.0</v>
      </c>
      <c r="B6740" s="3" t="s">
        <v>11280</v>
      </c>
      <c r="C6740" s="3" t="s">
        <v>11281</v>
      </c>
      <c r="D6740" s="3" t="s">
        <v>14628</v>
      </c>
      <c r="E6740" s="3" t="s">
        <v>14629</v>
      </c>
      <c r="F6740" s="3" t="s">
        <v>14630</v>
      </c>
    </row>
    <row r="6741">
      <c r="A6741" s="3">
        <v>1108.0</v>
      </c>
      <c r="B6741" s="3" t="s">
        <v>11280</v>
      </c>
      <c r="C6741" s="3" t="s">
        <v>11281</v>
      </c>
      <c r="D6741" s="3" t="s">
        <v>14631</v>
      </c>
      <c r="E6741" s="3" t="s">
        <v>14632</v>
      </c>
      <c r="F6741" s="3" t="s">
        <v>14633</v>
      </c>
    </row>
    <row r="6742">
      <c r="A6742" s="3">
        <v>1109.0</v>
      </c>
      <c r="B6742" s="3" t="s">
        <v>11280</v>
      </c>
      <c r="C6742" s="3" t="s">
        <v>11281</v>
      </c>
      <c r="D6742" s="3" t="s">
        <v>14634</v>
      </c>
      <c r="E6742" s="3" t="s">
        <v>14635</v>
      </c>
      <c r="F6742" s="3" t="s">
        <v>14636</v>
      </c>
    </row>
    <row r="6743">
      <c r="A6743" s="3">
        <v>1110.0</v>
      </c>
      <c r="B6743" s="3" t="s">
        <v>11280</v>
      </c>
      <c r="C6743" s="3" t="s">
        <v>11281</v>
      </c>
      <c r="D6743" s="3" t="s">
        <v>14637</v>
      </c>
      <c r="E6743" s="3" t="s">
        <v>14638</v>
      </c>
      <c r="F6743" s="3" t="s">
        <v>14639</v>
      </c>
    </row>
    <row r="6744">
      <c r="A6744" s="3">
        <v>1111.0</v>
      </c>
      <c r="B6744" s="3" t="s">
        <v>11280</v>
      </c>
      <c r="C6744" s="3" t="s">
        <v>11281</v>
      </c>
      <c r="D6744" s="3" t="s">
        <v>14640</v>
      </c>
      <c r="E6744" s="3" t="s">
        <v>14641</v>
      </c>
      <c r="F6744" s="3" t="s">
        <v>14642</v>
      </c>
      <c r="G6744" s="3"/>
      <c r="H6744" s="3" t="s">
        <v>9686</v>
      </c>
      <c r="I6744" s="3" t="s">
        <v>14451</v>
      </c>
      <c r="J6744" s="3" t="s">
        <v>14643</v>
      </c>
      <c r="K6744" s="3" t="s">
        <v>14644</v>
      </c>
    </row>
    <row r="6745">
      <c r="A6745" s="3">
        <v>1112.0</v>
      </c>
      <c r="B6745" s="3" t="s">
        <v>11280</v>
      </c>
      <c r="C6745" s="3" t="s">
        <v>11281</v>
      </c>
      <c r="D6745" s="3" t="s">
        <v>14645</v>
      </c>
      <c r="E6745" s="3" t="s">
        <v>14646</v>
      </c>
      <c r="F6745" s="3" t="s">
        <v>14647</v>
      </c>
    </row>
    <row r="6746">
      <c r="A6746" s="3">
        <v>1113.0</v>
      </c>
      <c r="B6746" s="3" t="s">
        <v>11280</v>
      </c>
      <c r="C6746" s="3" t="s">
        <v>11281</v>
      </c>
      <c r="D6746" s="3" t="s">
        <v>14648</v>
      </c>
      <c r="E6746" s="3" t="s">
        <v>14649</v>
      </c>
      <c r="F6746" s="3" t="s">
        <v>14650</v>
      </c>
    </row>
    <row r="6747">
      <c r="A6747" s="3">
        <v>1114.0</v>
      </c>
      <c r="B6747" s="3" t="s">
        <v>11280</v>
      </c>
      <c r="C6747" s="3" t="s">
        <v>11281</v>
      </c>
      <c r="D6747" s="3" t="s">
        <v>14651</v>
      </c>
      <c r="E6747" s="3" t="s">
        <v>14652</v>
      </c>
      <c r="F6747" s="3" t="s">
        <v>14653</v>
      </c>
    </row>
    <row r="6748">
      <c r="A6748" s="3">
        <v>1115.0</v>
      </c>
      <c r="B6748" s="3" t="s">
        <v>11280</v>
      </c>
      <c r="C6748" s="3" t="s">
        <v>11281</v>
      </c>
      <c r="D6748" s="3" t="s">
        <v>14654</v>
      </c>
      <c r="E6748" s="3" t="s">
        <v>14655</v>
      </c>
      <c r="F6748" s="3" t="s">
        <v>14656</v>
      </c>
    </row>
    <row r="6749">
      <c r="A6749" s="3">
        <v>1116.0</v>
      </c>
      <c r="B6749" s="3" t="s">
        <v>11280</v>
      </c>
      <c r="C6749" s="3" t="s">
        <v>11281</v>
      </c>
      <c r="D6749" s="3" t="s">
        <v>14657</v>
      </c>
      <c r="E6749" s="3" t="s">
        <v>14658</v>
      </c>
      <c r="F6749" s="3" t="s">
        <v>14659</v>
      </c>
    </row>
    <row r="6750">
      <c r="A6750" s="3">
        <v>1117.0</v>
      </c>
      <c r="B6750" s="3" t="s">
        <v>11280</v>
      </c>
      <c r="C6750" s="3" t="s">
        <v>11281</v>
      </c>
      <c r="D6750" s="3" t="s">
        <v>14660</v>
      </c>
      <c r="E6750" s="3" t="s">
        <v>14661</v>
      </c>
      <c r="F6750" s="3" t="s">
        <v>14662</v>
      </c>
    </row>
    <row r="6751">
      <c r="A6751" s="3">
        <v>1118.0</v>
      </c>
      <c r="B6751" s="3" t="s">
        <v>11280</v>
      </c>
      <c r="C6751" s="3" t="s">
        <v>11281</v>
      </c>
      <c r="D6751" s="3" t="s">
        <v>14663</v>
      </c>
      <c r="E6751" s="3" t="s">
        <v>14664</v>
      </c>
      <c r="F6751" s="3" t="s">
        <v>14665</v>
      </c>
    </row>
    <row r="6752">
      <c r="A6752" s="3">
        <v>1119.0</v>
      </c>
      <c r="B6752" s="3" t="s">
        <v>11280</v>
      </c>
      <c r="C6752" s="3" t="s">
        <v>11281</v>
      </c>
      <c r="D6752" s="3" t="s">
        <v>14666</v>
      </c>
      <c r="E6752" s="3" t="s">
        <v>14667</v>
      </c>
      <c r="F6752" s="3" t="s">
        <v>14668</v>
      </c>
    </row>
    <row r="6753">
      <c r="A6753" s="3">
        <v>1120.0</v>
      </c>
      <c r="B6753" s="3" t="s">
        <v>11280</v>
      </c>
      <c r="C6753" s="3" t="s">
        <v>11281</v>
      </c>
      <c r="D6753" s="3" t="s">
        <v>14669</v>
      </c>
      <c r="E6753" s="3" t="s">
        <v>117</v>
      </c>
      <c r="F6753" s="3" t="s">
        <v>116</v>
      </c>
    </row>
    <row r="6754">
      <c r="A6754" s="3">
        <v>1121.0</v>
      </c>
      <c r="B6754" s="3" t="s">
        <v>11280</v>
      </c>
      <c r="C6754" s="3" t="s">
        <v>11281</v>
      </c>
      <c r="D6754" s="3" t="s">
        <v>14670</v>
      </c>
      <c r="E6754" s="3" t="s">
        <v>14671</v>
      </c>
      <c r="F6754" s="3" t="s">
        <v>14672</v>
      </c>
    </row>
    <row r="6755">
      <c r="A6755" s="3">
        <v>1122.0</v>
      </c>
      <c r="B6755" s="3" t="s">
        <v>11280</v>
      </c>
      <c r="C6755" s="3" t="s">
        <v>11281</v>
      </c>
      <c r="D6755" s="3" t="s">
        <v>14673</v>
      </c>
      <c r="E6755" s="3" t="s">
        <v>14674</v>
      </c>
      <c r="F6755" s="3" t="s">
        <v>14675</v>
      </c>
    </row>
    <row r="6756">
      <c r="A6756" s="3">
        <v>1123.0</v>
      </c>
      <c r="B6756" s="3" t="s">
        <v>11280</v>
      </c>
      <c r="C6756" s="3" t="s">
        <v>11281</v>
      </c>
      <c r="D6756" s="3" t="s">
        <v>14676</v>
      </c>
      <c r="E6756" s="3" t="s">
        <v>2366</v>
      </c>
      <c r="F6756" s="3" t="s">
        <v>2367</v>
      </c>
    </row>
    <row r="6757">
      <c r="A6757" s="3">
        <v>1124.0</v>
      </c>
      <c r="B6757" s="3" t="s">
        <v>11280</v>
      </c>
      <c r="C6757" s="3" t="s">
        <v>11281</v>
      </c>
      <c r="D6757" s="3" t="s">
        <v>14677</v>
      </c>
      <c r="E6757" s="3" t="s">
        <v>14678</v>
      </c>
      <c r="F6757" s="3" t="s">
        <v>14679</v>
      </c>
    </row>
    <row r="6758">
      <c r="A6758" s="3">
        <v>1125.0</v>
      </c>
      <c r="B6758" s="3" t="s">
        <v>11280</v>
      </c>
      <c r="C6758" s="3" t="s">
        <v>11281</v>
      </c>
      <c r="D6758" s="3" t="s">
        <v>14680</v>
      </c>
      <c r="E6758" s="3" t="s">
        <v>14681</v>
      </c>
      <c r="F6758" s="3" t="s">
        <v>14682</v>
      </c>
    </row>
    <row r="6759">
      <c r="A6759" s="3">
        <v>1126.0</v>
      </c>
      <c r="B6759" s="3" t="s">
        <v>11280</v>
      </c>
      <c r="C6759" s="3" t="s">
        <v>11281</v>
      </c>
      <c r="D6759" s="3" t="s">
        <v>14683</v>
      </c>
      <c r="E6759" s="3" t="s">
        <v>14684</v>
      </c>
      <c r="F6759" s="3" t="s">
        <v>14685</v>
      </c>
    </row>
    <row r="6760">
      <c r="A6760" s="3">
        <v>1127.0</v>
      </c>
      <c r="B6760" s="3" t="s">
        <v>11280</v>
      </c>
      <c r="C6760" s="3" t="s">
        <v>11281</v>
      </c>
      <c r="D6760" s="3" t="s">
        <v>14686</v>
      </c>
      <c r="E6760" s="3" t="s">
        <v>14687</v>
      </c>
      <c r="F6760" s="3" t="s">
        <v>14688</v>
      </c>
    </row>
    <row r="6761">
      <c r="A6761" s="3">
        <v>1128.0</v>
      </c>
      <c r="B6761" s="3" t="s">
        <v>11280</v>
      </c>
      <c r="C6761" s="3" t="s">
        <v>11281</v>
      </c>
      <c r="D6761" s="3" t="s">
        <v>14689</v>
      </c>
      <c r="E6761" s="3" t="s">
        <v>14690</v>
      </c>
      <c r="F6761" s="3" t="s">
        <v>14691</v>
      </c>
    </row>
    <row r="6762">
      <c r="A6762" s="3">
        <v>1129.0</v>
      </c>
      <c r="B6762" s="3" t="s">
        <v>11280</v>
      </c>
      <c r="C6762" s="3" t="s">
        <v>11281</v>
      </c>
      <c r="D6762" s="3" t="s">
        <v>14692</v>
      </c>
      <c r="E6762" s="3" t="s">
        <v>14693</v>
      </c>
      <c r="F6762" s="3" t="s">
        <v>14694</v>
      </c>
    </row>
    <row r="6763">
      <c r="A6763" s="3">
        <v>1130.0</v>
      </c>
      <c r="B6763" s="3" t="s">
        <v>11280</v>
      </c>
      <c r="C6763" s="3" t="s">
        <v>11281</v>
      </c>
      <c r="D6763" s="3" t="s">
        <v>14695</v>
      </c>
      <c r="E6763" s="3" t="s">
        <v>14696</v>
      </c>
      <c r="F6763" s="3" t="s">
        <v>14697</v>
      </c>
    </row>
    <row r="6764">
      <c r="A6764" s="3">
        <v>1131.0</v>
      </c>
      <c r="B6764" s="3" t="s">
        <v>11280</v>
      </c>
      <c r="C6764" s="3" t="s">
        <v>11281</v>
      </c>
      <c r="D6764" s="3" t="s">
        <v>14698</v>
      </c>
      <c r="E6764" s="3" t="s">
        <v>14699</v>
      </c>
      <c r="F6764" s="3" t="s">
        <v>14700</v>
      </c>
    </row>
    <row r="6765">
      <c r="A6765" s="3">
        <v>1132.0</v>
      </c>
      <c r="B6765" s="3" t="s">
        <v>11280</v>
      </c>
      <c r="C6765" s="3" t="s">
        <v>11281</v>
      </c>
      <c r="D6765" s="3" t="s">
        <v>14701</v>
      </c>
      <c r="E6765" s="3" t="s">
        <v>10648</v>
      </c>
      <c r="F6765" s="3" t="s">
        <v>10649</v>
      </c>
    </row>
    <row r="6766">
      <c r="A6766" s="3">
        <v>1133.0</v>
      </c>
      <c r="B6766" s="3" t="s">
        <v>11280</v>
      </c>
      <c r="C6766" s="3" t="s">
        <v>11281</v>
      </c>
      <c r="D6766" s="3" t="s">
        <v>14702</v>
      </c>
      <c r="E6766" s="3" t="s">
        <v>14703</v>
      </c>
      <c r="F6766" s="3" t="s">
        <v>14704</v>
      </c>
    </row>
    <row r="6767">
      <c r="A6767" s="3">
        <v>1134.0</v>
      </c>
      <c r="B6767" s="3" t="s">
        <v>11280</v>
      </c>
      <c r="C6767" s="3" t="s">
        <v>11281</v>
      </c>
      <c r="D6767" s="3" t="s">
        <v>14705</v>
      </c>
      <c r="E6767" s="3" t="s">
        <v>14706</v>
      </c>
      <c r="F6767" s="3" t="s">
        <v>14707</v>
      </c>
    </row>
    <row r="6768">
      <c r="A6768" s="3">
        <v>1135.0</v>
      </c>
      <c r="B6768" s="3" t="s">
        <v>11280</v>
      </c>
      <c r="C6768" s="3" t="s">
        <v>11281</v>
      </c>
      <c r="D6768" s="3" t="s">
        <v>14708</v>
      </c>
      <c r="E6768" s="3" t="s">
        <v>14709</v>
      </c>
      <c r="F6768" s="3" t="s">
        <v>14710</v>
      </c>
    </row>
    <row r="6769">
      <c r="A6769" s="3">
        <v>1136.0</v>
      </c>
      <c r="B6769" s="3" t="s">
        <v>11280</v>
      </c>
      <c r="C6769" s="3" t="s">
        <v>11281</v>
      </c>
      <c r="D6769" s="3" t="s">
        <v>14711</v>
      </c>
      <c r="E6769" s="3" t="s">
        <v>14712</v>
      </c>
      <c r="F6769" s="3" t="s">
        <v>14713</v>
      </c>
    </row>
    <row r="6770">
      <c r="A6770" s="3">
        <v>1137.0</v>
      </c>
      <c r="B6770" s="3" t="s">
        <v>11280</v>
      </c>
      <c r="C6770" s="3" t="s">
        <v>11281</v>
      </c>
      <c r="D6770" s="3" t="s">
        <v>14714</v>
      </c>
      <c r="E6770" s="3" t="s">
        <v>14715</v>
      </c>
      <c r="F6770" s="3" t="s">
        <v>14716</v>
      </c>
    </row>
    <row r="6771">
      <c r="A6771" s="3">
        <v>1138.0</v>
      </c>
      <c r="B6771" s="3" t="s">
        <v>11280</v>
      </c>
      <c r="C6771" s="3" t="s">
        <v>11281</v>
      </c>
      <c r="D6771" s="3" t="s">
        <v>14717</v>
      </c>
      <c r="E6771" s="3" t="s">
        <v>14718</v>
      </c>
      <c r="F6771" s="3" t="s">
        <v>14719</v>
      </c>
    </row>
    <row r="6772">
      <c r="A6772" s="3">
        <v>1139.0</v>
      </c>
      <c r="B6772" s="3" t="s">
        <v>11280</v>
      </c>
      <c r="C6772" s="3" t="s">
        <v>11281</v>
      </c>
      <c r="D6772" s="3" t="s">
        <v>14720</v>
      </c>
      <c r="E6772" s="3" t="s">
        <v>4306</v>
      </c>
      <c r="F6772" s="3" t="s">
        <v>4307</v>
      </c>
    </row>
    <row r="6773">
      <c r="A6773" s="3">
        <v>1140.0</v>
      </c>
      <c r="B6773" s="3" t="s">
        <v>11280</v>
      </c>
      <c r="C6773" s="3" t="s">
        <v>11281</v>
      </c>
      <c r="D6773" s="3" t="s">
        <v>14721</v>
      </c>
      <c r="E6773" s="3" t="s">
        <v>14722</v>
      </c>
      <c r="F6773" s="3" t="s">
        <v>14723</v>
      </c>
    </row>
    <row r="6774">
      <c r="A6774" s="3">
        <v>1141.0</v>
      </c>
      <c r="B6774" s="3" t="s">
        <v>11280</v>
      </c>
      <c r="C6774" s="3" t="s">
        <v>11281</v>
      </c>
      <c r="D6774" s="3" t="s">
        <v>14724</v>
      </c>
      <c r="E6774" s="3" t="s">
        <v>14725</v>
      </c>
      <c r="F6774" s="3" t="s">
        <v>14726</v>
      </c>
    </row>
    <row r="6775">
      <c r="A6775" s="3">
        <v>1142.0</v>
      </c>
      <c r="B6775" s="3" t="s">
        <v>11280</v>
      </c>
      <c r="C6775" s="3" t="s">
        <v>11281</v>
      </c>
      <c r="D6775" s="3" t="s">
        <v>14727</v>
      </c>
      <c r="E6775" s="3" t="s">
        <v>14728</v>
      </c>
      <c r="F6775" s="3" t="s">
        <v>14729</v>
      </c>
    </row>
    <row r="6776">
      <c r="A6776" s="3">
        <v>1143.0</v>
      </c>
      <c r="B6776" s="3" t="s">
        <v>11280</v>
      </c>
      <c r="C6776" s="3" t="s">
        <v>11281</v>
      </c>
      <c r="D6776" s="3" t="s">
        <v>14730</v>
      </c>
      <c r="E6776" s="3" t="s">
        <v>14731</v>
      </c>
      <c r="F6776" s="3" t="s">
        <v>14732</v>
      </c>
    </row>
    <row r="6777">
      <c r="A6777" s="3">
        <v>1144.0</v>
      </c>
      <c r="B6777" s="3" t="s">
        <v>11280</v>
      </c>
      <c r="C6777" s="3" t="s">
        <v>11281</v>
      </c>
      <c r="D6777" s="3" t="s">
        <v>10520</v>
      </c>
      <c r="E6777" s="3" t="s">
        <v>14733</v>
      </c>
      <c r="F6777" s="3" t="s">
        <v>14734</v>
      </c>
    </row>
    <row r="6778">
      <c r="A6778" s="3">
        <v>1145.0</v>
      </c>
      <c r="B6778" s="3" t="s">
        <v>11280</v>
      </c>
      <c r="C6778" s="3" t="s">
        <v>11281</v>
      </c>
      <c r="D6778" s="3" t="s">
        <v>14735</v>
      </c>
      <c r="E6778" s="3" t="s">
        <v>14736</v>
      </c>
      <c r="F6778" s="3" t="s">
        <v>14737</v>
      </c>
    </row>
    <row r="6779">
      <c r="A6779" s="3">
        <v>1146.0</v>
      </c>
      <c r="B6779" s="3" t="s">
        <v>11280</v>
      </c>
      <c r="C6779" s="3" t="s">
        <v>11281</v>
      </c>
      <c r="D6779" s="3" t="s">
        <v>14738</v>
      </c>
      <c r="E6779" s="3" t="s">
        <v>8139</v>
      </c>
      <c r="F6779" s="3" t="s">
        <v>8138</v>
      </c>
    </row>
    <row r="6780">
      <c r="A6780" s="3">
        <v>1147.0</v>
      </c>
      <c r="B6780" s="3" t="s">
        <v>11280</v>
      </c>
      <c r="C6780" s="3" t="s">
        <v>11281</v>
      </c>
      <c r="D6780" s="3" t="s">
        <v>14739</v>
      </c>
      <c r="E6780" s="3" t="s">
        <v>14740</v>
      </c>
      <c r="F6780" s="3" t="s">
        <v>14741</v>
      </c>
    </row>
    <row r="6781">
      <c r="A6781" s="3">
        <v>1148.0</v>
      </c>
      <c r="B6781" s="3" t="s">
        <v>11280</v>
      </c>
      <c r="C6781" s="3" t="s">
        <v>11281</v>
      </c>
      <c r="D6781" s="3" t="s">
        <v>14742</v>
      </c>
      <c r="E6781" s="3" t="s">
        <v>14743</v>
      </c>
      <c r="F6781" s="3" t="s">
        <v>14744</v>
      </c>
    </row>
    <row r="6782">
      <c r="A6782" s="3">
        <v>1149.0</v>
      </c>
      <c r="B6782" s="3" t="s">
        <v>11280</v>
      </c>
      <c r="C6782" s="3" t="s">
        <v>11281</v>
      </c>
      <c r="D6782" s="3" t="s">
        <v>14745</v>
      </c>
      <c r="E6782" s="3" t="s">
        <v>14746</v>
      </c>
      <c r="F6782" s="3" t="s">
        <v>14747</v>
      </c>
    </row>
    <row r="6783">
      <c r="A6783" s="3">
        <v>1150.0</v>
      </c>
      <c r="B6783" s="3" t="s">
        <v>11280</v>
      </c>
      <c r="C6783" s="3" t="s">
        <v>11281</v>
      </c>
      <c r="D6783" s="3" t="s">
        <v>14748</v>
      </c>
      <c r="E6783" s="3" t="s">
        <v>14749</v>
      </c>
      <c r="F6783" s="3" t="s">
        <v>14750</v>
      </c>
    </row>
    <row r="6784">
      <c r="A6784" s="3">
        <v>1151.0</v>
      </c>
      <c r="B6784" s="3" t="s">
        <v>11280</v>
      </c>
      <c r="C6784" s="3" t="s">
        <v>11281</v>
      </c>
      <c r="D6784" s="3" t="s">
        <v>14751</v>
      </c>
      <c r="E6784" s="3" t="s">
        <v>14752</v>
      </c>
      <c r="F6784" s="3" t="s">
        <v>14753</v>
      </c>
    </row>
    <row r="6785">
      <c r="A6785" s="3">
        <v>1152.0</v>
      </c>
      <c r="B6785" s="3" t="s">
        <v>11280</v>
      </c>
      <c r="C6785" s="3" t="s">
        <v>11281</v>
      </c>
      <c r="D6785" s="3" t="s">
        <v>14754</v>
      </c>
      <c r="E6785" s="3" t="s">
        <v>14755</v>
      </c>
      <c r="F6785" s="3" t="s">
        <v>14756</v>
      </c>
    </row>
    <row r="6786">
      <c r="A6786" s="3">
        <v>1153.0</v>
      </c>
      <c r="B6786" s="3" t="s">
        <v>11280</v>
      </c>
      <c r="C6786" s="3" t="s">
        <v>11281</v>
      </c>
      <c r="D6786" s="3" t="s">
        <v>14757</v>
      </c>
      <c r="E6786" s="3" t="s">
        <v>14758</v>
      </c>
      <c r="F6786" s="3" t="s">
        <v>14759</v>
      </c>
    </row>
    <row r="6787">
      <c r="A6787" s="3">
        <v>1154.0</v>
      </c>
      <c r="B6787" s="3" t="s">
        <v>11280</v>
      </c>
      <c r="C6787" s="3" t="s">
        <v>11281</v>
      </c>
      <c r="D6787" s="3" t="s">
        <v>14760</v>
      </c>
      <c r="E6787" s="3" t="s">
        <v>14761</v>
      </c>
      <c r="F6787" s="3" t="s">
        <v>14762</v>
      </c>
    </row>
    <row r="6788">
      <c r="A6788" s="3">
        <v>1155.0</v>
      </c>
      <c r="B6788" s="3" t="s">
        <v>11280</v>
      </c>
      <c r="C6788" s="3" t="s">
        <v>11281</v>
      </c>
      <c r="D6788" s="3" t="s">
        <v>14763</v>
      </c>
      <c r="E6788" s="3" t="s">
        <v>14764</v>
      </c>
      <c r="F6788" s="3" t="s">
        <v>14765</v>
      </c>
    </row>
    <row r="6789">
      <c r="A6789" s="3">
        <v>1156.0</v>
      </c>
      <c r="B6789" s="3" t="s">
        <v>11280</v>
      </c>
      <c r="C6789" s="3" t="s">
        <v>11281</v>
      </c>
      <c r="D6789" s="3" t="s">
        <v>14766</v>
      </c>
      <c r="E6789" s="3" t="s">
        <v>14767</v>
      </c>
      <c r="F6789" s="3" t="s">
        <v>14768</v>
      </c>
    </row>
    <row r="6790">
      <c r="A6790" s="3">
        <v>1157.0</v>
      </c>
      <c r="B6790" s="3" t="s">
        <v>11280</v>
      </c>
      <c r="C6790" s="3" t="s">
        <v>11281</v>
      </c>
      <c r="D6790" s="3" t="s">
        <v>14769</v>
      </c>
      <c r="E6790" s="3" t="s">
        <v>14770</v>
      </c>
      <c r="F6790" s="3" t="s">
        <v>14771</v>
      </c>
    </row>
    <row r="6791">
      <c r="A6791" s="3">
        <v>1158.0</v>
      </c>
      <c r="B6791" s="3" t="s">
        <v>11280</v>
      </c>
      <c r="C6791" s="3" t="s">
        <v>11281</v>
      </c>
      <c r="D6791" s="3" t="s">
        <v>14772</v>
      </c>
      <c r="E6791" s="3" t="s">
        <v>14773</v>
      </c>
      <c r="F6791" s="3" t="s">
        <v>14774</v>
      </c>
    </row>
    <row r="6792">
      <c r="A6792" s="3">
        <v>1159.0</v>
      </c>
      <c r="B6792" s="3" t="s">
        <v>11280</v>
      </c>
      <c r="C6792" s="3" t="s">
        <v>11281</v>
      </c>
      <c r="D6792" s="3" t="s">
        <v>14775</v>
      </c>
      <c r="E6792" s="3" t="s">
        <v>14776</v>
      </c>
      <c r="F6792" s="3" t="s">
        <v>14777</v>
      </c>
    </row>
    <row r="6793">
      <c r="A6793" s="3">
        <v>1160.0</v>
      </c>
      <c r="B6793" s="3" t="s">
        <v>11280</v>
      </c>
      <c r="C6793" s="3" t="s">
        <v>11281</v>
      </c>
      <c r="D6793" s="3" t="s">
        <v>14778</v>
      </c>
      <c r="E6793" s="3" t="s">
        <v>14779</v>
      </c>
      <c r="F6793" s="3" t="s">
        <v>14780</v>
      </c>
    </row>
    <row r="6794">
      <c r="A6794" s="3">
        <v>1161.0</v>
      </c>
      <c r="B6794" s="3" t="s">
        <v>11280</v>
      </c>
      <c r="C6794" s="3" t="s">
        <v>11281</v>
      </c>
      <c r="D6794" s="3" t="s">
        <v>14781</v>
      </c>
      <c r="E6794" s="3" t="s">
        <v>14782</v>
      </c>
      <c r="F6794" s="3" t="s">
        <v>14783</v>
      </c>
    </row>
    <row r="6795">
      <c r="A6795" s="3">
        <v>1162.0</v>
      </c>
      <c r="B6795" s="3" t="s">
        <v>11280</v>
      </c>
      <c r="C6795" s="3" t="s">
        <v>11281</v>
      </c>
      <c r="D6795" s="3" t="s">
        <v>14784</v>
      </c>
      <c r="E6795" s="3" t="s">
        <v>14785</v>
      </c>
      <c r="F6795" s="3" t="s">
        <v>14786</v>
      </c>
    </row>
    <row r="6796">
      <c r="A6796" s="3">
        <v>1163.0</v>
      </c>
      <c r="B6796" s="3" t="s">
        <v>11280</v>
      </c>
      <c r="C6796" s="3" t="s">
        <v>11281</v>
      </c>
      <c r="D6796" s="3" t="s">
        <v>14787</v>
      </c>
      <c r="E6796" s="3" t="s">
        <v>14788</v>
      </c>
      <c r="F6796" s="3" t="s">
        <v>14789</v>
      </c>
    </row>
    <row r="6797">
      <c r="A6797" s="3">
        <v>1164.0</v>
      </c>
      <c r="B6797" s="3" t="s">
        <v>11280</v>
      </c>
      <c r="C6797" s="3" t="s">
        <v>11281</v>
      </c>
      <c r="D6797" s="3" t="s">
        <v>14790</v>
      </c>
      <c r="E6797" s="3" t="s">
        <v>14791</v>
      </c>
      <c r="F6797" s="3" t="s">
        <v>14792</v>
      </c>
    </row>
    <row r="6798">
      <c r="A6798" s="3">
        <v>1165.0</v>
      </c>
      <c r="B6798" s="3" t="s">
        <v>11280</v>
      </c>
      <c r="C6798" s="3" t="s">
        <v>11281</v>
      </c>
      <c r="D6798" s="3" t="s">
        <v>14793</v>
      </c>
      <c r="E6798" s="3" t="s">
        <v>14794</v>
      </c>
      <c r="F6798" s="3" t="s">
        <v>14795</v>
      </c>
    </row>
    <row r="6799">
      <c r="A6799" s="3">
        <v>1166.0</v>
      </c>
      <c r="B6799" s="3" t="s">
        <v>11280</v>
      </c>
      <c r="C6799" s="3" t="s">
        <v>11281</v>
      </c>
      <c r="D6799" s="3" t="s">
        <v>14796</v>
      </c>
      <c r="E6799" s="3" t="s">
        <v>14797</v>
      </c>
      <c r="F6799" s="3" t="s">
        <v>14798</v>
      </c>
    </row>
    <row r="6800">
      <c r="A6800" s="3">
        <v>1167.0</v>
      </c>
      <c r="B6800" s="3" t="s">
        <v>11280</v>
      </c>
      <c r="C6800" s="3" t="s">
        <v>11281</v>
      </c>
      <c r="D6800" s="3" t="s">
        <v>14799</v>
      </c>
      <c r="E6800" s="3" t="s">
        <v>14800</v>
      </c>
      <c r="F6800" s="3" t="s">
        <v>14801</v>
      </c>
    </row>
    <row r="6801">
      <c r="A6801" s="3">
        <v>1168.0</v>
      </c>
      <c r="B6801" s="3" t="s">
        <v>11280</v>
      </c>
      <c r="C6801" s="3" t="s">
        <v>11281</v>
      </c>
      <c r="D6801" s="3" t="s">
        <v>14802</v>
      </c>
      <c r="E6801" s="3" t="s">
        <v>14803</v>
      </c>
      <c r="F6801" s="3" t="s">
        <v>14804</v>
      </c>
    </row>
    <row r="6802">
      <c r="A6802" s="3">
        <v>1169.0</v>
      </c>
      <c r="B6802" s="3" t="s">
        <v>11280</v>
      </c>
      <c r="C6802" s="3" t="s">
        <v>11281</v>
      </c>
      <c r="D6802" s="3" t="s">
        <v>14805</v>
      </c>
      <c r="E6802" s="3" t="s">
        <v>14806</v>
      </c>
      <c r="F6802" s="3" t="s">
        <v>14807</v>
      </c>
    </row>
    <row r="6803">
      <c r="A6803" s="3">
        <v>1170.0</v>
      </c>
      <c r="B6803" s="3" t="s">
        <v>11280</v>
      </c>
      <c r="C6803" s="3" t="s">
        <v>11281</v>
      </c>
      <c r="D6803" s="3" t="s">
        <v>14808</v>
      </c>
      <c r="E6803" s="3" t="s">
        <v>14809</v>
      </c>
      <c r="F6803" s="3" t="s">
        <v>14810</v>
      </c>
      <c r="G6803" s="3"/>
      <c r="H6803" s="3" t="s">
        <v>14811</v>
      </c>
      <c r="I6803" s="3" t="s">
        <v>14812</v>
      </c>
      <c r="J6803" s="3" t="s">
        <v>14813</v>
      </c>
      <c r="K6803" s="3" t="s">
        <v>14814</v>
      </c>
      <c r="L6803" s="3" t="s">
        <v>14815</v>
      </c>
      <c r="M6803" s="3" t="s">
        <v>14816</v>
      </c>
      <c r="N6803" s="3" t="s">
        <v>14815</v>
      </c>
    </row>
    <row r="6804">
      <c r="A6804" s="3">
        <v>1171.0</v>
      </c>
      <c r="B6804" s="3" t="s">
        <v>11280</v>
      </c>
      <c r="C6804" s="3" t="s">
        <v>11281</v>
      </c>
      <c r="D6804" s="3" t="s">
        <v>14817</v>
      </c>
      <c r="E6804" s="3" t="s">
        <v>14818</v>
      </c>
      <c r="F6804" s="3" t="s">
        <v>14819</v>
      </c>
    </row>
    <row r="6805">
      <c r="A6805" s="3">
        <v>1172.0</v>
      </c>
      <c r="B6805" s="3" t="s">
        <v>11280</v>
      </c>
      <c r="C6805" s="3" t="s">
        <v>11281</v>
      </c>
      <c r="D6805" s="3" t="s">
        <v>14820</v>
      </c>
      <c r="E6805" s="3" t="s">
        <v>14821</v>
      </c>
      <c r="F6805" s="3" t="s">
        <v>14822</v>
      </c>
    </row>
    <row r="6806">
      <c r="A6806" s="3">
        <v>1173.0</v>
      </c>
      <c r="B6806" s="3" t="s">
        <v>11280</v>
      </c>
      <c r="C6806" s="3" t="s">
        <v>11281</v>
      </c>
      <c r="D6806" s="3" t="s">
        <v>14823</v>
      </c>
      <c r="E6806" s="3" t="s">
        <v>14824</v>
      </c>
      <c r="F6806" s="3" t="s">
        <v>14825</v>
      </c>
    </row>
    <row r="6807">
      <c r="A6807" s="3">
        <v>1174.0</v>
      </c>
      <c r="B6807" s="3" t="s">
        <v>11280</v>
      </c>
      <c r="C6807" s="3" t="s">
        <v>11281</v>
      </c>
      <c r="D6807" s="3" t="s">
        <v>14826</v>
      </c>
      <c r="E6807" s="3" t="s">
        <v>14827</v>
      </c>
      <c r="F6807" s="3" t="s">
        <v>14828</v>
      </c>
    </row>
    <row r="6808">
      <c r="A6808" s="3">
        <v>1175.0</v>
      </c>
      <c r="B6808" s="3" t="s">
        <v>11280</v>
      </c>
      <c r="C6808" s="3" t="s">
        <v>11281</v>
      </c>
      <c r="D6808" s="3" t="s">
        <v>14829</v>
      </c>
      <c r="E6808" s="3" t="s">
        <v>14830</v>
      </c>
      <c r="F6808" s="3" t="s">
        <v>14831</v>
      </c>
    </row>
    <row r="6809">
      <c r="A6809" s="3">
        <v>1176.0</v>
      </c>
      <c r="B6809" s="3" t="s">
        <v>11280</v>
      </c>
      <c r="C6809" s="3" t="s">
        <v>11281</v>
      </c>
      <c r="D6809" s="3" t="s">
        <v>14832</v>
      </c>
      <c r="E6809" s="3" t="s">
        <v>14833</v>
      </c>
      <c r="F6809" s="3" t="s">
        <v>14834</v>
      </c>
    </row>
    <row r="6810">
      <c r="A6810" s="3">
        <v>1177.0</v>
      </c>
      <c r="B6810" s="3" t="s">
        <v>11280</v>
      </c>
      <c r="C6810" s="3" t="s">
        <v>11281</v>
      </c>
      <c r="D6810" s="3" t="s">
        <v>2324</v>
      </c>
      <c r="E6810" s="3" t="s">
        <v>7112</v>
      </c>
      <c r="F6810" s="3" t="s">
        <v>2322</v>
      </c>
    </row>
    <row r="6811">
      <c r="A6811" s="3">
        <v>1178.0</v>
      </c>
      <c r="B6811" s="3" t="s">
        <v>11280</v>
      </c>
      <c r="C6811" s="3" t="s">
        <v>11281</v>
      </c>
      <c r="D6811" s="3" t="s">
        <v>14835</v>
      </c>
      <c r="E6811" s="3" t="s">
        <v>14836</v>
      </c>
      <c r="F6811" s="3" t="s">
        <v>14837</v>
      </c>
    </row>
    <row r="6812">
      <c r="A6812" s="3">
        <v>1179.0</v>
      </c>
      <c r="B6812" s="3" t="s">
        <v>11280</v>
      </c>
      <c r="C6812" s="3" t="s">
        <v>11281</v>
      </c>
      <c r="D6812" s="3" t="s">
        <v>14838</v>
      </c>
      <c r="E6812" s="3" t="s">
        <v>14839</v>
      </c>
      <c r="F6812" s="3" t="s">
        <v>14840</v>
      </c>
    </row>
    <row r="6813">
      <c r="A6813" s="3">
        <v>1180.0</v>
      </c>
      <c r="B6813" s="3" t="s">
        <v>11280</v>
      </c>
      <c r="C6813" s="3" t="s">
        <v>11281</v>
      </c>
      <c r="D6813" s="3" t="s">
        <v>14841</v>
      </c>
      <c r="E6813" s="3" t="s">
        <v>14842</v>
      </c>
      <c r="F6813" s="3" t="s">
        <v>14843</v>
      </c>
    </row>
    <row r="6814">
      <c r="A6814" s="3">
        <v>1181.0</v>
      </c>
      <c r="B6814" s="3" t="s">
        <v>11280</v>
      </c>
      <c r="C6814" s="3" t="s">
        <v>11281</v>
      </c>
      <c r="D6814" s="3" t="s">
        <v>14844</v>
      </c>
      <c r="E6814" s="3" t="s">
        <v>14845</v>
      </c>
      <c r="F6814" s="3" t="s">
        <v>14846</v>
      </c>
    </row>
    <row r="6815">
      <c r="A6815" s="3">
        <v>1182.0</v>
      </c>
      <c r="B6815" s="3" t="s">
        <v>11280</v>
      </c>
      <c r="C6815" s="3" t="s">
        <v>11281</v>
      </c>
      <c r="D6815" s="3" t="s">
        <v>14847</v>
      </c>
      <c r="E6815" s="3" t="s">
        <v>14848</v>
      </c>
      <c r="F6815" s="3" t="s">
        <v>14849</v>
      </c>
    </row>
    <row r="6816">
      <c r="A6816" s="3">
        <v>1183.0</v>
      </c>
      <c r="B6816" s="3" t="s">
        <v>11280</v>
      </c>
      <c r="C6816" s="3" t="s">
        <v>11281</v>
      </c>
      <c r="D6816" s="3" t="s">
        <v>14850</v>
      </c>
      <c r="E6816" s="3" t="s">
        <v>14851</v>
      </c>
      <c r="F6816" s="3" t="s">
        <v>14852</v>
      </c>
    </row>
    <row r="6817">
      <c r="A6817" s="3">
        <v>1184.0</v>
      </c>
      <c r="B6817" s="3" t="s">
        <v>11280</v>
      </c>
      <c r="C6817" s="3" t="s">
        <v>11281</v>
      </c>
      <c r="D6817" s="3" t="s">
        <v>14853</v>
      </c>
      <c r="E6817" s="3" t="s">
        <v>14854</v>
      </c>
      <c r="F6817" s="3" t="s">
        <v>14855</v>
      </c>
    </row>
    <row r="6818">
      <c r="A6818" s="3">
        <v>1185.0</v>
      </c>
      <c r="B6818" s="3" t="s">
        <v>11280</v>
      </c>
      <c r="C6818" s="3" t="s">
        <v>11281</v>
      </c>
      <c r="D6818" s="3" t="s">
        <v>14856</v>
      </c>
      <c r="E6818" s="3" t="s">
        <v>14857</v>
      </c>
      <c r="F6818" s="3" t="s">
        <v>14858</v>
      </c>
    </row>
    <row r="6819">
      <c r="A6819" s="3">
        <v>1186.0</v>
      </c>
      <c r="B6819" s="3" t="s">
        <v>11280</v>
      </c>
      <c r="C6819" s="3" t="s">
        <v>11281</v>
      </c>
      <c r="D6819" s="3" t="s">
        <v>14859</v>
      </c>
      <c r="E6819" s="3" t="s">
        <v>4317</v>
      </c>
      <c r="F6819" s="3" t="s">
        <v>4318</v>
      </c>
    </row>
    <row r="6820">
      <c r="A6820" s="3">
        <v>1187.0</v>
      </c>
      <c r="B6820" s="3" t="s">
        <v>11280</v>
      </c>
      <c r="C6820" s="3" t="s">
        <v>11281</v>
      </c>
      <c r="D6820" s="3" t="s">
        <v>14860</v>
      </c>
      <c r="E6820" s="3" t="s">
        <v>14861</v>
      </c>
      <c r="F6820" s="3" t="s">
        <v>14862</v>
      </c>
    </row>
    <row r="6821">
      <c r="A6821" s="3">
        <v>1188.0</v>
      </c>
      <c r="B6821" s="3" t="s">
        <v>11280</v>
      </c>
      <c r="C6821" s="3" t="s">
        <v>11281</v>
      </c>
      <c r="D6821" s="3" t="s">
        <v>14863</v>
      </c>
      <c r="E6821" s="3" t="s">
        <v>14864</v>
      </c>
      <c r="F6821" s="3" t="s">
        <v>14865</v>
      </c>
    </row>
    <row r="6822">
      <c r="A6822" s="3">
        <v>1189.0</v>
      </c>
      <c r="B6822" s="3" t="s">
        <v>11280</v>
      </c>
      <c r="C6822" s="3" t="s">
        <v>11281</v>
      </c>
      <c r="D6822" s="3" t="s">
        <v>14866</v>
      </c>
      <c r="E6822" s="3" t="s">
        <v>14867</v>
      </c>
      <c r="F6822" s="3" t="s">
        <v>14866</v>
      </c>
    </row>
    <row r="6823">
      <c r="A6823" s="3">
        <v>1190.0</v>
      </c>
      <c r="B6823" s="3" t="s">
        <v>11280</v>
      </c>
      <c r="C6823" s="3" t="s">
        <v>11281</v>
      </c>
      <c r="D6823" s="3" t="s">
        <v>14868</v>
      </c>
      <c r="E6823" s="3" t="s">
        <v>14869</v>
      </c>
      <c r="F6823" s="3" t="s">
        <v>14868</v>
      </c>
    </row>
    <row r="6824">
      <c r="A6824" s="3">
        <v>1191.0</v>
      </c>
      <c r="B6824" s="3" t="s">
        <v>11280</v>
      </c>
      <c r="C6824" s="3" t="s">
        <v>11281</v>
      </c>
      <c r="D6824" s="3" t="s">
        <v>14870</v>
      </c>
      <c r="E6824" s="3" t="s">
        <v>14871</v>
      </c>
      <c r="F6824" s="3" t="s">
        <v>14870</v>
      </c>
    </row>
    <row r="6825">
      <c r="A6825" s="3">
        <v>1192.0</v>
      </c>
      <c r="B6825" s="3" t="s">
        <v>11280</v>
      </c>
      <c r="C6825" s="3" t="s">
        <v>11281</v>
      </c>
      <c r="D6825" s="3" t="s">
        <v>14872</v>
      </c>
      <c r="E6825" s="3" t="s">
        <v>14873</v>
      </c>
      <c r="F6825" s="3" t="s">
        <v>14872</v>
      </c>
    </row>
    <row r="6826">
      <c r="A6826" s="3">
        <v>1193.0</v>
      </c>
      <c r="B6826" s="3" t="s">
        <v>11280</v>
      </c>
      <c r="C6826" s="3" t="s">
        <v>11281</v>
      </c>
      <c r="D6826" s="3" t="s">
        <v>14874</v>
      </c>
      <c r="E6826" s="3" t="s">
        <v>14875</v>
      </c>
      <c r="F6826" s="3" t="s">
        <v>14874</v>
      </c>
    </row>
    <row r="6827">
      <c r="A6827" s="3">
        <v>1194.0</v>
      </c>
      <c r="B6827" s="3" t="s">
        <v>11280</v>
      </c>
      <c r="C6827" s="3" t="s">
        <v>11281</v>
      </c>
      <c r="D6827" s="3" t="s">
        <v>14876</v>
      </c>
      <c r="E6827" s="3" t="s">
        <v>14877</v>
      </c>
      <c r="F6827" s="3" t="s">
        <v>14876</v>
      </c>
    </row>
    <row r="6828">
      <c r="A6828" s="3">
        <v>1195.0</v>
      </c>
      <c r="B6828" s="3" t="s">
        <v>11280</v>
      </c>
      <c r="C6828" s="3" t="s">
        <v>11281</v>
      </c>
      <c r="D6828" s="3" t="s">
        <v>14878</v>
      </c>
      <c r="E6828" s="3" t="s">
        <v>14879</v>
      </c>
      <c r="F6828" s="3" t="s">
        <v>14878</v>
      </c>
    </row>
    <row r="6829">
      <c r="A6829" s="3">
        <v>1196.0</v>
      </c>
      <c r="B6829" s="3" t="s">
        <v>11280</v>
      </c>
      <c r="C6829" s="3" t="s">
        <v>11281</v>
      </c>
      <c r="D6829" s="3" t="s">
        <v>14880</v>
      </c>
      <c r="E6829" s="3" t="s">
        <v>14881</v>
      </c>
      <c r="F6829" s="3" t="s">
        <v>14880</v>
      </c>
    </row>
    <row r="6830">
      <c r="A6830" s="3">
        <v>1197.0</v>
      </c>
      <c r="B6830" s="3" t="s">
        <v>11280</v>
      </c>
      <c r="C6830" s="3" t="s">
        <v>11281</v>
      </c>
      <c r="D6830" s="3" t="s">
        <v>14882</v>
      </c>
      <c r="E6830" s="3" t="s">
        <v>14883</v>
      </c>
      <c r="F6830" s="3" t="s">
        <v>14882</v>
      </c>
    </row>
    <row r="6831">
      <c r="A6831" s="3">
        <v>1198.0</v>
      </c>
      <c r="B6831" s="3" t="s">
        <v>11280</v>
      </c>
      <c r="C6831" s="3" t="s">
        <v>11281</v>
      </c>
      <c r="D6831" s="3" t="s">
        <v>14884</v>
      </c>
      <c r="E6831" s="3" t="s">
        <v>14885</v>
      </c>
      <c r="F6831" s="3" t="s">
        <v>14884</v>
      </c>
      <c r="G6831" s="3"/>
      <c r="H6831" s="3" t="s">
        <v>9653</v>
      </c>
      <c r="I6831" s="3" t="s">
        <v>14886</v>
      </c>
      <c r="J6831" s="3" t="s">
        <v>14887</v>
      </c>
      <c r="K6831" s="3" t="s">
        <v>14888</v>
      </c>
      <c r="L6831" s="3" t="s">
        <v>14889</v>
      </c>
      <c r="M6831" s="3" t="s">
        <v>14890</v>
      </c>
      <c r="N6831" s="3" t="s">
        <v>14891</v>
      </c>
      <c r="O6831" s="3" t="s">
        <v>14892</v>
      </c>
      <c r="P6831" s="3" t="s">
        <v>9653</v>
      </c>
    </row>
    <row r="6832">
      <c r="A6832" s="3">
        <v>1199.0</v>
      </c>
      <c r="B6832" s="3" t="s">
        <v>11280</v>
      </c>
      <c r="C6832" s="3" t="s">
        <v>11281</v>
      </c>
      <c r="D6832" s="3" t="s">
        <v>14893</v>
      </c>
      <c r="E6832" s="3" t="s">
        <v>14894</v>
      </c>
      <c r="F6832" s="3" t="s">
        <v>14893</v>
      </c>
    </row>
    <row r="6833">
      <c r="A6833" s="3">
        <v>1200.0</v>
      </c>
      <c r="B6833" s="3" t="s">
        <v>11280</v>
      </c>
      <c r="C6833" s="3" t="s">
        <v>11281</v>
      </c>
      <c r="D6833" s="3" t="s">
        <v>14895</v>
      </c>
      <c r="E6833" s="3" t="s">
        <v>14896</v>
      </c>
      <c r="F6833" s="3" t="s">
        <v>14895</v>
      </c>
    </row>
    <row r="6834">
      <c r="A6834" s="3">
        <v>1201.0</v>
      </c>
      <c r="B6834" s="3" t="s">
        <v>11280</v>
      </c>
      <c r="C6834" s="3" t="s">
        <v>11281</v>
      </c>
      <c r="D6834" s="3" t="s">
        <v>14897</v>
      </c>
      <c r="E6834" s="3" t="s">
        <v>14898</v>
      </c>
      <c r="F6834" s="3" t="s">
        <v>14897</v>
      </c>
    </row>
    <row r="6835">
      <c r="A6835" s="3">
        <v>1202.0</v>
      </c>
      <c r="B6835" s="3" t="s">
        <v>11280</v>
      </c>
      <c r="C6835" s="3" t="s">
        <v>11281</v>
      </c>
      <c r="D6835" s="3" t="s">
        <v>14899</v>
      </c>
      <c r="E6835" s="3" t="s">
        <v>14900</v>
      </c>
      <c r="F6835" s="3" t="s">
        <v>14899</v>
      </c>
    </row>
    <row r="6836">
      <c r="A6836" s="3">
        <v>1203.0</v>
      </c>
      <c r="B6836" s="3" t="s">
        <v>11280</v>
      </c>
      <c r="C6836" s="3" t="s">
        <v>11281</v>
      </c>
      <c r="D6836" s="3" t="s">
        <v>14901</v>
      </c>
      <c r="E6836" s="3" t="s">
        <v>14902</v>
      </c>
      <c r="F6836" s="3" t="s">
        <v>14901</v>
      </c>
    </row>
    <row r="6837">
      <c r="A6837" s="3">
        <v>1204.0</v>
      </c>
      <c r="B6837" s="3" t="s">
        <v>11280</v>
      </c>
      <c r="C6837" s="3" t="s">
        <v>11281</v>
      </c>
      <c r="D6837" s="3" t="s">
        <v>14903</v>
      </c>
      <c r="E6837" s="3" t="s">
        <v>14904</v>
      </c>
      <c r="F6837" s="3" t="s">
        <v>14903</v>
      </c>
    </row>
    <row r="6838">
      <c r="A6838" s="3">
        <v>1205.0</v>
      </c>
      <c r="B6838" s="3" t="s">
        <v>11280</v>
      </c>
      <c r="C6838" s="3" t="s">
        <v>11281</v>
      </c>
      <c r="D6838" s="3" t="s">
        <v>14905</v>
      </c>
      <c r="E6838" s="3" t="s">
        <v>14906</v>
      </c>
      <c r="F6838" s="3" t="s">
        <v>14907</v>
      </c>
    </row>
    <row r="6839">
      <c r="A6839" s="3">
        <v>1206.0</v>
      </c>
      <c r="B6839" s="3" t="s">
        <v>11280</v>
      </c>
      <c r="C6839" s="3" t="s">
        <v>11281</v>
      </c>
      <c r="D6839" s="3" t="s">
        <v>14908</v>
      </c>
      <c r="E6839" s="3" t="s">
        <v>14909</v>
      </c>
      <c r="F6839" s="3" t="s">
        <v>14910</v>
      </c>
    </row>
    <row r="6840">
      <c r="A6840" s="3">
        <v>1207.0</v>
      </c>
      <c r="B6840" s="3" t="s">
        <v>11280</v>
      </c>
      <c r="C6840" s="3" t="s">
        <v>11281</v>
      </c>
      <c r="D6840" s="3" t="s">
        <v>14911</v>
      </c>
      <c r="E6840" s="3" t="s">
        <v>14912</v>
      </c>
      <c r="F6840" s="3" t="s">
        <v>14913</v>
      </c>
      <c r="G6840" s="3"/>
      <c r="H6840" s="3" t="s">
        <v>14914</v>
      </c>
      <c r="I6840" s="3" t="s">
        <v>14915</v>
      </c>
      <c r="J6840" s="3" t="s">
        <v>14916</v>
      </c>
      <c r="K6840" s="3" t="s">
        <v>14917</v>
      </c>
      <c r="L6840" s="3" t="s">
        <v>14918</v>
      </c>
      <c r="M6840" s="3" t="s">
        <v>13098</v>
      </c>
      <c r="N6840" s="3" t="s">
        <v>14917</v>
      </c>
      <c r="O6840" s="3" t="s">
        <v>14919</v>
      </c>
      <c r="P6840" s="3" t="s">
        <v>14920</v>
      </c>
      <c r="Q6840" s="3" t="s">
        <v>14921</v>
      </c>
      <c r="R6840" s="3" t="s">
        <v>14914</v>
      </c>
    </row>
    <row r="6841">
      <c r="A6841" s="3">
        <v>1208.0</v>
      </c>
      <c r="B6841" s="3" t="s">
        <v>11280</v>
      </c>
      <c r="C6841" s="3" t="s">
        <v>11281</v>
      </c>
      <c r="D6841" s="3" t="s">
        <v>14922</v>
      </c>
      <c r="E6841" s="3" t="s">
        <v>14923</v>
      </c>
      <c r="F6841" s="3" t="s">
        <v>14924</v>
      </c>
    </row>
    <row r="6842">
      <c r="A6842" s="3">
        <v>1209.0</v>
      </c>
      <c r="B6842" s="3" t="s">
        <v>11280</v>
      </c>
      <c r="C6842" s="3" t="s">
        <v>11281</v>
      </c>
      <c r="D6842" s="3" t="s">
        <v>14925</v>
      </c>
      <c r="E6842" s="3" t="s">
        <v>14926</v>
      </c>
      <c r="F6842" s="3" t="s">
        <v>14927</v>
      </c>
    </row>
    <row r="6843">
      <c r="A6843" s="3">
        <v>1210.0</v>
      </c>
      <c r="B6843" s="3" t="s">
        <v>11280</v>
      </c>
      <c r="C6843" s="3" t="s">
        <v>11281</v>
      </c>
      <c r="D6843" s="3" t="s">
        <v>14928</v>
      </c>
      <c r="E6843" s="3" t="s">
        <v>14929</v>
      </c>
      <c r="F6843" s="3" t="s">
        <v>14930</v>
      </c>
    </row>
    <row r="6844">
      <c r="A6844" s="3">
        <v>1211.0</v>
      </c>
      <c r="B6844" s="3" t="s">
        <v>11280</v>
      </c>
      <c r="C6844" s="3" t="s">
        <v>11281</v>
      </c>
      <c r="D6844" s="3" t="s">
        <v>14931</v>
      </c>
      <c r="E6844" s="3" t="s">
        <v>14932</v>
      </c>
      <c r="F6844" s="3" t="s">
        <v>14933</v>
      </c>
    </row>
    <row r="6845">
      <c r="A6845" s="3">
        <v>1212.0</v>
      </c>
      <c r="B6845" s="3" t="s">
        <v>11280</v>
      </c>
      <c r="C6845" s="3" t="s">
        <v>11281</v>
      </c>
      <c r="D6845" s="3" t="s">
        <v>14934</v>
      </c>
      <c r="E6845" s="3" t="s">
        <v>14935</v>
      </c>
      <c r="F6845" s="3" t="s">
        <v>14934</v>
      </c>
    </row>
    <row r="6846">
      <c r="A6846" s="3">
        <v>1213.0</v>
      </c>
      <c r="B6846" s="3" t="s">
        <v>11280</v>
      </c>
      <c r="C6846" s="3" t="s">
        <v>11281</v>
      </c>
      <c r="D6846" s="3" t="s">
        <v>14936</v>
      </c>
      <c r="E6846" s="3" t="s">
        <v>14937</v>
      </c>
      <c r="F6846" s="3" t="s">
        <v>14936</v>
      </c>
    </row>
    <row r="6847">
      <c r="A6847" s="3">
        <v>1214.0</v>
      </c>
      <c r="B6847" s="3" t="s">
        <v>11280</v>
      </c>
      <c r="C6847" s="3" t="s">
        <v>11281</v>
      </c>
      <c r="D6847" s="3" t="s">
        <v>14938</v>
      </c>
      <c r="E6847" s="3" t="s">
        <v>14939</v>
      </c>
      <c r="F6847" s="3" t="s">
        <v>14938</v>
      </c>
    </row>
    <row r="6848">
      <c r="A6848" s="3">
        <v>1215.0</v>
      </c>
      <c r="B6848" s="3" t="s">
        <v>11280</v>
      </c>
      <c r="C6848" s="3" t="s">
        <v>11281</v>
      </c>
      <c r="D6848" s="3" t="s">
        <v>14940</v>
      </c>
      <c r="E6848" s="3" t="s">
        <v>14941</v>
      </c>
      <c r="F6848" s="3" t="s">
        <v>14940</v>
      </c>
    </row>
    <row r="6849">
      <c r="A6849" s="3">
        <v>1216.0</v>
      </c>
      <c r="B6849" s="3" t="s">
        <v>11280</v>
      </c>
      <c r="C6849" s="3" t="s">
        <v>11281</v>
      </c>
      <c r="D6849" s="3" t="s">
        <v>14942</v>
      </c>
      <c r="E6849" s="3" t="s">
        <v>14943</v>
      </c>
      <c r="F6849" s="3" t="s">
        <v>14942</v>
      </c>
    </row>
    <row r="6850">
      <c r="A6850" s="3">
        <v>1217.0</v>
      </c>
      <c r="B6850" s="3" t="s">
        <v>11280</v>
      </c>
      <c r="C6850" s="3" t="s">
        <v>11281</v>
      </c>
      <c r="D6850" s="3" t="s">
        <v>14944</v>
      </c>
      <c r="E6850" s="3" t="s">
        <v>14945</v>
      </c>
      <c r="F6850" s="3" t="s">
        <v>14944</v>
      </c>
    </row>
    <row r="6851">
      <c r="A6851" s="3">
        <v>1218.0</v>
      </c>
      <c r="B6851" s="3" t="s">
        <v>11280</v>
      </c>
      <c r="C6851" s="3" t="s">
        <v>11281</v>
      </c>
      <c r="D6851" s="3" t="s">
        <v>14946</v>
      </c>
      <c r="E6851" s="3" t="s">
        <v>14947</v>
      </c>
      <c r="F6851" s="3" t="s">
        <v>14946</v>
      </c>
    </row>
    <row r="6852">
      <c r="A6852" s="3">
        <v>1219.0</v>
      </c>
      <c r="B6852" s="3" t="s">
        <v>11280</v>
      </c>
      <c r="C6852" s="3" t="s">
        <v>11281</v>
      </c>
      <c r="D6852" s="3" t="s">
        <v>2406</v>
      </c>
      <c r="E6852" s="3" t="s">
        <v>7116</v>
      </c>
      <c r="F6852" s="3" t="s">
        <v>2406</v>
      </c>
    </row>
    <row r="6853">
      <c r="A6853" s="3">
        <v>1220.0</v>
      </c>
      <c r="B6853" s="3" t="s">
        <v>11280</v>
      </c>
      <c r="C6853" s="3" t="s">
        <v>11281</v>
      </c>
      <c r="D6853" s="3" t="s">
        <v>14948</v>
      </c>
      <c r="E6853" s="3" t="s">
        <v>14949</v>
      </c>
      <c r="F6853" s="3" t="s">
        <v>14948</v>
      </c>
    </row>
    <row r="6854">
      <c r="A6854" s="3">
        <v>1221.0</v>
      </c>
      <c r="B6854" s="3" t="s">
        <v>11280</v>
      </c>
      <c r="C6854" s="3" t="s">
        <v>11281</v>
      </c>
      <c r="D6854" s="3" t="s">
        <v>14950</v>
      </c>
      <c r="E6854" s="3" t="s">
        <v>14951</v>
      </c>
      <c r="F6854" s="3" t="s">
        <v>14950</v>
      </c>
      <c r="G6854" s="3"/>
      <c r="H6854" s="3" t="s">
        <v>14952</v>
      </c>
      <c r="I6854" s="3" t="s">
        <v>14953</v>
      </c>
      <c r="J6854" s="3" t="s">
        <v>14954</v>
      </c>
      <c r="K6854" s="3" t="s">
        <v>14955</v>
      </c>
      <c r="L6854" s="3" t="s">
        <v>14956</v>
      </c>
      <c r="M6854" s="3" t="s">
        <v>14957</v>
      </c>
      <c r="N6854" s="3" t="s">
        <v>14958</v>
      </c>
      <c r="O6854" s="3" t="s">
        <v>14956</v>
      </c>
      <c r="P6854" s="3" t="s">
        <v>14959</v>
      </c>
    </row>
    <row r="6855">
      <c r="A6855" s="3">
        <v>1222.0</v>
      </c>
      <c r="B6855" s="3" t="s">
        <v>11280</v>
      </c>
      <c r="C6855" s="3" t="s">
        <v>11281</v>
      </c>
      <c r="D6855" s="3" t="s">
        <v>14960</v>
      </c>
      <c r="E6855" s="3" t="s">
        <v>14961</v>
      </c>
      <c r="F6855" s="3" t="s">
        <v>14960</v>
      </c>
    </row>
    <row r="6856">
      <c r="A6856" s="3">
        <v>1223.0</v>
      </c>
      <c r="B6856" s="3" t="s">
        <v>11280</v>
      </c>
      <c r="C6856" s="3" t="s">
        <v>11281</v>
      </c>
      <c r="D6856" s="3" t="s">
        <v>14962</v>
      </c>
      <c r="E6856" s="3" t="s">
        <v>14963</v>
      </c>
      <c r="F6856" s="3" t="s">
        <v>14962</v>
      </c>
    </row>
    <row r="6857">
      <c r="A6857" s="3">
        <v>1224.0</v>
      </c>
      <c r="B6857" s="3" t="s">
        <v>11280</v>
      </c>
      <c r="C6857" s="3" t="s">
        <v>11281</v>
      </c>
      <c r="D6857" s="3" t="s">
        <v>14964</v>
      </c>
      <c r="E6857" s="3" t="s">
        <v>14965</v>
      </c>
      <c r="F6857" s="3" t="s">
        <v>14964</v>
      </c>
    </row>
    <row r="6858">
      <c r="A6858" s="3">
        <v>1225.0</v>
      </c>
      <c r="B6858" s="3" t="s">
        <v>11280</v>
      </c>
      <c r="C6858" s="3" t="s">
        <v>11281</v>
      </c>
      <c r="D6858" s="3" t="s">
        <v>2415</v>
      </c>
      <c r="E6858" s="3" t="s">
        <v>7118</v>
      </c>
      <c r="F6858" s="3" t="s">
        <v>2415</v>
      </c>
    </row>
    <row r="6859">
      <c r="A6859" s="3">
        <v>1226.0</v>
      </c>
      <c r="B6859" s="3" t="s">
        <v>11280</v>
      </c>
      <c r="C6859" s="3" t="s">
        <v>11281</v>
      </c>
      <c r="D6859" s="3" t="s">
        <v>7131</v>
      </c>
      <c r="E6859" s="3" t="s">
        <v>2455</v>
      </c>
      <c r="F6859" s="3" t="s">
        <v>2456</v>
      </c>
    </row>
    <row r="6860">
      <c r="A6860" s="3">
        <v>1227.0</v>
      </c>
      <c r="B6860" s="3" t="s">
        <v>11280</v>
      </c>
      <c r="C6860" s="3" t="s">
        <v>11281</v>
      </c>
      <c r="D6860" s="3" t="s">
        <v>14966</v>
      </c>
      <c r="E6860" s="3" t="s">
        <v>14967</v>
      </c>
      <c r="F6860" s="3" t="s">
        <v>14968</v>
      </c>
    </row>
    <row r="6861">
      <c r="A6861" s="3">
        <v>1228.0</v>
      </c>
      <c r="B6861" s="3" t="s">
        <v>11280</v>
      </c>
      <c r="C6861" s="3" t="s">
        <v>11281</v>
      </c>
      <c r="D6861" s="3" t="s">
        <v>14969</v>
      </c>
      <c r="E6861" s="3" t="s">
        <v>14970</v>
      </c>
      <c r="F6861" s="3" t="s">
        <v>14971</v>
      </c>
      <c r="G6861" s="3"/>
      <c r="H6861" s="3" t="s">
        <v>14972</v>
      </c>
      <c r="I6861" s="3" t="s">
        <v>14973</v>
      </c>
    </row>
    <row r="6862">
      <c r="A6862" s="3">
        <v>1229.0</v>
      </c>
      <c r="B6862" s="3" t="s">
        <v>11280</v>
      </c>
      <c r="C6862" s="3" t="s">
        <v>11281</v>
      </c>
      <c r="D6862" s="3" t="s">
        <v>14974</v>
      </c>
      <c r="E6862" s="3" t="s">
        <v>14975</v>
      </c>
      <c r="F6862" s="3" t="s">
        <v>14976</v>
      </c>
    </row>
    <row r="6863">
      <c r="A6863" s="3">
        <v>1230.0</v>
      </c>
      <c r="B6863" s="3" t="s">
        <v>11280</v>
      </c>
      <c r="C6863" s="3" t="s">
        <v>11281</v>
      </c>
      <c r="D6863" s="3" t="s">
        <v>14977</v>
      </c>
      <c r="E6863" s="3" t="s">
        <v>14978</v>
      </c>
      <c r="F6863" s="3" t="s">
        <v>14979</v>
      </c>
    </row>
    <row r="6864">
      <c r="A6864" s="3">
        <v>1231.0</v>
      </c>
      <c r="B6864" s="3" t="s">
        <v>11280</v>
      </c>
      <c r="C6864" s="3" t="s">
        <v>11281</v>
      </c>
      <c r="D6864" s="3" t="s">
        <v>14980</v>
      </c>
      <c r="E6864" s="3" t="s">
        <v>14981</v>
      </c>
      <c r="F6864" s="3" t="s">
        <v>14982</v>
      </c>
    </row>
    <row r="6865">
      <c r="A6865" s="3">
        <v>1232.0</v>
      </c>
      <c r="B6865" s="3" t="s">
        <v>11280</v>
      </c>
      <c r="C6865" s="3" t="s">
        <v>11281</v>
      </c>
      <c r="D6865" s="3" t="s">
        <v>7132</v>
      </c>
      <c r="E6865" s="3" t="s">
        <v>2464</v>
      </c>
      <c r="F6865" s="3" t="s">
        <v>2465</v>
      </c>
    </row>
    <row r="6866">
      <c r="A6866" s="3">
        <v>1233.0</v>
      </c>
      <c r="B6866" s="3" t="s">
        <v>11280</v>
      </c>
      <c r="C6866" s="3" t="s">
        <v>11281</v>
      </c>
      <c r="D6866" s="3" t="s">
        <v>14983</v>
      </c>
      <c r="E6866" s="3" t="s">
        <v>14984</v>
      </c>
      <c r="F6866" s="3" t="s">
        <v>14985</v>
      </c>
    </row>
    <row r="6867">
      <c r="A6867" s="3">
        <v>1234.0</v>
      </c>
      <c r="B6867" s="3" t="s">
        <v>11280</v>
      </c>
      <c r="C6867" s="3" t="s">
        <v>11281</v>
      </c>
      <c r="D6867" s="3" t="s">
        <v>14986</v>
      </c>
      <c r="E6867" s="3" t="s">
        <v>14987</v>
      </c>
      <c r="F6867" s="3" t="s">
        <v>14988</v>
      </c>
    </row>
    <row r="6868">
      <c r="A6868" s="3">
        <v>1235.0</v>
      </c>
      <c r="B6868" s="3" t="s">
        <v>11280</v>
      </c>
      <c r="C6868" s="3" t="s">
        <v>11281</v>
      </c>
      <c r="D6868" s="3" t="s">
        <v>14989</v>
      </c>
      <c r="E6868" s="3" t="s">
        <v>14990</v>
      </c>
      <c r="F6868" s="3" t="s">
        <v>14991</v>
      </c>
    </row>
    <row r="6869">
      <c r="A6869" s="3">
        <v>1236.0</v>
      </c>
      <c r="B6869" s="3" t="s">
        <v>11280</v>
      </c>
      <c r="C6869" s="3" t="s">
        <v>11281</v>
      </c>
      <c r="D6869" s="3" t="s">
        <v>14992</v>
      </c>
      <c r="E6869" s="3" t="s">
        <v>14993</v>
      </c>
      <c r="F6869" s="3" t="s">
        <v>14994</v>
      </c>
    </row>
    <row r="6870">
      <c r="A6870" s="3">
        <v>1237.0</v>
      </c>
      <c r="B6870" s="3" t="s">
        <v>11280</v>
      </c>
      <c r="C6870" s="3" t="s">
        <v>11281</v>
      </c>
      <c r="D6870" s="3" t="s">
        <v>14995</v>
      </c>
      <c r="E6870" s="3" t="s">
        <v>14996</v>
      </c>
      <c r="F6870" s="3" t="s">
        <v>14997</v>
      </c>
    </row>
    <row r="6871">
      <c r="A6871" s="3">
        <v>1238.0</v>
      </c>
      <c r="B6871" s="3" t="s">
        <v>11280</v>
      </c>
      <c r="C6871" s="3" t="s">
        <v>11281</v>
      </c>
      <c r="D6871" s="3" t="s">
        <v>14998</v>
      </c>
      <c r="E6871" s="3" t="s">
        <v>14999</v>
      </c>
      <c r="F6871" s="3" t="s">
        <v>15000</v>
      </c>
    </row>
    <row r="6872">
      <c r="A6872" s="3">
        <v>1239.0</v>
      </c>
      <c r="B6872" s="3" t="s">
        <v>11280</v>
      </c>
      <c r="C6872" s="3" t="s">
        <v>11281</v>
      </c>
      <c r="D6872" s="3" t="s">
        <v>15001</v>
      </c>
      <c r="E6872" s="3" t="s">
        <v>15002</v>
      </c>
      <c r="F6872" s="3" t="s">
        <v>15003</v>
      </c>
    </row>
    <row r="6873">
      <c r="A6873" s="3">
        <v>1240.0</v>
      </c>
      <c r="B6873" s="3" t="s">
        <v>11280</v>
      </c>
      <c r="C6873" s="3" t="s">
        <v>11281</v>
      </c>
      <c r="D6873" s="3" t="s">
        <v>15004</v>
      </c>
      <c r="E6873" s="3" t="s">
        <v>15005</v>
      </c>
      <c r="F6873" s="3" t="s">
        <v>15006</v>
      </c>
    </row>
    <row r="6874">
      <c r="A6874" s="3">
        <v>1241.0</v>
      </c>
      <c r="B6874" s="3" t="s">
        <v>11280</v>
      </c>
      <c r="C6874" s="3" t="s">
        <v>11281</v>
      </c>
      <c r="D6874" s="3" t="s">
        <v>15007</v>
      </c>
      <c r="E6874" s="3" t="s">
        <v>15008</v>
      </c>
      <c r="F6874" s="3" t="s">
        <v>15009</v>
      </c>
    </row>
    <row r="6875">
      <c r="A6875" s="3">
        <v>1242.0</v>
      </c>
      <c r="B6875" s="3" t="s">
        <v>11280</v>
      </c>
      <c r="C6875" s="3" t="s">
        <v>11281</v>
      </c>
      <c r="D6875" s="3" t="s">
        <v>15010</v>
      </c>
      <c r="E6875" s="3" t="s">
        <v>15011</v>
      </c>
      <c r="F6875" s="3" t="s">
        <v>15012</v>
      </c>
    </row>
    <row r="6876">
      <c r="A6876" s="3">
        <v>1243.0</v>
      </c>
      <c r="B6876" s="3" t="s">
        <v>11280</v>
      </c>
      <c r="C6876" s="3" t="s">
        <v>11281</v>
      </c>
      <c r="D6876" s="3" t="s">
        <v>15013</v>
      </c>
      <c r="E6876" s="3" t="s">
        <v>15014</v>
      </c>
      <c r="F6876" s="3" t="s">
        <v>15015</v>
      </c>
    </row>
    <row r="6877">
      <c r="A6877" s="3">
        <v>1244.0</v>
      </c>
      <c r="B6877" s="3" t="s">
        <v>11280</v>
      </c>
      <c r="C6877" s="3" t="s">
        <v>11281</v>
      </c>
      <c r="D6877" s="3" t="s">
        <v>15016</v>
      </c>
      <c r="E6877" s="3" t="s">
        <v>15017</v>
      </c>
      <c r="F6877" s="3" t="s">
        <v>15018</v>
      </c>
      <c r="G6877" s="3"/>
      <c r="H6877" s="3" t="s">
        <v>15019</v>
      </c>
      <c r="I6877" s="3" t="s">
        <v>15020</v>
      </c>
    </row>
    <row r="6878">
      <c r="A6878" s="3">
        <v>1245.0</v>
      </c>
      <c r="B6878" s="3" t="s">
        <v>11280</v>
      </c>
      <c r="C6878" s="3" t="s">
        <v>11281</v>
      </c>
      <c r="D6878" s="3" t="s">
        <v>15021</v>
      </c>
      <c r="E6878" s="3" t="s">
        <v>15022</v>
      </c>
      <c r="F6878" s="3" t="s">
        <v>15023</v>
      </c>
    </row>
    <row r="6879">
      <c r="A6879" s="3">
        <v>1246.0</v>
      </c>
      <c r="B6879" s="3" t="s">
        <v>11280</v>
      </c>
      <c r="C6879" s="3" t="s">
        <v>11281</v>
      </c>
      <c r="D6879" s="3" t="s">
        <v>15024</v>
      </c>
      <c r="E6879" s="3" t="s">
        <v>15025</v>
      </c>
      <c r="F6879" s="3" t="s">
        <v>15026</v>
      </c>
    </row>
    <row r="6880">
      <c r="A6880" s="3">
        <v>1247.0</v>
      </c>
      <c r="B6880" s="3" t="s">
        <v>11280</v>
      </c>
      <c r="C6880" s="3" t="s">
        <v>11281</v>
      </c>
      <c r="D6880" s="3" t="s">
        <v>15027</v>
      </c>
      <c r="E6880" s="3" t="s">
        <v>15028</v>
      </c>
      <c r="F6880" s="3" t="s">
        <v>15029</v>
      </c>
    </row>
    <row r="6881">
      <c r="A6881" s="3">
        <v>1248.0</v>
      </c>
      <c r="B6881" s="3" t="s">
        <v>11280</v>
      </c>
      <c r="C6881" s="3" t="s">
        <v>11281</v>
      </c>
      <c r="D6881" s="3" t="s">
        <v>15030</v>
      </c>
      <c r="E6881" s="3" t="s">
        <v>15031</v>
      </c>
      <c r="F6881" s="3" t="s">
        <v>15032</v>
      </c>
    </row>
    <row r="6882">
      <c r="A6882" s="3">
        <v>1249.0</v>
      </c>
      <c r="B6882" s="3" t="s">
        <v>11280</v>
      </c>
      <c r="C6882" s="3" t="s">
        <v>11281</v>
      </c>
      <c r="D6882" s="3" t="s">
        <v>15033</v>
      </c>
      <c r="E6882" s="3" t="s">
        <v>15034</v>
      </c>
      <c r="F6882" s="3" t="s">
        <v>15033</v>
      </c>
      <c r="G6882" s="3"/>
      <c r="H6882" s="3" t="s">
        <v>15035</v>
      </c>
      <c r="I6882" s="3" t="s">
        <v>14006</v>
      </c>
      <c r="J6882" s="3" t="s">
        <v>15036</v>
      </c>
      <c r="K6882" s="3" t="s">
        <v>14006</v>
      </c>
      <c r="L6882" s="3" t="s">
        <v>2138</v>
      </c>
      <c r="M6882" s="3" t="s">
        <v>15037</v>
      </c>
      <c r="N6882" s="3" t="s">
        <v>15038</v>
      </c>
      <c r="O6882" s="3" t="s">
        <v>15039</v>
      </c>
      <c r="P6882" s="3" t="s">
        <v>15040</v>
      </c>
      <c r="Q6882" s="3" t="s">
        <v>15041</v>
      </c>
      <c r="R6882" s="3" t="s">
        <v>14006</v>
      </c>
      <c r="S6882" s="3" t="s">
        <v>15035</v>
      </c>
      <c r="T6882" s="3" t="s">
        <v>2138</v>
      </c>
      <c r="U6882" s="3" t="s">
        <v>15042</v>
      </c>
      <c r="V6882" s="3" t="s">
        <v>15043</v>
      </c>
      <c r="W6882" s="3" t="s">
        <v>13151</v>
      </c>
      <c r="X6882" s="3" t="s">
        <v>15044</v>
      </c>
      <c r="Y6882" s="3" t="s">
        <v>15045</v>
      </c>
      <c r="Z6882" s="3" t="s">
        <v>15046</v>
      </c>
      <c r="AA6882" s="3" t="s">
        <v>15047</v>
      </c>
      <c r="AB6882" s="3" t="s">
        <v>1621</v>
      </c>
      <c r="AC6882" s="3" t="s">
        <v>14006</v>
      </c>
      <c r="AD6882" s="3" t="s">
        <v>11251</v>
      </c>
      <c r="AE6882" s="3" t="s">
        <v>2681</v>
      </c>
      <c r="AF6882" s="3" t="s">
        <v>15048</v>
      </c>
      <c r="AG6882" s="3" t="s">
        <v>14006</v>
      </c>
      <c r="AH6882" s="3" t="s">
        <v>2681</v>
      </c>
      <c r="AI6882" s="3" t="s">
        <v>14005</v>
      </c>
      <c r="AJ6882" s="3" t="s">
        <v>14006</v>
      </c>
      <c r="AK6882" s="3" t="s">
        <v>14007</v>
      </c>
      <c r="AL6882" s="3" t="s">
        <v>15049</v>
      </c>
      <c r="AM6882" s="3" t="s">
        <v>6926</v>
      </c>
      <c r="AN6882" s="3" t="s">
        <v>9917</v>
      </c>
      <c r="AO6882" s="3" t="s">
        <v>1621</v>
      </c>
      <c r="AP6882" s="3" t="s">
        <v>5753</v>
      </c>
    </row>
    <row r="6883">
      <c r="A6883" s="3">
        <v>1250.0</v>
      </c>
      <c r="B6883" s="3" t="s">
        <v>11280</v>
      </c>
      <c r="C6883" s="3" t="s">
        <v>11281</v>
      </c>
      <c r="D6883" s="3" t="s">
        <v>8900</v>
      </c>
      <c r="E6883" s="3" t="s">
        <v>8899</v>
      </c>
      <c r="F6883" s="3" t="s">
        <v>8900</v>
      </c>
      <c r="G6883" s="3"/>
      <c r="H6883" s="3" t="s">
        <v>10476</v>
      </c>
      <c r="I6883" s="3" t="s">
        <v>10477</v>
      </c>
      <c r="J6883" s="3" t="s">
        <v>10478</v>
      </c>
      <c r="K6883" s="3" t="s">
        <v>8900</v>
      </c>
      <c r="L6883" s="3" t="s">
        <v>10477</v>
      </c>
      <c r="M6883" s="3" t="s">
        <v>10479</v>
      </c>
      <c r="N6883" s="3" t="s">
        <v>10478</v>
      </c>
      <c r="O6883" s="3" t="s">
        <v>10477</v>
      </c>
      <c r="P6883" s="3" t="s">
        <v>15050</v>
      </c>
    </row>
    <row r="6884">
      <c r="A6884" s="3">
        <v>1251.0</v>
      </c>
      <c r="B6884" s="3" t="s">
        <v>11280</v>
      </c>
      <c r="C6884" s="3" t="s">
        <v>11281</v>
      </c>
      <c r="D6884" s="3" t="s">
        <v>15051</v>
      </c>
      <c r="E6884" s="3" t="s">
        <v>15052</v>
      </c>
      <c r="F6884" s="3" t="s">
        <v>15051</v>
      </c>
    </row>
    <row r="6885">
      <c r="A6885" s="3">
        <v>1252.0</v>
      </c>
      <c r="B6885" s="3" t="s">
        <v>11280</v>
      </c>
      <c r="C6885" s="3" t="s">
        <v>11281</v>
      </c>
      <c r="D6885" s="3" t="s">
        <v>15053</v>
      </c>
      <c r="E6885" s="3" t="s">
        <v>15054</v>
      </c>
      <c r="F6885" s="3" t="s">
        <v>15053</v>
      </c>
    </row>
    <row r="6886">
      <c r="A6886" s="3">
        <v>1253.0</v>
      </c>
      <c r="B6886" s="3" t="s">
        <v>11280</v>
      </c>
      <c r="C6886" s="3" t="s">
        <v>11281</v>
      </c>
      <c r="D6886" s="3" t="s">
        <v>15055</v>
      </c>
      <c r="E6886" s="3" t="s">
        <v>15056</v>
      </c>
      <c r="F6886" s="3" t="s">
        <v>15055</v>
      </c>
    </row>
    <row r="6887">
      <c r="A6887" s="3">
        <v>1254.0</v>
      </c>
      <c r="B6887" s="3" t="s">
        <v>11280</v>
      </c>
      <c r="C6887" s="3" t="s">
        <v>11281</v>
      </c>
      <c r="D6887" s="3" t="s">
        <v>15057</v>
      </c>
      <c r="E6887" s="3" t="s">
        <v>15058</v>
      </c>
      <c r="F6887" s="3" t="s">
        <v>15057</v>
      </c>
    </row>
    <row r="6888">
      <c r="A6888" s="3">
        <v>1255.0</v>
      </c>
      <c r="B6888" s="3" t="s">
        <v>11280</v>
      </c>
      <c r="C6888" s="3" t="s">
        <v>11281</v>
      </c>
      <c r="D6888" s="3" t="s">
        <v>15059</v>
      </c>
      <c r="E6888" s="3" t="s">
        <v>15060</v>
      </c>
      <c r="F6888" s="3" t="s">
        <v>15059</v>
      </c>
    </row>
    <row r="6889">
      <c r="A6889" s="3">
        <v>1256.0</v>
      </c>
      <c r="B6889" s="3" t="s">
        <v>11280</v>
      </c>
      <c r="C6889" s="3" t="s">
        <v>11281</v>
      </c>
      <c r="D6889" s="3" t="s">
        <v>15061</v>
      </c>
      <c r="E6889" s="3" t="s">
        <v>15062</v>
      </c>
      <c r="F6889" s="3" t="s">
        <v>15061</v>
      </c>
    </row>
    <row r="6890">
      <c r="A6890" s="3">
        <v>1257.0</v>
      </c>
      <c r="B6890" s="3" t="s">
        <v>11280</v>
      </c>
      <c r="C6890" s="3" t="s">
        <v>11281</v>
      </c>
      <c r="D6890" s="3" t="s">
        <v>15063</v>
      </c>
      <c r="E6890" s="3" t="s">
        <v>15064</v>
      </c>
      <c r="F6890" s="3" t="s">
        <v>15063</v>
      </c>
    </row>
    <row r="6891">
      <c r="A6891" s="3">
        <v>1258.0</v>
      </c>
      <c r="B6891" s="3" t="s">
        <v>11280</v>
      </c>
      <c r="C6891" s="3" t="s">
        <v>11281</v>
      </c>
      <c r="D6891" s="3" t="s">
        <v>15065</v>
      </c>
      <c r="E6891" s="3" t="s">
        <v>15066</v>
      </c>
      <c r="F6891" s="3" t="s">
        <v>15065</v>
      </c>
    </row>
    <row r="6892">
      <c r="A6892" s="3">
        <v>1259.0</v>
      </c>
      <c r="B6892" s="3" t="s">
        <v>11280</v>
      </c>
      <c r="C6892" s="3" t="s">
        <v>11281</v>
      </c>
      <c r="D6892" s="3" t="s">
        <v>15067</v>
      </c>
      <c r="E6892" s="3" t="s">
        <v>15068</v>
      </c>
      <c r="F6892" s="3" t="s">
        <v>15067</v>
      </c>
    </row>
    <row r="6893">
      <c r="A6893" s="3">
        <v>1260.0</v>
      </c>
      <c r="B6893" s="3" t="s">
        <v>11280</v>
      </c>
      <c r="C6893" s="3" t="s">
        <v>11281</v>
      </c>
      <c r="D6893" s="3" t="s">
        <v>15069</v>
      </c>
      <c r="E6893" s="3" t="s">
        <v>15070</v>
      </c>
      <c r="F6893" s="3" t="s">
        <v>15069</v>
      </c>
      <c r="G6893" s="3"/>
      <c r="H6893" s="3" t="s">
        <v>15071</v>
      </c>
      <c r="I6893" s="3" t="s">
        <v>15072</v>
      </c>
    </row>
    <row r="6894">
      <c r="A6894" s="3">
        <v>1261.0</v>
      </c>
      <c r="B6894" s="3" t="s">
        <v>11280</v>
      </c>
      <c r="C6894" s="3" t="s">
        <v>11281</v>
      </c>
      <c r="D6894" s="3" t="s">
        <v>10649</v>
      </c>
      <c r="E6894" s="3" t="s">
        <v>10648</v>
      </c>
      <c r="F6894" s="3" t="s">
        <v>10649</v>
      </c>
    </row>
    <row r="6895">
      <c r="A6895" s="3">
        <v>1262.0</v>
      </c>
      <c r="B6895" s="3" t="s">
        <v>11280</v>
      </c>
      <c r="C6895" s="3" t="s">
        <v>11281</v>
      </c>
      <c r="D6895" s="3" t="s">
        <v>14719</v>
      </c>
      <c r="E6895" s="3" t="s">
        <v>14718</v>
      </c>
      <c r="F6895" s="3" t="s">
        <v>14719</v>
      </c>
    </row>
    <row r="6896">
      <c r="A6896" s="3">
        <v>1263.0</v>
      </c>
      <c r="B6896" s="3" t="s">
        <v>11280</v>
      </c>
      <c r="C6896" s="3" t="s">
        <v>11281</v>
      </c>
      <c r="D6896" s="3" t="s">
        <v>15073</v>
      </c>
      <c r="E6896" s="3" t="s">
        <v>15074</v>
      </c>
      <c r="F6896" s="3" t="s">
        <v>15075</v>
      </c>
    </row>
    <row r="6897">
      <c r="A6897" s="3">
        <v>1264.0</v>
      </c>
      <c r="B6897" s="3" t="s">
        <v>11280</v>
      </c>
      <c r="C6897" s="3" t="s">
        <v>11281</v>
      </c>
      <c r="D6897" s="3" t="s">
        <v>15076</v>
      </c>
      <c r="E6897" s="3" t="s">
        <v>15077</v>
      </c>
      <c r="F6897" s="3" t="s">
        <v>15078</v>
      </c>
    </row>
    <row r="6898">
      <c r="A6898" s="3">
        <v>1265.0</v>
      </c>
      <c r="B6898" s="3" t="s">
        <v>11280</v>
      </c>
      <c r="C6898" s="3" t="s">
        <v>11281</v>
      </c>
      <c r="D6898" s="3" t="s">
        <v>15079</v>
      </c>
      <c r="E6898" s="3" t="s">
        <v>15080</v>
      </c>
      <c r="F6898" s="3" t="s">
        <v>15081</v>
      </c>
    </row>
    <row r="6899">
      <c r="A6899" s="3">
        <v>1266.0</v>
      </c>
      <c r="B6899" s="3" t="s">
        <v>11280</v>
      </c>
      <c r="C6899" s="3" t="s">
        <v>11281</v>
      </c>
      <c r="D6899" s="3" t="s">
        <v>15082</v>
      </c>
      <c r="E6899" s="3" t="s">
        <v>15083</v>
      </c>
      <c r="F6899" s="3" t="s">
        <v>15084</v>
      </c>
    </row>
    <row r="6900">
      <c r="A6900" s="3">
        <v>1267.0</v>
      </c>
      <c r="B6900" s="3" t="s">
        <v>11280</v>
      </c>
      <c r="C6900" s="3" t="s">
        <v>11281</v>
      </c>
      <c r="D6900" s="3" t="s">
        <v>15085</v>
      </c>
      <c r="E6900" s="3" t="s">
        <v>15086</v>
      </c>
      <c r="F6900" s="3" t="s">
        <v>15087</v>
      </c>
    </row>
    <row r="6901">
      <c r="A6901" s="3">
        <v>1268.0</v>
      </c>
      <c r="B6901" s="3" t="s">
        <v>11280</v>
      </c>
      <c r="C6901" s="3" t="s">
        <v>11281</v>
      </c>
      <c r="D6901" s="3" t="s">
        <v>15088</v>
      </c>
      <c r="E6901" s="3" t="s">
        <v>15089</v>
      </c>
      <c r="F6901" s="3" t="s">
        <v>15090</v>
      </c>
    </row>
    <row r="6902">
      <c r="A6902" s="3">
        <v>1269.0</v>
      </c>
      <c r="B6902" s="3" t="s">
        <v>11280</v>
      </c>
      <c r="C6902" s="3" t="s">
        <v>11281</v>
      </c>
      <c r="D6902" s="3" t="s">
        <v>15091</v>
      </c>
      <c r="E6902" s="3" t="s">
        <v>15092</v>
      </c>
      <c r="F6902" s="3" t="s">
        <v>15093</v>
      </c>
    </row>
    <row r="6903">
      <c r="A6903" s="3">
        <v>1270.0</v>
      </c>
      <c r="B6903" s="3" t="s">
        <v>11280</v>
      </c>
      <c r="C6903" s="3" t="s">
        <v>11281</v>
      </c>
      <c r="D6903" s="3" t="s">
        <v>15094</v>
      </c>
      <c r="E6903" s="3" t="s">
        <v>15095</v>
      </c>
      <c r="F6903" s="3" t="s">
        <v>969</v>
      </c>
    </row>
    <row r="6904">
      <c r="A6904" s="3">
        <v>1271.0</v>
      </c>
      <c r="B6904" s="3" t="s">
        <v>11280</v>
      </c>
      <c r="C6904" s="3" t="s">
        <v>11281</v>
      </c>
      <c r="D6904" s="3" t="s">
        <v>15096</v>
      </c>
      <c r="E6904" s="3" t="s">
        <v>15097</v>
      </c>
      <c r="F6904" s="3" t="s">
        <v>13314</v>
      </c>
    </row>
    <row r="6905">
      <c r="A6905" s="3">
        <v>1272.0</v>
      </c>
      <c r="B6905" s="3" t="s">
        <v>11280</v>
      </c>
      <c r="C6905" s="3" t="s">
        <v>11281</v>
      </c>
      <c r="D6905" s="3" t="s">
        <v>15098</v>
      </c>
      <c r="E6905" s="3" t="s">
        <v>15099</v>
      </c>
      <c r="F6905" s="3" t="s">
        <v>1079</v>
      </c>
    </row>
    <row r="6906">
      <c r="A6906" s="3">
        <v>1273.0</v>
      </c>
      <c r="B6906" s="3" t="s">
        <v>11280</v>
      </c>
      <c r="C6906" s="3" t="s">
        <v>11281</v>
      </c>
      <c r="D6906" s="3" t="s">
        <v>15100</v>
      </c>
      <c r="E6906" s="3" t="s">
        <v>15101</v>
      </c>
      <c r="F6906" s="3" t="s">
        <v>13405</v>
      </c>
    </row>
    <row r="6907">
      <c r="A6907" s="3">
        <v>1274.0</v>
      </c>
      <c r="B6907" s="3" t="s">
        <v>11280</v>
      </c>
      <c r="C6907" s="3" t="s">
        <v>11281</v>
      </c>
      <c r="D6907" s="3" t="s">
        <v>15102</v>
      </c>
      <c r="E6907" s="3" t="s">
        <v>15103</v>
      </c>
      <c r="F6907" s="3" t="s">
        <v>15104</v>
      </c>
    </row>
    <row r="6908">
      <c r="A6908" s="3">
        <v>1275.0</v>
      </c>
      <c r="B6908" s="3" t="s">
        <v>11280</v>
      </c>
      <c r="C6908" s="3" t="s">
        <v>11281</v>
      </c>
      <c r="D6908" s="3" t="s">
        <v>15105</v>
      </c>
      <c r="E6908" s="3" t="s">
        <v>15106</v>
      </c>
      <c r="F6908" s="3" t="s">
        <v>15107</v>
      </c>
    </row>
    <row r="6909">
      <c r="A6909" s="3">
        <v>1276.0</v>
      </c>
      <c r="B6909" s="3" t="s">
        <v>11280</v>
      </c>
      <c r="C6909" s="3" t="s">
        <v>11281</v>
      </c>
      <c r="D6909" s="3" t="s">
        <v>15108</v>
      </c>
      <c r="E6909" s="3" t="s">
        <v>15109</v>
      </c>
      <c r="F6909" s="3" t="s">
        <v>13414</v>
      </c>
      <c r="G6909" s="3"/>
      <c r="H6909" s="3" t="s">
        <v>15110</v>
      </c>
      <c r="I6909" s="3" t="s">
        <v>15111</v>
      </c>
      <c r="J6909" s="3" t="s">
        <v>15112</v>
      </c>
      <c r="K6909" s="3" t="s">
        <v>15113</v>
      </c>
      <c r="L6909" s="3" t="s">
        <v>15114</v>
      </c>
      <c r="M6909" s="3" t="s">
        <v>15115</v>
      </c>
    </row>
    <row r="6910">
      <c r="A6910" s="3">
        <v>1277.0</v>
      </c>
      <c r="B6910" s="3" t="s">
        <v>11280</v>
      </c>
      <c r="C6910" s="3" t="s">
        <v>11281</v>
      </c>
      <c r="D6910" s="3" t="s">
        <v>15116</v>
      </c>
      <c r="E6910" s="3" t="s">
        <v>15117</v>
      </c>
      <c r="F6910" s="3" t="s">
        <v>13423</v>
      </c>
    </row>
    <row r="6911">
      <c r="A6911" s="3">
        <v>1278.0</v>
      </c>
      <c r="B6911" s="3" t="s">
        <v>11280</v>
      </c>
      <c r="C6911" s="3" t="s">
        <v>11281</v>
      </c>
      <c r="D6911" s="3" t="s">
        <v>15118</v>
      </c>
      <c r="E6911" s="3" t="s">
        <v>15119</v>
      </c>
      <c r="F6911" s="3" t="s">
        <v>13426</v>
      </c>
    </row>
    <row r="6912">
      <c r="A6912" s="3">
        <v>1279.0</v>
      </c>
      <c r="B6912" s="3" t="s">
        <v>11280</v>
      </c>
      <c r="C6912" s="3" t="s">
        <v>11281</v>
      </c>
      <c r="D6912" s="3" t="s">
        <v>15120</v>
      </c>
      <c r="E6912" s="3" t="s">
        <v>15121</v>
      </c>
      <c r="F6912" s="3" t="s">
        <v>13429</v>
      </c>
    </row>
    <row r="6913">
      <c r="A6913" s="3">
        <v>1280.0</v>
      </c>
      <c r="B6913" s="3" t="s">
        <v>11280</v>
      </c>
      <c r="C6913" s="3" t="s">
        <v>11281</v>
      </c>
      <c r="D6913" s="3" t="s">
        <v>15122</v>
      </c>
      <c r="E6913" s="3" t="s">
        <v>15123</v>
      </c>
      <c r="F6913" s="3" t="s">
        <v>1094</v>
      </c>
    </row>
    <row r="6914">
      <c r="A6914" s="3">
        <v>1281.0</v>
      </c>
      <c r="B6914" s="3" t="s">
        <v>11280</v>
      </c>
      <c r="C6914" s="3" t="s">
        <v>11281</v>
      </c>
      <c r="D6914" s="3" t="s">
        <v>15124</v>
      </c>
      <c r="E6914" s="3" t="s">
        <v>15125</v>
      </c>
      <c r="F6914" s="3" t="s">
        <v>1140</v>
      </c>
    </row>
    <row r="6915">
      <c r="A6915" s="3">
        <v>1282.0</v>
      </c>
      <c r="B6915" s="3" t="s">
        <v>11280</v>
      </c>
      <c r="C6915" s="3" t="s">
        <v>11281</v>
      </c>
      <c r="D6915" s="3" t="s">
        <v>15126</v>
      </c>
      <c r="E6915" s="3" t="s">
        <v>15127</v>
      </c>
      <c r="F6915" s="3" t="s">
        <v>8085</v>
      </c>
    </row>
    <row r="6916">
      <c r="A6916" s="3">
        <v>1283.0</v>
      </c>
      <c r="B6916" s="3" t="s">
        <v>11280</v>
      </c>
      <c r="C6916" s="3" t="s">
        <v>11281</v>
      </c>
      <c r="D6916" s="3" t="s">
        <v>15128</v>
      </c>
      <c r="E6916" s="3" t="s">
        <v>15129</v>
      </c>
      <c r="F6916" s="3" t="s">
        <v>15130</v>
      </c>
    </row>
    <row r="6917">
      <c r="A6917" s="3">
        <v>1284.0</v>
      </c>
      <c r="B6917" s="3" t="s">
        <v>11280</v>
      </c>
      <c r="C6917" s="3" t="s">
        <v>11281</v>
      </c>
      <c r="D6917" s="3" t="s">
        <v>15131</v>
      </c>
      <c r="E6917" s="3" t="s">
        <v>15132</v>
      </c>
      <c r="F6917" s="3" t="s">
        <v>15133</v>
      </c>
    </row>
    <row r="6918">
      <c r="A6918" s="3">
        <v>1285.0</v>
      </c>
      <c r="B6918" s="3" t="s">
        <v>11280</v>
      </c>
      <c r="C6918" s="3" t="s">
        <v>11281</v>
      </c>
      <c r="D6918" s="3" t="s">
        <v>15134</v>
      </c>
      <c r="E6918" s="3" t="s">
        <v>15135</v>
      </c>
      <c r="F6918" s="3" t="s">
        <v>15136</v>
      </c>
    </row>
    <row r="6919">
      <c r="A6919" s="3">
        <v>1286.0</v>
      </c>
      <c r="B6919" s="3" t="s">
        <v>11280</v>
      </c>
      <c r="C6919" s="3" t="s">
        <v>11281</v>
      </c>
      <c r="D6919" s="3" t="s">
        <v>15137</v>
      </c>
      <c r="E6919" s="3" t="s">
        <v>15138</v>
      </c>
      <c r="F6919" s="3" t="s">
        <v>15139</v>
      </c>
    </row>
    <row r="6920">
      <c r="A6920" s="3">
        <v>1287.0</v>
      </c>
      <c r="B6920" s="3" t="s">
        <v>11280</v>
      </c>
      <c r="C6920" s="3" t="s">
        <v>11281</v>
      </c>
      <c r="D6920" s="3" t="s">
        <v>15140</v>
      </c>
      <c r="E6920" s="3" t="s">
        <v>15141</v>
      </c>
      <c r="F6920" s="3" t="s">
        <v>1149</v>
      </c>
    </row>
    <row r="6921">
      <c r="A6921" s="3">
        <v>1288.0</v>
      </c>
      <c r="B6921" s="3" t="s">
        <v>11280</v>
      </c>
      <c r="C6921" s="3" t="s">
        <v>11281</v>
      </c>
      <c r="D6921" s="3" t="s">
        <v>15142</v>
      </c>
      <c r="E6921" s="3" t="s">
        <v>15143</v>
      </c>
      <c r="F6921" s="3" t="s">
        <v>15144</v>
      </c>
    </row>
    <row r="6922">
      <c r="A6922" s="3">
        <v>1289.0</v>
      </c>
      <c r="B6922" s="3" t="s">
        <v>11280</v>
      </c>
      <c r="C6922" s="3" t="s">
        <v>11281</v>
      </c>
      <c r="D6922" s="3" t="s">
        <v>15145</v>
      </c>
      <c r="E6922" s="3" t="s">
        <v>15146</v>
      </c>
      <c r="F6922" s="3" t="s">
        <v>15147</v>
      </c>
    </row>
    <row r="6923">
      <c r="A6923" s="3">
        <v>1290.0</v>
      </c>
      <c r="B6923" s="3" t="s">
        <v>11280</v>
      </c>
      <c r="C6923" s="3" t="s">
        <v>11281</v>
      </c>
      <c r="D6923" s="3" t="s">
        <v>15148</v>
      </c>
      <c r="E6923" s="3" t="s">
        <v>15149</v>
      </c>
      <c r="F6923" s="3" t="s">
        <v>15150</v>
      </c>
    </row>
    <row r="6924">
      <c r="A6924" s="3">
        <v>1291.0</v>
      </c>
      <c r="B6924" s="3" t="s">
        <v>11280</v>
      </c>
      <c r="C6924" s="3" t="s">
        <v>11281</v>
      </c>
      <c r="D6924" s="3" t="s">
        <v>15151</v>
      </c>
      <c r="E6924" s="3" t="s">
        <v>15152</v>
      </c>
      <c r="F6924" s="3" t="s">
        <v>15153</v>
      </c>
    </row>
    <row r="6925">
      <c r="A6925" s="3">
        <v>1292.0</v>
      </c>
      <c r="B6925" s="3" t="s">
        <v>11280</v>
      </c>
      <c r="C6925" s="3" t="s">
        <v>11281</v>
      </c>
      <c r="D6925" s="3" t="s">
        <v>15154</v>
      </c>
      <c r="E6925" s="3" t="s">
        <v>15155</v>
      </c>
      <c r="F6925" s="3" t="s">
        <v>15156</v>
      </c>
    </row>
    <row r="6926">
      <c r="A6926" s="3">
        <v>1293.0</v>
      </c>
      <c r="B6926" s="3" t="s">
        <v>11280</v>
      </c>
      <c r="C6926" s="3" t="s">
        <v>11281</v>
      </c>
      <c r="D6926" s="3" t="s">
        <v>15157</v>
      </c>
      <c r="E6926" s="3" t="s">
        <v>15158</v>
      </c>
      <c r="F6926" s="3" t="s">
        <v>15159</v>
      </c>
    </row>
    <row r="6927">
      <c r="A6927" s="3">
        <v>1294.0</v>
      </c>
      <c r="B6927" s="3" t="s">
        <v>11280</v>
      </c>
      <c r="C6927" s="3" t="s">
        <v>11281</v>
      </c>
      <c r="D6927" s="3" t="s">
        <v>15160</v>
      </c>
      <c r="E6927" s="3" t="s">
        <v>15161</v>
      </c>
      <c r="F6927" s="3" t="s">
        <v>15162</v>
      </c>
    </row>
    <row r="6928">
      <c r="A6928" s="3">
        <v>1295.0</v>
      </c>
      <c r="B6928" s="3" t="s">
        <v>11280</v>
      </c>
      <c r="C6928" s="3" t="s">
        <v>11281</v>
      </c>
      <c r="D6928" s="3" t="s">
        <v>15163</v>
      </c>
      <c r="E6928" s="3" t="s">
        <v>15164</v>
      </c>
      <c r="F6928" s="3" t="s">
        <v>15165</v>
      </c>
    </row>
    <row r="6929">
      <c r="A6929" s="3">
        <v>1296.0</v>
      </c>
      <c r="B6929" s="3" t="s">
        <v>11280</v>
      </c>
      <c r="C6929" s="3" t="s">
        <v>11281</v>
      </c>
      <c r="D6929" s="3" t="s">
        <v>15166</v>
      </c>
      <c r="E6929" s="3" t="s">
        <v>15167</v>
      </c>
      <c r="F6929" s="3" t="s">
        <v>15168</v>
      </c>
    </row>
    <row r="6930">
      <c r="A6930" s="3">
        <v>1297.0</v>
      </c>
      <c r="B6930" s="3" t="s">
        <v>11280</v>
      </c>
      <c r="C6930" s="3" t="s">
        <v>11281</v>
      </c>
      <c r="D6930" s="3" t="s">
        <v>15169</v>
      </c>
      <c r="E6930" s="3" t="s">
        <v>15170</v>
      </c>
      <c r="F6930" s="3" t="s">
        <v>15171</v>
      </c>
    </row>
    <row r="6931">
      <c r="A6931" s="3">
        <v>1298.0</v>
      </c>
      <c r="B6931" s="3" t="s">
        <v>11280</v>
      </c>
      <c r="C6931" s="3" t="s">
        <v>11281</v>
      </c>
      <c r="D6931" s="3" t="s">
        <v>15172</v>
      </c>
      <c r="E6931" s="3" t="s">
        <v>15173</v>
      </c>
      <c r="F6931" s="3" t="s">
        <v>15174</v>
      </c>
    </row>
    <row r="6932">
      <c r="A6932" s="3">
        <v>1299.0</v>
      </c>
      <c r="B6932" s="3" t="s">
        <v>11280</v>
      </c>
      <c r="C6932" s="3" t="s">
        <v>11281</v>
      </c>
      <c r="D6932" s="3" t="s">
        <v>15175</v>
      </c>
      <c r="E6932" s="3" t="s">
        <v>15176</v>
      </c>
      <c r="F6932" s="3" t="s">
        <v>8223</v>
      </c>
    </row>
    <row r="6933">
      <c r="A6933" s="3">
        <v>1300.0</v>
      </c>
      <c r="B6933" s="3" t="s">
        <v>11280</v>
      </c>
      <c r="C6933" s="3" t="s">
        <v>11281</v>
      </c>
      <c r="D6933" s="3" t="s">
        <v>15177</v>
      </c>
      <c r="E6933" s="3" t="s">
        <v>15178</v>
      </c>
      <c r="F6933" s="3" t="s">
        <v>13856</v>
      </c>
    </row>
    <row r="6934">
      <c r="A6934" s="3">
        <v>1301.0</v>
      </c>
      <c r="B6934" s="3" t="s">
        <v>11280</v>
      </c>
      <c r="C6934" s="3" t="s">
        <v>11281</v>
      </c>
      <c r="D6934" s="3" t="s">
        <v>15179</v>
      </c>
      <c r="E6934" s="3" t="s">
        <v>15180</v>
      </c>
      <c r="F6934" s="3" t="s">
        <v>13859</v>
      </c>
    </row>
    <row r="6935">
      <c r="A6935" s="3">
        <v>1302.0</v>
      </c>
      <c r="B6935" s="3" t="s">
        <v>11280</v>
      </c>
      <c r="C6935" s="3" t="s">
        <v>11281</v>
      </c>
      <c r="D6935" s="3" t="s">
        <v>15181</v>
      </c>
      <c r="E6935" s="3" t="s">
        <v>15182</v>
      </c>
      <c r="F6935" s="3" t="s">
        <v>15183</v>
      </c>
    </row>
    <row r="6936">
      <c r="A6936" s="3">
        <v>1303.0</v>
      </c>
      <c r="B6936" s="3" t="s">
        <v>11280</v>
      </c>
      <c r="C6936" s="3" t="s">
        <v>11281</v>
      </c>
      <c r="D6936" s="3" t="s">
        <v>15184</v>
      </c>
      <c r="E6936" s="3" t="s">
        <v>15185</v>
      </c>
      <c r="F6936" s="3" t="s">
        <v>15186</v>
      </c>
      <c r="G6936" s="3"/>
      <c r="H6936" s="3" t="s">
        <v>15187</v>
      </c>
      <c r="I6936" s="3" t="s">
        <v>15188</v>
      </c>
      <c r="J6936" s="3" t="s">
        <v>15189</v>
      </c>
      <c r="K6936" s="3" t="s">
        <v>15190</v>
      </c>
    </row>
    <row r="6937">
      <c r="A6937" s="3">
        <v>1304.0</v>
      </c>
      <c r="B6937" s="3" t="s">
        <v>11280</v>
      </c>
      <c r="C6937" s="3" t="s">
        <v>11281</v>
      </c>
      <c r="D6937" s="3" t="s">
        <v>15191</v>
      </c>
      <c r="E6937" s="3" t="s">
        <v>15192</v>
      </c>
      <c r="F6937" s="3" t="s">
        <v>15193</v>
      </c>
    </row>
    <row r="6938">
      <c r="A6938" s="3">
        <v>1305.0</v>
      </c>
      <c r="B6938" s="3" t="s">
        <v>11280</v>
      </c>
      <c r="C6938" s="3" t="s">
        <v>11281</v>
      </c>
      <c r="D6938" s="3" t="s">
        <v>15194</v>
      </c>
      <c r="E6938" s="3" t="s">
        <v>15195</v>
      </c>
      <c r="F6938" s="3" t="s">
        <v>13887</v>
      </c>
    </row>
    <row r="6939">
      <c r="A6939" s="3">
        <v>1306.0</v>
      </c>
      <c r="B6939" s="3" t="s">
        <v>11280</v>
      </c>
      <c r="C6939" s="3" t="s">
        <v>11281</v>
      </c>
      <c r="D6939" s="3" t="s">
        <v>15196</v>
      </c>
      <c r="E6939" s="3" t="s">
        <v>15197</v>
      </c>
      <c r="F6939" s="3" t="s">
        <v>15198</v>
      </c>
    </row>
    <row r="6940">
      <c r="A6940" s="3">
        <v>1307.0</v>
      </c>
      <c r="B6940" s="3" t="s">
        <v>11280</v>
      </c>
      <c r="C6940" s="3" t="s">
        <v>11281</v>
      </c>
      <c r="D6940" s="3" t="s">
        <v>15199</v>
      </c>
      <c r="E6940" s="3" t="s">
        <v>15200</v>
      </c>
      <c r="F6940" s="3" t="s">
        <v>15201</v>
      </c>
    </row>
    <row r="6941">
      <c r="A6941" s="3">
        <v>1308.0</v>
      </c>
      <c r="B6941" s="3" t="s">
        <v>11280</v>
      </c>
      <c r="C6941" s="3" t="s">
        <v>11281</v>
      </c>
      <c r="D6941" s="3" t="s">
        <v>15202</v>
      </c>
      <c r="E6941" s="3" t="s">
        <v>15203</v>
      </c>
      <c r="F6941" s="3" t="s">
        <v>15204</v>
      </c>
    </row>
    <row r="6942">
      <c r="A6942" s="3">
        <v>1309.0</v>
      </c>
      <c r="B6942" s="3" t="s">
        <v>11280</v>
      </c>
      <c r="C6942" s="3" t="s">
        <v>11281</v>
      </c>
      <c r="D6942" s="3" t="s">
        <v>15205</v>
      </c>
      <c r="E6942" s="3" t="s">
        <v>15206</v>
      </c>
      <c r="F6942" s="3" t="s">
        <v>15207</v>
      </c>
    </row>
    <row r="6943">
      <c r="A6943" s="3">
        <v>1310.0</v>
      </c>
      <c r="B6943" s="3" t="s">
        <v>11280</v>
      </c>
      <c r="C6943" s="3" t="s">
        <v>11281</v>
      </c>
      <c r="D6943" s="3" t="s">
        <v>15208</v>
      </c>
      <c r="E6943" s="3" t="s">
        <v>15209</v>
      </c>
      <c r="F6943" s="3" t="s">
        <v>15210</v>
      </c>
    </row>
    <row r="6944">
      <c r="A6944" s="3">
        <v>1311.0</v>
      </c>
      <c r="B6944" s="3" t="s">
        <v>11280</v>
      </c>
      <c r="C6944" s="3" t="s">
        <v>11281</v>
      </c>
      <c r="D6944" s="3" t="s">
        <v>15211</v>
      </c>
      <c r="E6944" s="3" t="s">
        <v>15212</v>
      </c>
      <c r="F6944" s="3" t="s">
        <v>15213</v>
      </c>
    </row>
    <row r="6945">
      <c r="A6945" s="3">
        <v>1312.0</v>
      </c>
      <c r="B6945" s="3" t="s">
        <v>11280</v>
      </c>
      <c r="C6945" s="3" t="s">
        <v>11281</v>
      </c>
      <c r="D6945" s="3" t="s">
        <v>15214</v>
      </c>
      <c r="E6945" s="3" t="s">
        <v>15215</v>
      </c>
      <c r="F6945" s="3" t="s">
        <v>15216</v>
      </c>
    </row>
    <row r="6946">
      <c r="A6946" s="3">
        <v>1313.0</v>
      </c>
      <c r="B6946" s="3" t="s">
        <v>11280</v>
      </c>
      <c r="C6946" s="3" t="s">
        <v>11281</v>
      </c>
      <c r="D6946" s="3" t="s">
        <v>15217</v>
      </c>
      <c r="E6946" s="3" t="s">
        <v>15218</v>
      </c>
      <c r="F6946" s="3" t="s">
        <v>1346</v>
      </c>
    </row>
    <row r="6947">
      <c r="A6947" s="3">
        <v>1314.0</v>
      </c>
      <c r="B6947" s="3" t="s">
        <v>11280</v>
      </c>
      <c r="C6947" s="3" t="s">
        <v>11281</v>
      </c>
      <c r="D6947" s="3" t="s">
        <v>15219</v>
      </c>
      <c r="E6947" s="3" t="s">
        <v>15220</v>
      </c>
      <c r="F6947" s="3" t="s">
        <v>13987</v>
      </c>
    </row>
    <row r="6948">
      <c r="A6948" s="3">
        <v>1315.0</v>
      </c>
      <c r="B6948" s="3" t="s">
        <v>11280</v>
      </c>
      <c r="C6948" s="3" t="s">
        <v>11281</v>
      </c>
      <c r="D6948" s="3" t="s">
        <v>15221</v>
      </c>
      <c r="E6948" s="3" t="s">
        <v>15222</v>
      </c>
      <c r="F6948" s="3" t="s">
        <v>13996</v>
      </c>
    </row>
    <row r="6949">
      <c r="A6949" s="3">
        <v>1316.0</v>
      </c>
      <c r="B6949" s="3" t="s">
        <v>11280</v>
      </c>
      <c r="C6949" s="3" t="s">
        <v>11281</v>
      </c>
      <c r="D6949" s="3" t="s">
        <v>15223</v>
      </c>
      <c r="E6949" s="3" t="s">
        <v>15224</v>
      </c>
      <c r="F6949" s="3" t="s">
        <v>14010</v>
      </c>
    </row>
    <row r="6950">
      <c r="A6950" s="3">
        <v>1317.0</v>
      </c>
      <c r="B6950" s="3" t="s">
        <v>11280</v>
      </c>
      <c r="C6950" s="3" t="s">
        <v>11281</v>
      </c>
      <c r="D6950" s="3" t="s">
        <v>15225</v>
      </c>
      <c r="E6950" s="3" t="s">
        <v>15226</v>
      </c>
      <c r="F6950" s="3" t="s">
        <v>14013</v>
      </c>
    </row>
    <row r="6951">
      <c r="A6951" s="3">
        <v>1318.0</v>
      </c>
      <c r="B6951" s="3" t="s">
        <v>11280</v>
      </c>
      <c r="C6951" s="3" t="s">
        <v>11281</v>
      </c>
      <c r="D6951" s="3" t="s">
        <v>15227</v>
      </c>
      <c r="E6951" s="3" t="s">
        <v>15228</v>
      </c>
      <c r="F6951" s="3" t="s">
        <v>14016</v>
      </c>
    </row>
    <row r="6952">
      <c r="A6952" s="3">
        <v>1319.0</v>
      </c>
      <c r="B6952" s="3" t="s">
        <v>11280</v>
      </c>
      <c r="C6952" s="3" t="s">
        <v>11281</v>
      </c>
      <c r="D6952" s="3" t="s">
        <v>15229</v>
      </c>
      <c r="E6952" s="3" t="s">
        <v>15230</v>
      </c>
      <c r="F6952" s="3" t="s">
        <v>1355</v>
      </c>
    </row>
    <row r="6953">
      <c r="A6953" s="3">
        <v>1320.0</v>
      </c>
      <c r="B6953" s="3" t="s">
        <v>11280</v>
      </c>
      <c r="C6953" s="3" t="s">
        <v>11281</v>
      </c>
      <c r="D6953" s="3" t="s">
        <v>15231</v>
      </c>
      <c r="E6953" s="3" t="s">
        <v>15232</v>
      </c>
      <c r="F6953" s="3" t="s">
        <v>5395</v>
      </c>
    </row>
    <row r="6954">
      <c r="A6954" s="3">
        <v>1321.0</v>
      </c>
      <c r="B6954" s="3" t="s">
        <v>11280</v>
      </c>
      <c r="C6954" s="3" t="s">
        <v>11281</v>
      </c>
      <c r="D6954" s="3" t="s">
        <v>15233</v>
      </c>
      <c r="E6954" s="3" t="s">
        <v>15234</v>
      </c>
      <c r="F6954" s="3" t="s">
        <v>5404</v>
      </c>
    </row>
    <row r="6955">
      <c r="A6955" s="3">
        <v>1322.0</v>
      </c>
      <c r="B6955" s="3" t="s">
        <v>11280</v>
      </c>
      <c r="C6955" s="3" t="s">
        <v>11281</v>
      </c>
      <c r="D6955" s="3" t="s">
        <v>15235</v>
      </c>
      <c r="E6955" s="3" t="s">
        <v>15236</v>
      </c>
      <c r="F6955" s="3" t="s">
        <v>15237</v>
      </c>
    </row>
    <row r="6956">
      <c r="A6956" s="3">
        <v>1323.0</v>
      </c>
      <c r="B6956" s="3" t="s">
        <v>11280</v>
      </c>
      <c r="C6956" s="3" t="s">
        <v>11281</v>
      </c>
      <c r="D6956" s="3" t="s">
        <v>15238</v>
      </c>
      <c r="E6956" s="3" t="s">
        <v>15239</v>
      </c>
      <c r="F6956" s="3" t="s">
        <v>15240</v>
      </c>
    </row>
    <row r="6957">
      <c r="A6957" s="3">
        <v>1324.0</v>
      </c>
      <c r="B6957" s="3" t="s">
        <v>11280</v>
      </c>
      <c r="C6957" s="3" t="s">
        <v>11281</v>
      </c>
      <c r="D6957" s="3" t="s">
        <v>15241</v>
      </c>
      <c r="E6957" s="3" t="s">
        <v>15242</v>
      </c>
      <c r="F6957" s="3" t="s">
        <v>5409</v>
      </c>
    </row>
    <row r="6958">
      <c r="A6958" s="3">
        <v>1325.0</v>
      </c>
      <c r="B6958" s="3" t="s">
        <v>11280</v>
      </c>
      <c r="C6958" s="3" t="s">
        <v>11281</v>
      </c>
      <c r="D6958" s="3" t="s">
        <v>15243</v>
      </c>
      <c r="E6958" s="3" t="s">
        <v>14415</v>
      </c>
      <c r="F6958" s="3" t="s">
        <v>8875</v>
      </c>
    </row>
    <row r="6959">
      <c r="A6959" s="3">
        <v>1326.0</v>
      </c>
      <c r="B6959" s="3" t="s">
        <v>11280</v>
      </c>
      <c r="C6959" s="3" t="s">
        <v>11281</v>
      </c>
      <c r="D6959" s="3" t="s">
        <v>15244</v>
      </c>
      <c r="E6959" s="3" t="s">
        <v>14419</v>
      </c>
      <c r="F6959" s="3" t="s">
        <v>14420</v>
      </c>
    </row>
    <row r="6960">
      <c r="A6960" s="3">
        <v>1327.0</v>
      </c>
      <c r="B6960" s="3" t="s">
        <v>11280</v>
      </c>
      <c r="C6960" s="3" t="s">
        <v>11281</v>
      </c>
      <c r="D6960" s="3" t="s">
        <v>15245</v>
      </c>
      <c r="E6960" s="3" t="s">
        <v>15246</v>
      </c>
      <c r="F6960" s="3" t="s">
        <v>15247</v>
      </c>
    </row>
    <row r="6961">
      <c r="A6961" s="3">
        <v>1328.0</v>
      </c>
      <c r="B6961" s="3" t="s">
        <v>11280</v>
      </c>
      <c r="C6961" s="3" t="s">
        <v>11281</v>
      </c>
      <c r="D6961" s="3" t="s">
        <v>15248</v>
      </c>
      <c r="E6961" s="3" t="s">
        <v>15249</v>
      </c>
      <c r="F6961" s="3" t="s">
        <v>14420</v>
      </c>
    </row>
    <row r="6962">
      <c r="A6962" s="3">
        <v>1329.0</v>
      </c>
      <c r="B6962" s="3" t="s">
        <v>11280</v>
      </c>
      <c r="C6962" s="3" t="s">
        <v>11281</v>
      </c>
      <c r="D6962" s="3" t="s">
        <v>15250</v>
      </c>
      <c r="E6962" s="3" t="s">
        <v>15251</v>
      </c>
      <c r="F6962" s="3" t="s">
        <v>15252</v>
      </c>
    </row>
    <row r="6963">
      <c r="A6963" s="3">
        <v>1330.0</v>
      </c>
      <c r="B6963" s="3" t="s">
        <v>11280</v>
      </c>
      <c r="C6963" s="3" t="s">
        <v>11281</v>
      </c>
      <c r="D6963" s="3" t="s">
        <v>15253</v>
      </c>
      <c r="E6963" s="3" t="s">
        <v>15254</v>
      </c>
      <c r="F6963" s="3" t="s">
        <v>15255</v>
      </c>
    </row>
    <row r="6964">
      <c r="A6964" s="3">
        <v>1331.0</v>
      </c>
      <c r="B6964" s="3" t="s">
        <v>11280</v>
      </c>
      <c r="C6964" s="3" t="s">
        <v>11281</v>
      </c>
      <c r="D6964" s="3" t="s">
        <v>15256</v>
      </c>
      <c r="E6964" s="3" t="s">
        <v>14433</v>
      </c>
      <c r="F6964" s="3" t="s">
        <v>11105</v>
      </c>
    </row>
    <row r="6965">
      <c r="A6965" s="3">
        <v>1332.0</v>
      </c>
      <c r="B6965" s="3" t="s">
        <v>11280</v>
      </c>
      <c r="C6965" s="3" t="s">
        <v>11281</v>
      </c>
      <c r="D6965" s="3" t="s">
        <v>15257</v>
      </c>
      <c r="E6965" s="3" t="s">
        <v>14468</v>
      </c>
      <c r="F6965" s="3" t="s">
        <v>14469</v>
      </c>
    </row>
    <row r="6966">
      <c r="A6966" s="3">
        <v>1333.0</v>
      </c>
      <c r="B6966" s="3" t="s">
        <v>11280</v>
      </c>
      <c r="C6966" s="3" t="s">
        <v>11281</v>
      </c>
      <c r="D6966" s="3" t="s">
        <v>15258</v>
      </c>
      <c r="E6966" s="3" t="s">
        <v>15259</v>
      </c>
      <c r="F6966" s="3" t="s">
        <v>15260</v>
      </c>
    </row>
    <row r="6967">
      <c r="A6967" s="3">
        <v>1334.0</v>
      </c>
      <c r="B6967" s="3" t="s">
        <v>11280</v>
      </c>
      <c r="C6967" s="3" t="s">
        <v>11281</v>
      </c>
      <c r="D6967" s="3" t="s">
        <v>15261</v>
      </c>
      <c r="E6967" s="3" t="s">
        <v>15262</v>
      </c>
      <c r="F6967" s="3" t="s">
        <v>5438</v>
      </c>
    </row>
    <row r="6968">
      <c r="A6968" s="3">
        <v>1335.0</v>
      </c>
      <c r="B6968" s="3" t="s">
        <v>11280</v>
      </c>
      <c r="C6968" s="3" t="s">
        <v>11281</v>
      </c>
      <c r="D6968" s="3" t="s">
        <v>15263</v>
      </c>
      <c r="E6968" s="3" t="s">
        <v>15264</v>
      </c>
      <c r="F6968" s="3" t="s">
        <v>15265</v>
      </c>
    </row>
    <row r="6969">
      <c r="A6969" s="3">
        <v>1336.0</v>
      </c>
      <c r="B6969" s="3" t="s">
        <v>11280</v>
      </c>
      <c r="C6969" s="3" t="s">
        <v>11281</v>
      </c>
      <c r="D6969" s="3" t="s">
        <v>15266</v>
      </c>
      <c r="E6969" s="3" t="s">
        <v>15267</v>
      </c>
      <c r="F6969" s="3" t="s">
        <v>15268</v>
      </c>
    </row>
    <row r="6970">
      <c r="A6970" s="3">
        <v>1337.0</v>
      </c>
      <c r="B6970" s="3" t="s">
        <v>11280</v>
      </c>
      <c r="C6970" s="3" t="s">
        <v>11281</v>
      </c>
      <c r="D6970" s="3" t="s">
        <v>15269</v>
      </c>
      <c r="E6970" s="3" t="s">
        <v>15270</v>
      </c>
      <c r="F6970" s="3" t="s">
        <v>8613</v>
      </c>
    </row>
    <row r="6971">
      <c r="A6971" s="3">
        <v>1338.0</v>
      </c>
      <c r="B6971" s="3" t="s">
        <v>11280</v>
      </c>
      <c r="C6971" s="3" t="s">
        <v>11281</v>
      </c>
      <c r="D6971" s="3" t="s">
        <v>15271</v>
      </c>
      <c r="E6971" s="3" t="s">
        <v>15272</v>
      </c>
      <c r="F6971" s="3" t="s">
        <v>15273</v>
      </c>
    </row>
    <row r="6972">
      <c r="A6972" s="3">
        <v>1339.0</v>
      </c>
      <c r="B6972" s="3" t="s">
        <v>11280</v>
      </c>
      <c r="C6972" s="3" t="s">
        <v>11281</v>
      </c>
      <c r="D6972" s="3" t="s">
        <v>15274</v>
      </c>
      <c r="E6972" s="3" t="s">
        <v>15275</v>
      </c>
      <c r="F6972" s="3" t="s">
        <v>15276</v>
      </c>
    </row>
    <row r="6973">
      <c r="A6973" s="3">
        <v>1340.0</v>
      </c>
      <c r="B6973" s="3" t="s">
        <v>11280</v>
      </c>
      <c r="C6973" s="3" t="s">
        <v>11281</v>
      </c>
      <c r="D6973" s="3" t="s">
        <v>15277</v>
      </c>
      <c r="E6973" s="3" t="s">
        <v>15278</v>
      </c>
      <c r="F6973" s="3" t="s">
        <v>5447</v>
      </c>
    </row>
    <row r="6974">
      <c r="A6974" s="3">
        <v>1341.0</v>
      </c>
      <c r="B6974" s="3" t="s">
        <v>11280</v>
      </c>
      <c r="C6974" s="3" t="s">
        <v>11281</v>
      </c>
      <c r="D6974" s="3" t="s">
        <v>15279</v>
      </c>
      <c r="E6974" s="3" t="s">
        <v>15280</v>
      </c>
      <c r="F6974" s="3" t="s">
        <v>14277</v>
      </c>
      <c r="G6974" s="3"/>
      <c r="H6974" s="3" t="s">
        <v>15281</v>
      </c>
      <c r="I6974" s="3" t="s">
        <v>15282</v>
      </c>
      <c r="J6974" s="3" t="s">
        <v>15281</v>
      </c>
      <c r="K6974" s="3" t="s">
        <v>2138</v>
      </c>
      <c r="L6974" s="3" t="s">
        <v>14006</v>
      </c>
      <c r="M6974" s="3" t="s">
        <v>13774</v>
      </c>
      <c r="N6974" s="3" t="s">
        <v>15283</v>
      </c>
      <c r="O6974" s="3" t="s">
        <v>15281</v>
      </c>
      <c r="P6974" s="3" t="s">
        <v>12873</v>
      </c>
      <c r="Q6974" s="3" t="s">
        <v>15281</v>
      </c>
      <c r="R6974" s="3" t="s">
        <v>15282</v>
      </c>
      <c r="S6974" s="3" t="s">
        <v>15284</v>
      </c>
      <c r="T6974" s="3" t="s">
        <v>15285</v>
      </c>
      <c r="U6974" s="3" t="s">
        <v>15281</v>
      </c>
      <c r="V6974" s="3" t="s">
        <v>15281</v>
      </c>
      <c r="W6974" s="3" t="s">
        <v>15281</v>
      </c>
    </row>
    <row r="6975">
      <c r="A6975" s="3">
        <v>1342.0</v>
      </c>
      <c r="B6975" s="3" t="s">
        <v>11280</v>
      </c>
      <c r="C6975" s="3" t="s">
        <v>11281</v>
      </c>
      <c r="D6975" s="3" t="s">
        <v>15286</v>
      </c>
      <c r="E6975" s="3" t="s">
        <v>15287</v>
      </c>
      <c r="F6975" s="3" t="s">
        <v>14280</v>
      </c>
    </row>
    <row r="6976">
      <c r="A6976" s="3">
        <v>1343.0</v>
      </c>
      <c r="B6976" s="3" t="s">
        <v>11280</v>
      </c>
      <c r="C6976" s="3" t="s">
        <v>11281</v>
      </c>
      <c r="D6976" s="3" t="s">
        <v>15288</v>
      </c>
      <c r="E6976" s="3" t="s">
        <v>15289</v>
      </c>
      <c r="F6976" s="3" t="s">
        <v>14283</v>
      </c>
    </row>
    <row r="6977">
      <c r="A6977" s="3">
        <v>1344.0</v>
      </c>
      <c r="B6977" s="3" t="s">
        <v>11280</v>
      </c>
      <c r="C6977" s="3" t="s">
        <v>11281</v>
      </c>
      <c r="D6977" s="3" t="s">
        <v>15290</v>
      </c>
      <c r="E6977" s="3" t="s">
        <v>15291</v>
      </c>
      <c r="F6977" s="3" t="s">
        <v>14286</v>
      </c>
    </row>
    <row r="6978">
      <c r="A6978" s="3">
        <v>1345.0</v>
      </c>
      <c r="B6978" s="3" t="s">
        <v>11280</v>
      </c>
      <c r="C6978" s="3" t="s">
        <v>11281</v>
      </c>
      <c r="D6978" s="3" t="s">
        <v>15292</v>
      </c>
      <c r="E6978" s="3" t="s">
        <v>15293</v>
      </c>
      <c r="F6978" s="3" t="s">
        <v>15294</v>
      </c>
    </row>
    <row r="6979">
      <c r="A6979" s="3">
        <v>1346.0</v>
      </c>
      <c r="B6979" s="3" t="s">
        <v>11280</v>
      </c>
      <c r="C6979" s="3" t="s">
        <v>11281</v>
      </c>
      <c r="D6979" s="3" t="s">
        <v>15295</v>
      </c>
      <c r="E6979" s="3" t="s">
        <v>15296</v>
      </c>
      <c r="F6979" s="3" t="s">
        <v>15297</v>
      </c>
    </row>
    <row r="6980">
      <c r="A6980" s="3">
        <v>1347.0</v>
      </c>
      <c r="B6980" s="3" t="s">
        <v>11280</v>
      </c>
      <c r="C6980" s="3" t="s">
        <v>11281</v>
      </c>
      <c r="D6980" s="3" t="s">
        <v>15298</v>
      </c>
      <c r="E6980" s="3" t="s">
        <v>15299</v>
      </c>
      <c r="F6980" s="3" t="s">
        <v>15300</v>
      </c>
    </row>
    <row r="6981">
      <c r="A6981" s="3">
        <v>1348.0</v>
      </c>
      <c r="B6981" s="3" t="s">
        <v>11280</v>
      </c>
      <c r="C6981" s="3" t="s">
        <v>11281</v>
      </c>
      <c r="D6981" s="3" t="s">
        <v>15301</v>
      </c>
      <c r="E6981" s="3" t="s">
        <v>15302</v>
      </c>
      <c r="F6981" s="3" t="s">
        <v>14374</v>
      </c>
    </row>
    <row r="6982">
      <c r="A6982" s="3">
        <v>1349.0</v>
      </c>
      <c r="B6982" s="3" t="s">
        <v>11280</v>
      </c>
      <c r="C6982" s="3" t="s">
        <v>11281</v>
      </c>
      <c r="D6982" s="3" t="s">
        <v>15303</v>
      </c>
      <c r="E6982" s="3" t="s">
        <v>15304</v>
      </c>
      <c r="F6982" s="3" t="s">
        <v>14383</v>
      </c>
    </row>
    <row r="6983">
      <c r="A6983" s="3">
        <v>1350.0</v>
      </c>
      <c r="B6983" s="3" t="s">
        <v>11280</v>
      </c>
      <c r="C6983" s="3" t="s">
        <v>11281</v>
      </c>
      <c r="D6983" s="3" t="s">
        <v>15305</v>
      </c>
      <c r="E6983" s="3" t="s">
        <v>15306</v>
      </c>
      <c r="F6983" s="3" t="s">
        <v>14386</v>
      </c>
      <c r="G6983" s="3"/>
      <c r="H6983" s="3" t="s">
        <v>15307</v>
      </c>
      <c r="I6983" s="3" t="s">
        <v>3647</v>
      </c>
      <c r="J6983" s="3" t="s">
        <v>15308</v>
      </c>
      <c r="K6983" s="3" t="s">
        <v>15309</v>
      </c>
      <c r="L6983" s="3" t="s">
        <v>15310</v>
      </c>
      <c r="M6983" s="3" t="s">
        <v>15311</v>
      </c>
      <c r="N6983" s="3" t="s">
        <v>15312</v>
      </c>
      <c r="O6983" s="3" t="s">
        <v>15313</v>
      </c>
      <c r="P6983" s="3" t="s">
        <v>15309</v>
      </c>
    </row>
    <row r="6984">
      <c r="A6984" s="3">
        <v>1351.0</v>
      </c>
      <c r="B6984" s="3" t="s">
        <v>11280</v>
      </c>
      <c r="C6984" s="3" t="s">
        <v>11281</v>
      </c>
      <c r="D6984" s="3" t="s">
        <v>15314</v>
      </c>
      <c r="E6984" s="3" t="s">
        <v>15315</v>
      </c>
      <c r="F6984" s="3" t="s">
        <v>14392</v>
      </c>
    </row>
    <row r="6985">
      <c r="A6985" s="3">
        <v>1352.0</v>
      </c>
      <c r="B6985" s="3" t="s">
        <v>11280</v>
      </c>
      <c r="C6985" s="3" t="s">
        <v>11281</v>
      </c>
      <c r="D6985" s="3" t="s">
        <v>15316</v>
      </c>
      <c r="E6985" s="3" t="s">
        <v>15317</v>
      </c>
      <c r="F6985" s="3" t="s">
        <v>14395</v>
      </c>
    </row>
    <row r="6986">
      <c r="A6986" s="3">
        <v>1353.0</v>
      </c>
      <c r="B6986" s="3" t="s">
        <v>11280</v>
      </c>
      <c r="C6986" s="3" t="s">
        <v>11281</v>
      </c>
      <c r="D6986" s="3" t="s">
        <v>15318</v>
      </c>
      <c r="E6986" s="3" t="s">
        <v>15319</v>
      </c>
      <c r="F6986" s="3" t="s">
        <v>14398</v>
      </c>
    </row>
    <row r="6987">
      <c r="A6987" s="3">
        <v>1354.0</v>
      </c>
      <c r="B6987" s="3" t="s">
        <v>11280</v>
      </c>
      <c r="C6987" s="3" t="s">
        <v>11281</v>
      </c>
      <c r="D6987" s="3" t="s">
        <v>15320</v>
      </c>
      <c r="E6987" s="3" t="s">
        <v>15321</v>
      </c>
      <c r="F6987" s="3" t="s">
        <v>14401</v>
      </c>
    </row>
    <row r="6988">
      <c r="A6988" s="3">
        <v>1355.0</v>
      </c>
      <c r="B6988" s="3" t="s">
        <v>11280</v>
      </c>
      <c r="C6988" s="3" t="s">
        <v>11281</v>
      </c>
      <c r="D6988" s="3" t="s">
        <v>15322</v>
      </c>
      <c r="E6988" s="3" t="s">
        <v>15323</v>
      </c>
      <c r="F6988" s="3" t="s">
        <v>15324</v>
      </c>
    </row>
    <row r="6989">
      <c r="A6989" s="3">
        <v>1356.0</v>
      </c>
      <c r="B6989" s="3" t="s">
        <v>11280</v>
      </c>
      <c r="C6989" s="3" t="s">
        <v>11281</v>
      </c>
      <c r="D6989" s="3" t="s">
        <v>15325</v>
      </c>
      <c r="E6989" s="3" t="s">
        <v>15326</v>
      </c>
      <c r="F6989" s="3" t="s">
        <v>2213</v>
      </c>
    </row>
    <row r="6990">
      <c r="A6990" s="3">
        <v>1357.0</v>
      </c>
      <c r="B6990" s="3" t="s">
        <v>11280</v>
      </c>
      <c r="C6990" s="3" t="s">
        <v>11281</v>
      </c>
      <c r="D6990" s="3" t="s">
        <v>15327</v>
      </c>
      <c r="E6990" s="3" t="s">
        <v>15328</v>
      </c>
      <c r="F6990" s="3" t="s">
        <v>2222</v>
      </c>
    </row>
    <row r="6991">
      <c r="A6991" s="3">
        <v>1358.0</v>
      </c>
      <c r="B6991" s="3" t="s">
        <v>11280</v>
      </c>
      <c r="C6991" s="3" t="s">
        <v>11281</v>
      </c>
      <c r="D6991" s="3" t="s">
        <v>5377</v>
      </c>
      <c r="E6991" s="3" t="s">
        <v>5376</v>
      </c>
      <c r="F6991" s="3" t="s">
        <v>5377</v>
      </c>
    </row>
    <row r="6992">
      <c r="A6992" s="3">
        <v>1359.0</v>
      </c>
      <c r="B6992" s="3" t="s">
        <v>11280</v>
      </c>
      <c r="C6992" s="3" t="s">
        <v>11281</v>
      </c>
      <c r="D6992" s="3" t="s">
        <v>1205</v>
      </c>
      <c r="E6992" s="3" t="s">
        <v>1204</v>
      </c>
      <c r="F6992" s="3" t="s">
        <v>1205</v>
      </c>
    </row>
    <row r="6993">
      <c r="A6993" s="3">
        <v>1360.0</v>
      </c>
      <c r="B6993" s="3" t="s">
        <v>11280</v>
      </c>
      <c r="C6993" s="3" t="s">
        <v>11281</v>
      </c>
      <c r="D6993" s="3" t="s">
        <v>127</v>
      </c>
      <c r="E6993" s="3" t="s">
        <v>1048</v>
      </c>
      <c r="F6993" s="3" t="s">
        <v>127</v>
      </c>
    </row>
    <row r="6994">
      <c r="A6994" s="3">
        <v>1361.0</v>
      </c>
      <c r="B6994" s="3" t="s">
        <v>11280</v>
      </c>
      <c r="C6994" s="3" t="s">
        <v>11281</v>
      </c>
      <c r="D6994" s="3" t="s">
        <v>15329</v>
      </c>
      <c r="E6994" s="3" t="s">
        <v>15330</v>
      </c>
      <c r="F6994" s="3" t="s">
        <v>15329</v>
      </c>
    </row>
    <row r="6995">
      <c r="A6995" s="3">
        <v>1362.0</v>
      </c>
      <c r="B6995" s="3" t="s">
        <v>11280</v>
      </c>
      <c r="C6995" s="3" t="s">
        <v>11281</v>
      </c>
      <c r="D6995" s="3" t="s">
        <v>2540</v>
      </c>
      <c r="E6995" s="3" t="s">
        <v>2541</v>
      </c>
      <c r="F6995" s="3" t="s">
        <v>2540</v>
      </c>
      <c r="G6995" s="3"/>
      <c r="H6995" s="3" t="s">
        <v>2540</v>
      </c>
      <c r="I6995" s="3" t="s">
        <v>2544</v>
      </c>
    </row>
    <row r="6996">
      <c r="A6996" s="3">
        <v>1363.0</v>
      </c>
      <c r="B6996" s="3" t="s">
        <v>11280</v>
      </c>
      <c r="C6996" s="3" t="s">
        <v>11281</v>
      </c>
      <c r="D6996" s="3" t="s">
        <v>15331</v>
      </c>
      <c r="E6996" s="3" t="s">
        <v>2763</v>
      </c>
      <c r="F6996" s="3" t="s">
        <v>2764</v>
      </c>
    </row>
    <row r="6997">
      <c r="A6997" s="3">
        <v>1364.0</v>
      </c>
      <c r="B6997" s="3" t="s">
        <v>11280</v>
      </c>
      <c r="C6997" s="3" t="s">
        <v>11281</v>
      </c>
      <c r="D6997" s="3" t="s">
        <v>15332</v>
      </c>
      <c r="E6997" s="3" t="s">
        <v>2772</v>
      </c>
      <c r="F6997" s="3" t="s">
        <v>2773</v>
      </c>
    </row>
    <row r="6998">
      <c r="A6998" s="3">
        <v>1365.0</v>
      </c>
      <c r="B6998" s="3" t="s">
        <v>11280</v>
      </c>
      <c r="C6998" s="3" t="s">
        <v>11281</v>
      </c>
      <c r="D6998" s="3" t="s">
        <v>15333</v>
      </c>
      <c r="E6998" s="3" t="s">
        <v>15334</v>
      </c>
      <c r="F6998" s="3" t="s">
        <v>15335</v>
      </c>
    </row>
    <row r="6999">
      <c r="A6999" s="3">
        <v>1366.0</v>
      </c>
      <c r="B6999" s="3" t="s">
        <v>11280</v>
      </c>
      <c r="C6999" s="3" t="s">
        <v>11281</v>
      </c>
      <c r="D6999" s="3" t="s">
        <v>15336</v>
      </c>
      <c r="E6999" s="3" t="s">
        <v>15337</v>
      </c>
      <c r="F6999" s="3" t="s">
        <v>15338</v>
      </c>
    </row>
    <row r="7000">
      <c r="A7000" s="3">
        <v>1367.0</v>
      </c>
      <c r="B7000" s="3" t="s">
        <v>11280</v>
      </c>
      <c r="C7000" s="3" t="s">
        <v>11281</v>
      </c>
      <c r="D7000" s="3" t="s">
        <v>15339</v>
      </c>
      <c r="E7000" s="3" t="s">
        <v>15340</v>
      </c>
      <c r="F7000" s="3" t="s">
        <v>15341</v>
      </c>
      <c r="G7000" s="3"/>
      <c r="H7000" s="3" t="s">
        <v>15342</v>
      </c>
    </row>
    <row r="7001">
      <c r="A7001" s="3">
        <v>1368.0</v>
      </c>
      <c r="B7001" s="3" t="s">
        <v>11280</v>
      </c>
      <c r="C7001" s="3" t="s">
        <v>11281</v>
      </c>
      <c r="D7001" s="3" t="s">
        <v>9250</v>
      </c>
      <c r="E7001" s="3" t="s">
        <v>15343</v>
      </c>
      <c r="F7001" s="3" t="s">
        <v>15344</v>
      </c>
      <c r="G7001" s="3"/>
      <c r="H7001" s="3" t="s">
        <v>15345</v>
      </c>
      <c r="I7001" s="3" t="s">
        <v>15346</v>
      </c>
      <c r="J7001" s="3" t="s">
        <v>15347</v>
      </c>
      <c r="K7001" s="3" t="s">
        <v>9249</v>
      </c>
      <c r="L7001" s="3" t="s">
        <v>9250</v>
      </c>
      <c r="M7001" s="3" t="s">
        <v>9251</v>
      </c>
      <c r="N7001" s="3" t="s">
        <v>15348</v>
      </c>
    </row>
    <row r="7002">
      <c r="A7002" s="3">
        <v>1369.0</v>
      </c>
      <c r="B7002" s="3" t="s">
        <v>11280</v>
      </c>
      <c r="C7002" s="3" t="s">
        <v>11281</v>
      </c>
      <c r="D7002" s="3" t="s">
        <v>15349</v>
      </c>
      <c r="E7002" s="3" t="s">
        <v>15350</v>
      </c>
      <c r="F7002" s="3" t="s">
        <v>15351</v>
      </c>
    </row>
    <row r="7003">
      <c r="A7003" s="3">
        <v>1370.0</v>
      </c>
      <c r="B7003" s="3" t="s">
        <v>11280</v>
      </c>
      <c r="C7003" s="3" t="s">
        <v>11281</v>
      </c>
      <c r="D7003" s="3" t="s">
        <v>15352</v>
      </c>
      <c r="E7003" s="3" t="s">
        <v>15353</v>
      </c>
      <c r="F7003" s="3" t="s">
        <v>15354</v>
      </c>
    </row>
    <row r="7004">
      <c r="A7004" s="3">
        <v>1371.0</v>
      </c>
      <c r="B7004" s="3" t="s">
        <v>11280</v>
      </c>
      <c r="C7004" s="3" t="s">
        <v>11281</v>
      </c>
      <c r="D7004" s="3" t="s">
        <v>15355</v>
      </c>
      <c r="E7004" s="3" t="s">
        <v>15356</v>
      </c>
      <c r="F7004" s="3" t="s">
        <v>2764</v>
      </c>
      <c r="G7004" s="3"/>
      <c r="H7004" s="3" t="s">
        <v>1382</v>
      </c>
      <c r="I7004" s="3" t="s">
        <v>1383</v>
      </c>
    </row>
    <row r="7005">
      <c r="A7005" s="3">
        <v>1372.0</v>
      </c>
      <c r="B7005" s="3" t="s">
        <v>11280</v>
      </c>
      <c r="C7005" s="3" t="s">
        <v>11281</v>
      </c>
      <c r="D7005" s="3" t="s">
        <v>15357</v>
      </c>
      <c r="E7005" s="3" t="s">
        <v>15358</v>
      </c>
      <c r="F7005" s="3" t="s">
        <v>2773</v>
      </c>
    </row>
    <row r="7006">
      <c r="A7006" s="3">
        <v>1373.0</v>
      </c>
      <c r="B7006" s="3" t="s">
        <v>11280</v>
      </c>
      <c r="C7006" s="3" t="s">
        <v>11281</v>
      </c>
      <c r="D7006" s="3" t="s">
        <v>7167</v>
      </c>
      <c r="E7006" s="3" t="s">
        <v>7168</v>
      </c>
      <c r="F7006" s="3" t="s">
        <v>7167</v>
      </c>
      <c r="G7006" s="3"/>
      <c r="H7006" s="3" t="s">
        <v>7170</v>
      </c>
      <c r="I7006" s="3" t="s">
        <v>7171</v>
      </c>
      <c r="J7006" s="3" t="s">
        <v>7167</v>
      </c>
    </row>
    <row r="7007">
      <c r="A7007" s="3">
        <v>1374.0</v>
      </c>
      <c r="B7007" s="3" t="s">
        <v>11280</v>
      </c>
      <c r="C7007" s="3" t="s">
        <v>11281</v>
      </c>
      <c r="D7007" s="3" t="s">
        <v>15359</v>
      </c>
      <c r="E7007" s="3" t="s">
        <v>15360</v>
      </c>
      <c r="F7007" s="3" t="s">
        <v>15359</v>
      </c>
    </row>
    <row r="7008">
      <c r="A7008" s="3">
        <v>1375.0</v>
      </c>
      <c r="B7008" s="3" t="s">
        <v>11280</v>
      </c>
      <c r="C7008" s="3" t="s">
        <v>11281</v>
      </c>
      <c r="D7008" s="3" t="s">
        <v>7172</v>
      </c>
      <c r="E7008" s="3" t="s">
        <v>15361</v>
      </c>
      <c r="F7008" s="3" t="s">
        <v>7172</v>
      </c>
    </row>
    <row r="7009">
      <c r="A7009" s="3">
        <v>1376.0</v>
      </c>
      <c r="B7009" s="3" t="s">
        <v>11280</v>
      </c>
      <c r="C7009" s="3" t="s">
        <v>11281</v>
      </c>
      <c r="D7009" s="3" t="s">
        <v>2695</v>
      </c>
      <c r="E7009" s="3" t="s">
        <v>7173</v>
      </c>
      <c r="F7009" s="3" t="s">
        <v>2695</v>
      </c>
    </row>
    <row r="7010">
      <c r="A7010" s="3">
        <v>1377.0</v>
      </c>
      <c r="B7010" s="3" t="s">
        <v>11280</v>
      </c>
      <c r="C7010" s="3" t="s">
        <v>11281</v>
      </c>
      <c r="D7010" s="3" t="s">
        <v>15362</v>
      </c>
      <c r="E7010" s="3" t="s">
        <v>15363</v>
      </c>
      <c r="F7010" s="3" t="s">
        <v>15362</v>
      </c>
    </row>
    <row r="7011">
      <c r="A7011" s="3">
        <v>1378.0</v>
      </c>
      <c r="B7011" s="3" t="s">
        <v>11280</v>
      </c>
      <c r="C7011" s="3" t="s">
        <v>11281</v>
      </c>
      <c r="D7011" s="3" t="s">
        <v>15364</v>
      </c>
      <c r="E7011" s="3" t="s">
        <v>15365</v>
      </c>
      <c r="F7011" s="3" t="s">
        <v>15364</v>
      </c>
    </row>
    <row r="7012">
      <c r="A7012" s="3">
        <v>1379.0</v>
      </c>
      <c r="B7012" s="3" t="s">
        <v>11280</v>
      </c>
      <c r="C7012" s="3" t="s">
        <v>11281</v>
      </c>
      <c r="D7012" s="3" t="s">
        <v>15366</v>
      </c>
      <c r="E7012" s="3" t="s">
        <v>15367</v>
      </c>
      <c r="F7012" s="3" t="s">
        <v>15366</v>
      </c>
    </row>
    <row r="7013">
      <c r="A7013" s="3">
        <v>1380.0</v>
      </c>
      <c r="B7013" s="3" t="s">
        <v>11280</v>
      </c>
      <c r="C7013" s="3" t="s">
        <v>11281</v>
      </c>
      <c r="D7013" s="3" t="s">
        <v>15368</v>
      </c>
      <c r="E7013" s="3" t="s">
        <v>15369</v>
      </c>
      <c r="F7013" s="3" t="s">
        <v>15368</v>
      </c>
    </row>
    <row r="7014">
      <c r="A7014" s="3">
        <v>1381.0</v>
      </c>
      <c r="B7014" s="3" t="s">
        <v>11280</v>
      </c>
      <c r="C7014" s="3" t="s">
        <v>11281</v>
      </c>
      <c r="D7014" s="3" t="s">
        <v>15370</v>
      </c>
      <c r="E7014" s="3" t="s">
        <v>15371</v>
      </c>
      <c r="F7014" s="3" t="s">
        <v>15370</v>
      </c>
    </row>
    <row r="7015">
      <c r="A7015" s="3">
        <v>1382.0</v>
      </c>
      <c r="B7015" s="3" t="s">
        <v>11280</v>
      </c>
      <c r="C7015" s="3" t="s">
        <v>11281</v>
      </c>
      <c r="D7015" s="3" t="s">
        <v>2713</v>
      </c>
      <c r="E7015" s="3" t="s">
        <v>7175</v>
      </c>
      <c r="F7015" s="3" t="s">
        <v>2713</v>
      </c>
    </row>
    <row r="7016">
      <c r="A7016" s="3">
        <v>1383.0</v>
      </c>
      <c r="B7016" s="3" t="s">
        <v>11280</v>
      </c>
      <c r="C7016" s="3" t="s">
        <v>11281</v>
      </c>
      <c r="D7016" s="3" t="s">
        <v>15372</v>
      </c>
      <c r="E7016" s="3" t="s">
        <v>15373</v>
      </c>
      <c r="F7016" s="3" t="s">
        <v>15372</v>
      </c>
    </row>
    <row r="7017">
      <c r="A7017" s="3">
        <v>1384.0</v>
      </c>
      <c r="B7017" s="3" t="s">
        <v>11280</v>
      </c>
      <c r="C7017" s="3" t="s">
        <v>11281</v>
      </c>
      <c r="D7017" s="3" t="s">
        <v>15374</v>
      </c>
      <c r="E7017" s="3" t="s">
        <v>15375</v>
      </c>
      <c r="F7017" s="3" t="s">
        <v>15374</v>
      </c>
    </row>
    <row r="7018">
      <c r="A7018" s="3">
        <v>1385.0</v>
      </c>
      <c r="B7018" s="3" t="s">
        <v>11280</v>
      </c>
      <c r="C7018" s="3" t="s">
        <v>11281</v>
      </c>
      <c r="D7018" s="3" t="s">
        <v>2644</v>
      </c>
      <c r="E7018" s="3" t="s">
        <v>2643</v>
      </c>
      <c r="F7018" s="3" t="s">
        <v>2644</v>
      </c>
      <c r="G7018" s="3"/>
      <c r="H7018" s="3" t="s">
        <v>2660</v>
      </c>
      <c r="I7018" s="3" t="s">
        <v>2661</v>
      </c>
      <c r="J7018" s="3" t="s">
        <v>2660</v>
      </c>
      <c r="K7018" s="3" t="s">
        <v>2662</v>
      </c>
      <c r="L7018" s="3" t="s">
        <v>2663</v>
      </c>
      <c r="M7018" s="3" t="s">
        <v>2660</v>
      </c>
    </row>
    <row r="7019">
      <c r="A7019" s="3">
        <v>1386.0</v>
      </c>
      <c r="B7019" s="3" t="s">
        <v>11280</v>
      </c>
      <c r="C7019" s="3" t="s">
        <v>11281</v>
      </c>
      <c r="D7019" s="3" t="s">
        <v>15376</v>
      </c>
      <c r="E7019" s="3" t="s">
        <v>15377</v>
      </c>
      <c r="F7019" s="3" t="s">
        <v>15376</v>
      </c>
    </row>
    <row r="7020">
      <c r="A7020" s="3">
        <v>1387.0</v>
      </c>
      <c r="B7020" s="3" t="s">
        <v>11280</v>
      </c>
      <c r="C7020" s="3" t="s">
        <v>11281</v>
      </c>
      <c r="D7020" s="3" t="s">
        <v>2653</v>
      </c>
      <c r="E7020" s="3" t="s">
        <v>2652</v>
      </c>
      <c r="F7020" s="3" t="s">
        <v>2653</v>
      </c>
    </row>
    <row r="7021">
      <c r="A7021" s="3">
        <v>1388.0</v>
      </c>
      <c r="B7021" s="3" t="s">
        <v>11280</v>
      </c>
      <c r="C7021" s="3" t="s">
        <v>11281</v>
      </c>
      <c r="D7021" s="3" t="s">
        <v>15378</v>
      </c>
      <c r="E7021" s="3" t="s">
        <v>15379</v>
      </c>
      <c r="F7021" s="3" t="s">
        <v>15378</v>
      </c>
    </row>
    <row r="7022">
      <c r="A7022" s="3">
        <v>1389.0</v>
      </c>
      <c r="B7022" s="3" t="s">
        <v>11280</v>
      </c>
      <c r="C7022" s="3" t="s">
        <v>11281</v>
      </c>
      <c r="D7022" s="3" t="s">
        <v>15380</v>
      </c>
      <c r="E7022" s="3" t="s">
        <v>15381</v>
      </c>
      <c r="F7022" s="3" t="s">
        <v>15380</v>
      </c>
    </row>
    <row r="7023">
      <c r="A7023" s="3">
        <v>1390.0</v>
      </c>
      <c r="B7023" s="3" t="s">
        <v>11280</v>
      </c>
      <c r="C7023" s="3" t="s">
        <v>11281</v>
      </c>
      <c r="D7023" s="3" t="s">
        <v>15382</v>
      </c>
      <c r="E7023" s="3" t="s">
        <v>15383</v>
      </c>
      <c r="F7023" s="3" t="s">
        <v>15382</v>
      </c>
    </row>
    <row r="7024">
      <c r="A7024" s="3">
        <v>1391.0</v>
      </c>
      <c r="B7024" s="3" t="s">
        <v>11280</v>
      </c>
      <c r="C7024" s="3" t="s">
        <v>11281</v>
      </c>
      <c r="D7024" s="3" t="s">
        <v>15384</v>
      </c>
      <c r="E7024" s="3" t="s">
        <v>15385</v>
      </c>
      <c r="F7024" s="3" t="s">
        <v>15384</v>
      </c>
    </row>
    <row r="7025">
      <c r="A7025" s="3">
        <v>1392.0</v>
      </c>
      <c r="B7025" s="3" t="s">
        <v>11280</v>
      </c>
      <c r="C7025" s="3" t="s">
        <v>11281</v>
      </c>
      <c r="D7025" s="3" t="s">
        <v>15386</v>
      </c>
      <c r="E7025" s="3" t="s">
        <v>15387</v>
      </c>
      <c r="F7025" s="3" t="s">
        <v>15386</v>
      </c>
    </row>
    <row r="7026">
      <c r="A7026" s="3">
        <v>1393.0</v>
      </c>
      <c r="B7026" s="3" t="s">
        <v>11280</v>
      </c>
      <c r="C7026" s="3" t="s">
        <v>11281</v>
      </c>
      <c r="D7026" s="3" t="s">
        <v>15388</v>
      </c>
      <c r="E7026" s="3" t="s">
        <v>15389</v>
      </c>
      <c r="F7026" s="3" t="s">
        <v>15388</v>
      </c>
    </row>
    <row r="7027">
      <c r="A7027" s="3">
        <v>1394.0</v>
      </c>
      <c r="B7027" s="3" t="s">
        <v>11280</v>
      </c>
      <c r="C7027" s="3" t="s">
        <v>11281</v>
      </c>
      <c r="D7027" s="3" t="s">
        <v>15390</v>
      </c>
      <c r="E7027" s="3" t="s">
        <v>15391</v>
      </c>
      <c r="F7027" s="3" t="s">
        <v>15390</v>
      </c>
    </row>
    <row r="7028">
      <c r="A7028" s="3">
        <v>1395.0</v>
      </c>
      <c r="B7028" s="3" t="s">
        <v>11280</v>
      </c>
      <c r="C7028" s="3" t="s">
        <v>11281</v>
      </c>
      <c r="D7028" s="3" t="s">
        <v>15392</v>
      </c>
      <c r="E7028" s="3" t="s">
        <v>15393</v>
      </c>
      <c r="F7028" s="3" t="s">
        <v>15392</v>
      </c>
    </row>
    <row r="7029">
      <c r="A7029" s="3">
        <v>1396.0</v>
      </c>
      <c r="B7029" s="3" t="s">
        <v>11280</v>
      </c>
      <c r="C7029" s="3" t="s">
        <v>11281</v>
      </c>
      <c r="D7029" s="3" t="s">
        <v>15394</v>
      </c>
      <c r="E7029" s="3" t="s">
        <v>15395</v>
      </c>
      <c r="F7029" s="3" t="s">
        <v>15394</v>
      </c>
    </row>
    <row r="7030">
      <c r="A7030" s="3">
        <v>1397.0</v>
      </c>
      <c r="B7030" s="3" t="s">
        <v>11280</v>
      </c>
      <c r="C7030" s="3" t="s">
        <v>11281</v>
      </c>
      <c r="D7030" s="3" t="s">
        <v>2723</v>
      </c>
      <c r="E7030" s="3" t="s">
        <v>2722</v>
      </c>
      <c r="F7030" s="3" t="s">
        <v>2723</v>
      </c>
    </row>
    <row r="7031">
      <c r="A7031" s="3">
        <v>1398.0</v>
      </c>
      <c r="B7031" s="3" t="s">
        <v>11280</v>
      </c>
      <c r="C7031" s="3" t="s">
        <v>11281</v>
      </c>
      <c r="D7031" s="3" t="s">
        <v>2732</v>
      </c>
      <c r="E7031" s="3" t="s">
        <v>2731</v>
      </c>
      <c r="F7031" s="3" t="s">
        <v>2732</v>
      </c>
    </row>
    <row r="7032">
      <c r="A7032" s="3">
        <v>1399.0</v>
      </c>
      <c r="B7032" s="3" t="s">
        <v>11280</v>
      </c>
      <c r="C7032" s="3" t="s">
        <v>11281</v>
      </c>
      <c r="D7032" s="3" t="s">
        <v>15396</v>
      </c>
      <c r="E7032" s="3" t="s">
        <v>15397</v>
      </c>
      <c r="F7032" s="3" t="s">
        <v>15396</v>
      </c>
    </row>
    <row r="7033">
      <c r="A7033" s="3">
        <v>1400.0</v>
      </c>
      <c r="B7033" s="3" t="s">
        <v>11280</v>
      </c>
      <c r="C7033" s="3" t="s">
        <v>11281</v>
      </c>
      <c r="D7033" s="3" t="s">
        <v>15398</v>
      </c>
      <c r="E7033" s="3" t="s">
        <v>15399</v>
      </c>
      <c r="F7033" s="3" t="s">
        <v>15398</v>
      </c>
    </row>
    <row r="7034">
      <c r="A7034" s="3">
        <v>1401.0</v>
      </c>
      <c r="B7034" s="3" t="s">
        <v>11280</v>
      </c>
      <c r="C7034" s="3" t="s">
        <v>11281</v>
      </c>
      <c r="D7034" s="3" t="s">
        <v>15400</v>
      </c>
      <c r="E7034" s="3" t="s">
        <v>15401</v>
      </c>
      <c r="F7034" s="3" t="s">
        <v>15400</v>
      </c>
    </row>
    <row r="7035">
      <c r="A7035" s="3">
        <v>1402.0</v>
      </c>
      <c r="B7035" s="3" t="s">
        <v>11280</v>
      </c>
      <c r="C7035" s="3" t="s">
        <v>11281</v>
      </c>
      <c r="D7035" s="3" t="s">
        <v>15402</v>
      </c>
      <c r="E7035" s="3" t="s">
        <v>15403</v>
      </c>
      <c r="F7035" s="3" t="s">
        <v>15402</v>
      </c>
    </row>
    <row r="7036">
      <c r="A7036" s="3">
        <v>1403.0</v>
      </c>
      <c r="B7036" s="3" t="s">
        <v>11280</v>
      </c>
      <c r="C7036" s="3" t="s">
        <v>11281</v>
      </c>
      <c r="D7036" s="3" t="s">
        <v>15404</v>
      </c>
      <c r="E7036" s="3" t="s">
        <v>15405</v>
      </c>
      <c r="F7036" s="3" t="s">
        <v>15406</v>
      </c>
    </row>
    <row r="7037">
      <c r="A7037" s="3">
        <v>1404.0</v>
      </c>
      <c r="B7037" s="3" t="s">
        <v>11280</v>
      </c>
      <c r="C7037" s="3" t="s">
        <v>11281</v>
      </c>
      <c r="D7037" s="3" t="s">
        <v>15407</v>
      </c>
      <c r="E7037" s="3" t="s">
        <v>15408</v>
      </c>
      <c r="F7037" s="3" t="s">
        <v>15409</v>
      </c>
    </row>
    <row r="7038">
      <c r="A7038" s="3">
        <v>1405.0</v>
      </c>
      <c r="B7038" s="3" t="s">
        <v>11280</v>
      </c>
      <c r="C7038" s="3" t="s">
        <v>11281</v>
      </c>
      <c r="D7038" s="3" t="s">
        <v>15410</v>
      </c>
      <c r="E7038" s="3" t="s">
        <v>15411</v>
      </c>
      <c r="F7038" s="3" t="s">
        <v>15412</v>
      </c>
    </row>
    <row r="7039">
      <c r="A7039" s="3">
        <v>1406.0</v>
      </c>
      <c r="B7039" s="3" t="s">
        <v>11280</v>
      </c>
      <c r="C7039" s="3" t="s">
        <v>11281</v>
      </c>
      <c r="D7039" s="3" t="s">
        <v>15413</v>
      </c>
      <c r="E7039" s="3" t="s">
        <v>15414</v>
      </c>
      <c r="F7039" s="3" t="s">
        <v>15415</v>
      </c>
    </row>
    <row r="7040">
      <c r="A7040" s="3">
        <v>1407.0</v>
      </c>
      <c r="B7040" s="3" t="s">
        <v>11280</v>
      </c>
      <c r="C7040" s="3" t="s">
        <v>11281</v>
      </c>
      <c r="D7040" s="3" t="s">
        <v>15416</v>
      </c>
      <c r="E7040" s="3" t="s">
        <v>15417</v>
      </c>
      <c r="F7040" s="3" t="s">
        <v>15418</v>
      </c>
    </row>
    <row r="7041">
      <c r="A7041" s="3">
        <v>1408.0</v>
      </c>
      <c r="B7041" s="3" t="s">
        <v>11280</v>
      </c>
      <c r="C7041" s="3" t="s">
        <v>11281</v>
      </c>
      <c r="D7041" s="3" t="s">
        <v>15419</v>
      </c>
      <c r="E7041" s="3" t="s">
        <v>15420</v>
      </c>
      <c r="F7041" s="3" t="s">
        <v>15421</v>
      </c>
    </row>
    <row r="7042">
      <c r="A7042" s="3">
        <v>1409.0</v>
      </c>
      <c r="B7042" s="3" t="s">
        <v>11280</v>
      </c>
      <c r="C7042" s="3" t="s">
        <v>11281</v>
      </c>
      <c r="D7042" s="3" t="s">
        <v>15422</v>
      </c>
      <c r="E7042" s="3" t="s">
        <v>15423</v>
      </c>
      <c r="F7042" s="3" t="s">
        <v>15424</v>
      </c>
    </row>
    <row r="7043">
      <c r="A7043" s="3">
        <v>1410.0</v>
      </c>
      <c r="B7043" s="3" t="s">
        <v>11280</v>
      </c>
      <c r="C7043" s="3" t="s">
        <v>11281</v>
      </c>
      <c r="D7043" s="3" t="s">
        <v>15425</v>
      </c>
      <c r="E7043" s="3" t="s">
        <v>15426</v>
      </c>
      <c r="F7043" s="3" t="s">
        <v>15425</v>
      </c>
    </row>
    <row r="7044">
      <c r="A7044" s="3">
        <v>1411.0</v>
      </c>
      <c r="B7044" s="3" t="s">
        <v>11280</v>
      </c>
      <c r="C7044" s="3" t="s">
        <v>11281</v>
      </c>
      <c r="D7044" s="3" t="s">
        <v>15427</v>
      </c>
      <c r="E7044" s="3" t="s">
        <v>15428</v>
      </c>
      <c r="F7044" s="3" t="s">
        <v>15429</v>
      </c>
    </row>
    <row r="7045">
      <c r="A7045" s="3">
        <v>1412.0</v>
      </c>
      <c r="B7045" s="3" t="s">
        <v>11280</v>
      </c>
      <c r="C7045" s="3" t="s">
        <v>11281</v>
      </c>
      <c r="D7045" s="3" t="s">
        <v>15430</v>
      </c>
      <c r="E7045" s="3" t="s">
        <v>15431</v>
      </c>
      <c r="F7045" s="3" t="s">
        <v>15432</v>
      </c>
    </row>
    <row r="7046">
      <c r="A7046" s="3">
        <v>1413.0</v>
      </c>
      <c r="B7046" s="3" t="s">
        <v>11280</v>
      </c>
      <c r="C7046" s="3" t="s">
        <v>11281</v>
      </c>
      <c r="D7046" s="3" t="s">
        <v>2578</v>
      </c>
      <c r="E7046" s="3" t="s">
        <v>2577</v>
      </c>
      <c r="F7046" s="3" t="s">
        <v>2578</v>
      </c>
    </row>
    <row r="7047">
      <c r="A7047" s="3">
        <v>1414.0</v>
      </c>
      <c r="B7047" s="3" t="s">
        <v>11280</v>
      </c>
      <c r="C7047" s="3" t="s">
        <v>11281</v>
      </c>
      <c r="D7047" s="3" t="s">
        <v>2562</v>
      </c>
      <c r="E7047" s="3" t="s">
        <v>2561</v>
      </c>
      <c r="F7047" s="3" t="s">
        <v>2562</v>
      </c>
    </row>
    <row r="7048">
      <c r="A7048" s="3">
        <v>1415.0</v>
      </c>
      <c r="B7048" s="3" t="s">
        <v>11280</v>
      </c>
      <c r="C7048" s="3" t="s">
        <v>11281</v>
      </c>
      <c r="D7048" s="3" t="s">
        <v>15433</v>
      </c>
      <c r="E7048" s="3" t="s">
        <v>15434</v>
      </c>
      <c r="F7048" s="3" t="s">
        <v>15433</v>
      </c>
      <c r="G7048" s="3"/>
      <c r="H7048" s="3" t="s">
        <v>15435</v>
      </c>
      <c r="I7048" s="3" t="s">
        <v>15436</v>
      </c>
    </row>
    <row r="7049">
      <c r="A7049" s="3">
        <v>1416.0</v>
      </c>
      <c r="B7049" s="3" t="s">
        <v>11280</v>
      </c>
      <c r="C7049" s="3" t="s">
        <v>11281</v>
      </c>
      <c r="D7049" s="3" t="s">
        <v>15437</v>
      </c>
      <c r="E7049" s="3" t="s">
        <v>15438</v>
      </c>
      <c r="F7049" s="3" t="s">
        <v>15437</v>
      </c>
    </row>
    <row r="7050">
      <c r="A7050" s="3">
        <v>1417.0</v>
      </c>
      <c r="B7050" s="3" t="s">
        <v>11280</v>
      </c>
      <c r="C7050" s="3" t="s">
        <v>11281</v>
      </c>
      <c r="D7050" s="3" t="s">
        <v>2571</v>
      </c>
      <c r="E7050" s="3" t="s">
        <v>2570</v>
      </c>
      <c r="F7050" s="3" t="s">
        <v>2571</v>
      </c>
    </row>
    <row r="7051">
      <c r="A7051" s="3">
        <v>1418.0</v>
      </c>
      <c r="B7051" s="3" t="s">
        <v>11280</v>
      </c>
      <c r="C7051" s="3" t="s">
        <v>11281</v>
      </c>
      <c r="D7051" s="3" t="s">
        <v>2799</v>
      </c>
      <c r="E7051" s="3" t="s">
        <v>2798</v>
      </c>
      <c r="F7051" s="3" t="s">
        <v>2799</v>
      </c>
      <c r="G7051" s="3"/>
      <c r="H7051" s="3" t="s">
        <v>13573</v>
      </c>
      <c r="I7051" s="3" t="s">
        <v>15439</v>
      </c>
      <c r="J7051" s="3" t="s">
        <v>15440</v>
      </c>
      <c r="K7051" s="3" t="s">
        <v>15441</v>
      </c>
      <c r="L7051" s="3" t="s">
        <v>13036</v>
      </c>
      <c r="M7051" s="3" t="s">
        <v>3335</v>
      </c>
      <c r="N7051" s="3" t="s">
        <v>3336</v>
      </c>
      <c r="O7051" s="3" t="s">
        <v>3337</v>
      </c>
      <c r="P7051" s="3" t="s">
        <v>3338</v>
      </c>
      <c r="Q7051" s="3" t="s">
        <v>15442</v>
      </c>
    </row>
    <row r="7052">
      <c r="A7052" s="3">
        <v>1419.0</v>
      </c>
      <c r="B7052" s="3" t="s">
        <v>11280</v>
      </c>
      <c r="C7052" s="3" t="s">
        <v>11281</v>
      </c>
      <c r="D7052" s="3" t="s">
        <v>15443</v>
      </c>
      <c r="E7052" s="3" t="s">
        <v>15444</v>
      </c>
      <c r="F7052" s="3" t="s">
        <v>15443</v>
      </c>
    </row>
    <row r="7053">
      <c r="A7053" s="3">
        <v>1420.0</v>
      </c>
      <c r="B7053" s="3" t="s">
        <v>11280</v>
      </c>
      <c r="C7053" s="3" t="s">
        <v>11281</v>
      </c>
      <c r="D7053" s="3" t="s">
        <v>2808</v>
      </c>
      <c r="E7053" s="3" t="s">
        <v>2807</v>
      </c>
      <c r="F7053" s="3" t="s">
        <v>2808</v>
      </c>
    </row>
    <row r="7054">
      <c r="A7054" s="3">
        <v>1421.0</v>
      </c>
      <c r="B7054" s="3" t="s">
        <v>11280</v>
      </c>
      <c r="C7054" s="3" t="s">
        <v>11281</v>
      </c>
      <c r="D7054" s="3" t="s">
        <v>15445</v>
      </c>
      <c r="E7054" s="3" t="s">
        <v>2807</v>
      </c>
      <c r="F7054" s="3" t="s">
        <v>2808</v>
      </c>
    </row>
    <row r="7055">
      <c r="A7055" s="3">
        <v>1422.0</v>
      </c>
      <c r="B7055" s="3" t="s">
        <v>11280</v>
      </c>
      <c r="C7055" s="3" t="s">
        <v>11281</v>
      </c>
      <c r="D7055" s="3" t="s">
        <v>15446</v>
      </c>
      <c r="E7055" s="3" t="s">
        <v>15447</v>
      </c>
      <c r="F7055" s="3" t="s">
        <v>15446</v>
      </c>
    </row>
    <row r="7056">
      <c r="A7056" s="3">
        <v>1423.0</v>
      </c>
      <c r="B7056" s="3" t="s">
        <v>11280</v>
      </c>
      <c r="C7056" s="3" t="s">
        <v>11281</v>
      </c>
      <c r="D7056" s="3" t="s">
        <v>15448</v>
      </c>
      <c r="E7056" s="3" t="s">
        <v>15449</v>
      </c>
      <c r="F7056" s="3" t="s">
        <v>15448</v>
      </c>
    </row>
    <row r="7057">
      <c r="A7057" s="3">
        <v>1424.0</v>
      </c>
      <c r="B7057" s="3" t="s">
        <v>11280</v>
      </c>
      <c r="C7057" s="3" t="s">
        <v>11281</v>
      </c>
      <c r="D7057" s="3" t="s">
        <v>15450</v>
      </c>
      <c r="E7057" s="3" t="s">
        <v>15451</v>
      </c>
      <c r="F7057" s="3" t="s">
        <v>15450</v>
      </c>
    </row>
    <row r="7058">
      <c r="A7058" s="3">
        <v>1425.0</v>
      </c>
      <c r="B7058" s="3" t="s">
        <v>11280</v>
      </c>
      <c r="C7058" s="3" t="s">
        <v>11281</v>
      </c>
      <c r="D7058" s="3" t="s">
        <v>15452</v>
      </c>
      <c r="E7058" s="3" t="s">
        <v>15453</v>
      </c>
      <c r="F7058" s="3" t="s">
        <v>15452</v>
      </c>
    </row>
    <row r="7059">
      <c r="A7059" s="3">
        <v>1426.0</v>
      </c>
      <c r="B7059" s="3" t="s">
        <v>11280</v>
      </c>
      <c r="C7059" s="3" t="s">
        <v>11281</v>
      </c>
      <c r="D7059" s="3" t="s">
        <v>15454</v>
      </c>
      <c r="E7059" s="3" t="s">
        <v>15455</v>
      </c>
      <c r="F7059" s="3" t="s">
        <v>15454</v>
      </c>
    </row>
    <row r="7060">
      <c r="A7060" s="3">
        <v>1427.0</v>
      </c>
      <c r="B7060" s="3" t="s">
        <v>11280</v>
      </c>
      <c r="C7060" s="3" t="s">
        <v>11281</v>
      </c>
      <c r="D7060" s="3" t="s">
        <v>15456</v>
      </c>
      <c r="E7060" s="3" t="s">
        <v>15457</v>
      </c>
      <c r="F7060" s="3" t="s">
        <v>15456</v>
      </c>
    </row>
    <row r="7061">
      <c r="A7061" s="3">
        <v>1428.0</v>
      </c>
      <c r="B7061" s="3" t="s">
        <v>11280</v>
      </c>
      <c r="C7061" s="3" t="s">
        <v>11281</v>
      </c>
      <c r="D7061" s="3" t="s">
        <v>15458</v>
      </c>
      <c r="E7061" s="3" t="s">
        <v>15459</v>
      </c>
      <c r="F7061" s="3" t="s">
        <v>15458</v>
      </c>
    </row>
    <row r="7062">
      <c r="A7062" s="3">
        <v>1429.0</v>
      </c>
      <c r="B7062" s="3" t="s">
        <v>11280</v>
      </c>
      <c r="C7062" s="3" t="s">
        <v>11281</v>
      </c>
      <c r="D7062" s="3" t="s">
        <v>15460</v>
      </c>
      <c r="E7062" s="3" t="s">
        <v>15461</v>
      </c>
      <c r="F7062" s="3" t="s">
        <v>15462</v>
      </c>
    </row>
    <row r="7063">
      <c r="A7063" s="3">
        <v>1430.0</v>
      </c>
      <c r="B7063" s="3" t="s">
        <v>11280</v>
      </c>
      <c r="C7063" s="3" t="s">
        <v>11281</v>
      </c>
      <c r="D7063" s="3" t="s">
        <v>15463</v>
      </c>
      <c r="E7063" s="3" t="s">
        <v>15464</v>
      </c>
      <c r="F7063" s="3" t="s">
        <v>15465</v>
      </c>
    </row>
    <row r="7064">
      <c r="A7064" s="3">
        <v>1431.0</v>
      </c>
      <c r="B7064" s="3" t="s">
        <v>11280</v>
      </c>
      <c r="C7064" s="3" t="s">
        <v>11281</v>
      </c>
      <c r="D7064" s="3" t="s">
        <v>15466</v>
      </c>
      <c r="E7064" s="3" t="s">
        <v>15467</v>
      </c>
      <c r="F7064" s="3" t="s">
        <v>15468</v>
      </c>
      <c r="G7064" s="3"/>
      <c r="H7064" s="3" t="s">
        <v>15469</v>
      </c>
      <c r="I7064" s="3" t="s">
        <v>15470</v>
      </c>
      <c r="J7064" s="3" t="s">
        <v>15471</v>
      </c>
      <c r="K7064" s="3" t="s">
        <v>15469</v>
      </c>
      <c r="L7064" s="3" t="s">
        <v>15472</v>
      </c>
    </row>
    <row r="7065">
      <c r="A7065" s="3">
        <v>1432.0</v>
      </c>
      <c r="B7065" s="3" t="s">
        <v>11280</v>
      </c>
      <c r="C7065" s="3" t="s">
        <v>11281</v>
      </c>
      <c r="D7065" s="3" t="s">
        <v>15473</v>
      </c>
      <c r="E7065" s="3" t="s">
        <v>15474</v>
      </c>
      <c r="F7065" s="3" t="s">
        <v>15475</v>
      </c>
    </row>
    <row r="7066">
      <c r="A7066" s="3">
        <v>1433.0</v>
      </c>
      <c r="B7066" s="3" t="s">
        <v>11280</v>
      </c>
      <c r="C7066" s="3" t="s">
        <v>11281</v>
      </c>
      <c r="D7066" s="3" t="s">
        <v>15476</v>
      </c>
      <c r="E7066" s="3" t="s">
        <v>15477</v>
      </c>
      <c r="F7066" s="3" t="s">
        <v>15478</v>
      </c>
    </row>
    <row r="7067">
      <c r="A7067" s="3">
        <v>1434.0</v>
      </c>
      <c r="B7067" s="3" t="s">
        <v>11280</v>
      </c>
      <c r="C7067" s="3" t="s">
        <v>11281</v>
      </c>
      <c r="D7067" s="3" t="s">
        <v>15479</v>
      </c>
      <c r="E7067" s="3" t="s">
        <v>15480</v>
      </c>
      <c r="F7067" s="3" t="s">
        <v>15481</v>
      </c>
    </row>
    <row r="7068">
      <c r="A7068" s="3">
        <v>1435.0</v>
      </c>
      <c r="B7068" s="3" t="s">
        <v>11280</v>
      </c>
      <c r="C7068" s="3" t="s">
        <v>11281</v>
      </c>
      <c r="D7068" s="3" t="s">
        <v>15482</v>
      </c>
      <c r="E7068" s="3" t="s">
        <v>15483</v>
      </c>
      <c r="F7068" s="3" t="s">
        <v>15484</v>
      </c>
    </row>
    <row r="7069">
      <c r="A7069" s="3">
        <v>1436.0</v>
      </c>
      <c r="B7069" s="3" t="s">
        <v>11280</v>
      </c>
      <c r="C7069" s="3" t="s">
        <v>11281</v>
      </c>
      <c r="D7069" s="3" t="s">
        <v>15485</v>
      </c>
      <c r="E7069" s="3" t="s">
        <v>15486</v>
      </c>
      <c r="F7069" s="3" t="s">
        <v>15485</v>
      </c>
      <c r="G7069" s="3"/>
      <c r="H7069" s="3" t="s">
        <v>5311</v>
      </c>
      <c r="I7069" s="3" t="s">
        <v>15487</v>
      </c>
      <c r="J7069" s="3" t="s">
        <v>15488</v>
      </c>
      <c r="K7069" s="3" t="s">
        <v>15489</v>
      </c>
      <c r="L7069" s="3" t="s">
        <v>15490</v>
      </c>
      <c r="M7069" s="3" t="s">
        <v>5312</v>
      </c>
      <c r="N7069" s="3" t="s">
        <v>15491</v>
      </c>
      <c r="O7069" s="3" t="s">
        <v>5312</v>
      </c>
    </row>
    <row r="7070">
      <c r="A7070" s="3">
        <v>1437.0</v>
      </c>
      <c r="B7070" s="3" t="s">
        <v>11280</v>
      </c>
      <c r="C7070" s="3" t="s">
        <v>11281</v>
      </c>
      <c r="D7070" s="3" t="s">
        <v>15492</v>
      </c>
      <c r="E7070" s="3" t="s">
        <v>2561</v>
      </c>
      <c r="F7070" s="3" t="s">
        <v>2562</v>
      </c>
    </row>
    <row r="7071">
      <c r="A7071" s="3">
        <v>1438.0</v>
      </c>
      <c r="B7071" s="3" t="s">
        <v>11280</v>
      </c>
      <c r="C7071" s="3" t="s">
        <v>11281</v>
      </c>
      <c r="D7071" s="3" t="s">
        <v>15493</v>
      </c>
      <c r="E7071" s="3" t="s">
        <v>15494</v>
      </c>
      <c r="F7071" s="3" t="s">
        <v>15495</v>
      </c>
    </row>
    <row r="7072">
      <c r="A7072" s="3">
        <v>1439.0</v>
      </c>
      <c r="B7072" s="3" t="s">
        <v>11280</v>
      </c>
      <c r="C7072" s="3" t="s">
        <v>11281</v>
      </c>
      <c r="D7072" s="3" t="s">
        <v>15496</v>
      </c>
      <c r="E7072" s="3" t="s">
        <v>15497</v>
      </c>
      <c r="F7072" s="3" t="s">
        <v>15498</v>
      </c>
      <c r="G7072" s="3"/>
      <c r="H7072" s="3" t="s">
        <v>15499</v>
      </c>
      <c r="I7072" s="3" t="s">
        <v>2679</v>
      </c>
      <c r="J7072" s="3" t="s">
        <v>15500</v>
      </c>
    </row>
    <row r="7073">
      <c r="A7073" s="3">
        <v>1440.0</v>
      </c>
      <c r="B7073" s="3" t="s">
        <v>11280</v>
      </c>
      <c r="C7073" s="3" t="s">
        <v>11281</v>
      </c>
      <c r="D7073" s="3" t="s">
        <v>15501</v>
      </c>
      <c r="E7073" s="3" t="s">
        <v>15502</v>
      </c>
      <c r="F7073" s="3" t="s">
        <v>15503</v>
      </c>
    </row>
    <row r="7074">
      <c r="A7074" s="3">
        <v>1441.0</v>
      </c>
      <c r="B7074" s="3" t="s">
        <v>11280</v>
      </c>
      <c r="C7074" s="3" t="s">
        <v>11281</v>
      </c>
      <c r="D7074" s="3" t="s">
        <v>15504</v>
      </c>
      <c r="E7074" s="3" t="s">
        <v>15505</v>
      </c>
      <c r="F7074" s="3" t="s">
        <v>15506</v>
      </c>
    </row>
    <row r="7075">
      <c r="A7075" s="3">
        <v>1442.0</v>
      </c>
      <c r="B7075" s="3" t="s">
        <v>11280</v>
      </c>
      <c r="C7075" s="3" t="s">
        <v>11281</v>
      </c>
      <c r="D7075" s="3" t="s">
        <v>15507</v>
      </c>
      <c r="E7075" s="3" t="s">
        <v>15508</v>
      </c>
      <c r="F7075" s="3" t="s">
        <v>15509</v>
      </c>
    </row>
    <row r="7076">
      <c r="A7076" s="3">
        <v>1443.0</v>
      </c>
      <c r="B7076" s="3" t="s">
        <v>11280</v>
      </c>
      <c r="C7076" s="3" t="s">
        <v>11281</v>
      </c>
      <c r="D7076" s="3" t="s">
        <v>15510</v>
      </c>
      <c r="E7076" s="3" t="s">
        <v>15511</v>
      </c>
      <c r="F7076" s="3" t="s">
        <v>15512</v>
      </c>
    </row>
    <row r="7077">
      <c r="A7077" s="3">
        <v>1444.0</v>
      </c>
      <c r="B7077" s="3" t="s">
        <v>11280</v>
      </c>
      <c r="C7077" s="3" t="s">
        <v>11281</v>
      </c>
      <c r="D7077" s="3" t="s">
        <v>15513</v>
      </c>
      <c r="E7077" s="3" t="s">
        <v>15514</v>
      </c>
      <c r="F7077" s="3" t="s">
        <v>15515</v>
      </c>
    </row>
    <row r="7078">
      <c r="A7078" s="3">
        <v>1445.0</v>
      </c>
      <c r="B7078" s="3" t="s">
        <v>11280</v>
      </c>
      <c r="C7078" s="3" t="s">
        <v>11281</v>
      </c>
      <c r="D7078" s="3" t="s">
        <v>15516</v>
      </c>
      <c r="E7078" s="3" t="s">
        <v>2570</v>
      </c>
      <c r="F7078" s="3" t="s">
        <v>2571</v>
      </c>
    </row>
    <row r="7079">
      <c r="A7079" s="3">
        <v>1446.0</v>
      </c>
      <c r="B7079" s="3" t="s">
        <v>11280</v>
      </c>
      <c r="C7079" s="3" t="s">
        <v>11281</v>
      </c>
      <c r="D7079" s="3" t="s">
        <v>15517</v>
      </c>
      <c r="E7079" s="3" t="s">
        <v>15518</v>
      </c>
      <c r="F7079" s="3" t="s">
        <v>15519</v>
      </c>
    </row>
    <row r="7080">
      <c r="A7080" s="3">
        <v>1447.0</v>
      </c>
      <c r="B7080" s="3" t="s">
        <v>11280</v>
      </c>
      <c r="C7080" s="3" t="s">
        <v>11281</v>
      </c>
      <c r="D7080" s="3" t="s">
        <v>15520</v>
      </c>
      <c r="E7080" s="3" t="s">
        <v>15521</v>
      </c>
      <c r="F7080" s="3" t="s">
        <v>15522</v>
      </c>
    </row>
    <row r="7081">
      <c r="A7081" s="3">
        <v>1448.0</v>
      </c>
      <c r="B7081" s="3" t="s">
        <v>11280</v>
      </c>
      <c r="C7081" s="3" t="s">
        <v>11281</v>
      </c>
      <c r="D7081" s="3" t="s">
        <v>7203</v>
      </c>
      <c r="E7081" s="3" t="s">
        <v>7204</v>
      </c>
      <c r="F7081" s="3" t="s">
        <v>2834</v>
      </c>
    </row>
    <row r="7082">
      <c r="A7082" s="3">
        <v>1449.0</v>
      </c>
      <c r="B7082" s="3" t="s">
        <v>11280</v>
      </c>
      <c r="C7082" s="3" t="s">
        <v>11281</v>
      </c>
      <c r="D7082" s="3" t="s">
        <v>15523</v>
      </c>
      <c r="E7082" s="3" t="s">
        <v>15524</v>
      </c>
      <c r="F7082" s="3" t="s">
        <v>15525</v>
      </c>
    </row>
    <row r="7083">
      <c r="A7083" s="3">
        <v>1450.0</v>
      </c>
      <c r="B7083" s="3" t="s">
        <v>11280</v>
      </c>
      <c r="C7083" s="3" t="s">
        <v>11281</v>
      </c>
      <c r="D7083" s="3" t="s">
        <v>15526</v>
      </c>
      <c r="E7083" s="3" t="s">
        <v>15527</v>
      </c>
      <c r="F7083" s="3" t="s">
        <v>15528</v>
      </c>
      <c r="G7083" s="3"/>
      <c r="H7083" s="3" t="s">
        <v>6758</v>
      </c>
      <c r="I7083" s="3" t="s">
        <v>6758</v>
      </c>
    </row>
    <row r="7084">
      <c r="A7084" s="3">
        <v>1451.0</v>
      </c>
      <c r="B7084" s="3" t="s">
        <v>11280</v>
      </c>
      <c r="C7084" s="3" t="s">
        <v>11281</v>
      </c>
      <c r="D7084" s="3" t="s">
        <v>15529</v>
      </c>
      <c r="E7084" s="3" t="s">
        <v>15530</v>
      </c>
      <c r="F7084" s="3" t="s">
        <v>15531</v>
      </c>
    </row>
    <row r="7085">
      <c r="A7085" s="3">
        <v>1452.0</v>
      </c>
      <c r="B7085" s="3" t="s">
        <v>11280</v>
      </c>
      <c r="C7085" s="3" t="s">
        <v>11281</v>
      </c>
      <c r="D7085" s="3" t="s">
        <v>15532</v>
      </c>
      <c r="E7085" s="3" t="s">
        <v>15533</v>
      </c>
      <c r="F7085" s="3" t="s">
        <v>15534</v>
      </c>
    </row>
    <row r="7086">
      <c r="A7086" s="3">
        <v>1453.0</v>
      </c>
      <c r="B7086" s="3" t="s">
        <v>11280</v>
      </c>
      <c r="C7086" s="3" t="s">
        <v>11281</v>
      </c>
      <c r="D7086" s="3" t="s">
        <v>15535</v>
      </c>
      <c r="E7086" s="3" t="s">
        <v>15536</v>
      </c>
      <c r="F7086" s="3" t="s">
        <v>15537</v>
      </c>
    </row>
    <row r="7087">
      <c r="A7087" s="3">
        <v>1454.0</v>
      </c>
      <c r="B7087" s="3" t="s">
        <v>11280</v>
      </c>
      <c r="C7087" s="3" t="s">
        <v>11281</v>
      </c>
      <c r="D7087" s="3" t="s">
        <v>7206</v>
      </c>
      <c r="E7087" s="3" t="s">
        <v>7207</v>
      </c>
      <c r="F7087" s="3" t="s">
        <v>2843</v>
      </c>
    </row>
    <row r="7088">
      <c r="A7088" s="3">
        <v>1455.0</v>
      </c>
      <c r="B7088" s="3" t="s">
        <v>11280</v>
      </c>
      <c r="C7088" s="3" t="s">
        <v>11281</v>
      </c>
      <c r="D7088" s="3" t="s">
        <v>15538</v>
      </c>
      <c r="E7088" s="3" t="s">
        <v>15539</v>
      </c>
      <c r="F7088" s="3" t="s">
        <v>15540</v>
      </c>
      <c r="G7088" s="3"/>
      <c r="H7088" s="3" t="s">
        <v>15541</v>
      </c>
      <c r="I7088" s="3" t="s">
        <v>555</v>
      </c>
      <c r="J7088" s="3" t="s">
        <v>15542</v>
      </c>
      <c r="K7088" s="3" t="s">
        <v>15543</v>
      </c>
      <c r="L7088" s="3" t="s">
        <v>15542</v>
      </c>
      <c r="M7088" s="3" t="s">
        <v>15544</v>
      </c>
      <c r="N7088" s="3" t="s">
        <v>2943</v>
      </c>
    </row>
    <row r="7089">
      <c r="A7089" s="3">
        <v>1456.0</v>
      </c>
      <c r="B7089" s="3" t="s">
        <v>11280</v>
      </c>
      <c r="C7089" s="3" t="s">
        <v>11281</v>
      </c>
      <c r="D7089" s="3" t="s">
        <v>15545</v>
      </c>
      <c r="E7089" s="3" t="s">
        <v>15546</v>
      </c>
      <c r="F7089" s="3" t="s">
        <v>15547</v>
      </c>
    </row>
    <row r="7090">
      <c r="A7090" s="3">
        <v>1457.0</v>
      </c>
      <c r="B7090" s="3" t="s">
        <v>11280</v>
      </c>
      <c r="C7090" s="3" t="s">
        <v>11281</v>
      </c>
      <c r="D7090" s="3" t="s">
        <v>15548</v>
      </c>
      <c r="E7090" s="3" t="s">
        <v>15549</v>
      </c>
      <c r="F7090" s="3" t="s">
        <v>15550</v>
      </c>
    </row>
    <row r="7091">
      <c r="A7091" s="3">
        <v>1458.0</v>
      </c>
      <c r="B7091" s="3" t="s">
        <v>11280</v>
      </c>
      <c r="C7091" s="3" t="s">
        <v>11281</v>
      </c>
      <c r="D7091" s="3" t="s">
        <v>15551</v>
      </c>
      <c r="E7091" s="3" t="s">
        <v>15552</v>
      </c>
      <c r="F7091" s="3" t="s">
        <v>2830</v>
      </c>
    </row>
    <row r="7092">
      <c r="A7092" s="3">
        <v>1459.0</v>
      </c>
      <c r="B7092" s="3" t="s">
        <v>11280</v>
      </c>
      <c r="C7092" s="3" t="s">
        <v>11281</v>
      </c>
      <c r="D7092" s="3" t="s">
        <v>15553</v>
      </c>
      <c r="E7092" s="3" t="s">
        <v>15554</v>
      </c>
      <c r="F7092" s="3" t="s">
        <v>15555</v>
      </c>
      <c r="G7092" s="3"/>
      <c r="H7092" s="3" t="s">
        <v>15556</v>
      </c>
      <c r="I7092" s="3" t="s">
        <v>15557</v>
      </c>
      <c r="J7092" s="3" t="s">
        <v>15558</v>
      </c>
      <c r="K7092" s="3" t="s">
        <v>9545</v>
      </c>
      <c r="L7092" s="3" t="s">
        <v>15559</v>
      </c>
      <c r="M7092" s="3" t="s">
        <v>15560</v>
      </c>
      <c r="N7092" s="3" t="s">
        <v>15561</v>
      </c>
      <c r="O7092" s="3" t="s">
        <v>13035</v>
      </c>
      <c r="P7092" s="3" t="s">
        <v>13036</v>
      </c>
      <c r="Q7092" s="3" t="s">
        <v>13035</v>
      </c>
      <c r="R7092" s="3" t="s">
        <v>5852</v>
      </c>
      <c r="S7092" s="3" t="s">
        <v>9545</v>
      </c>
    </row>
    <row r="7093">
      <c r="A7093" s="3">
        <v>1460.0</v>
      </c>
      <c r="B7093" s="3" t="s">
        <v>11280</v>
      </c>
      <c r="C7093" s="3" t="s">
        <v>11281</v>
      </c>
      <c r="D7093" s="3" t="s">
        <v>15562</v>
      </c>
      <c r="E7093" s="3" t="s">
        <v>15563</v>
      </c>
      <c r="F7093" s="3" t="s">
        <v>15564</v>
      </c>
    </row>
    <row r="7094">
      <c r="A7094" s="3">
        <v>1461.0</v>
      </c>
      <c r="B7094" s="3" t="s">
        <v>11280</v>
      </c>
      <c r="C7094" s="3" t="s">
        <v>11281</v>
      </c>
      <c r="D7094" s="3" t="s">
        <v>15565</v>
      </c>
      <c r="E7094" s="3" t="s">
        <v>15566</v>
      </c>
      <c r="F7094" s="3" t="s">
        <v>15567</v>
      </c>
    </row>
    <row r="7095">
      <c r="A7095" s="3">
        <v>1462.0</v>
      </c>
      <c r="B7095" s="3" t="s">
        <v>11280</v>
      </c>
      <c r="C7095" s="3" t="s">
        <v>11281</v>
      </c>
      <c r="D7095" s="3" t="s">
        <v>15568</v>
      </c>
      <c r="E7095" s="3" t="s">
        <v>15569</v>
      </c>
      <c r="F7095" s="3" t="s">
        <v>15570</v>
      </c>
    </row>
    <row r="7096">
      <c r="A7096" s="3">
        <v>1463.0</v>
      </c>
      <c r="B7096" s="3" t="s">
        <v>11280</v>
      </c>
      <c r="C7096" s="3" t="s">
        <v>11281</v>
      </c>
      <c r="D7096" s="3" t="s">
        <v>15571</v>
      </c>
      <c r="E7096" s="3" t="s">
        <v>15572</v>
      </c>
      <c r="F7096" s="3" t="s">
        <v>15573</v>
      </c>
    </row>
    <row r="7097">
      <c r="A7097" s="3">
        <v>1464.0</v>
      </c>
      <c r="B7097" s="3" t="s">
        <v>11280</v>
      </c>
      <c r="C7097" s="3" t="s">
        <v>11281</v>
      </c>
      <c r="D7097" s="3" t="s">
        <v>15574</v>
      </c>
      <c r="E7097" s="3" t="s">
        <v>15575</v>
      </c>
      <c r="F7097" s="3" t="s">
        <v>15576</v>
      </c>
    </row>
    <row r="7098">
      <c r="A7098" s="3">
        <v>1465.0</v>
      </c>
      <c r="B7098" s="3" t="s">
        <v>11280</v>
      </c>
      <c r="C7098" s="3" t="s">
        <v>11281</v>
      </c>
      <c r="D7098" s="3" t="s">
        <v>15577</v>
      </c>
      <c r="E7098" s="3" t="s">
        <v>15578</v>
      </c>
      <c r="F7098" s="3" t="s">
        <v>15579</v>
      </c>
    </row>
    <row r="7099">
      <c r="A7099" s="3">
        <v>1466.0</v>
      </c>
      <c r="B7099" s="3" t="s">
        <v>11280</v>
      </c>
      <c r="C7099" s="3" t="s">
        <v>11281</v>
      </c>
      <c r="D7099" s="3" t="s">
        <v>15580</v>
      </c>
      <c r="E7099" s="3" t="s">
        <v>15581</v>
      </c>
      <c r="F7099" s="3" t="s">
        <v>15582</v>
      </c>
    </row>
    <row r="7100">
      <c r="A7100" s="3">
        <v>1467.0</v>
      </c>
      <c r="B7100" s="3" t="s">
        <v>11280</v>
      </c>
      <c r="C7100" s="3" t="s">
        <v>11281</v>
      </c>
      <c r="D7100" s="3" t="s">
        <v>15583</v>
      </c>
      <c r="E7100" s="3" t="s">
        <v>15584</v>
      </c>
      <c r="F7100" s="3" t="s">
        <v>15585</v>
      </c>
    </row>
    <row r="7101">
      <c r="A7101" s="3">
        <v>1468.0</v>
      </c>
      <c r="B7101" s="3" t="s">
        <v>11280</v>
      </c>
      <c r="C7101" s="3" t="s">
        <v>11281</v>
      </c>
      <c r="D7101" s="3" t="s">
        <v>15586</v>
      </c>
      <c r="E7101" s="3" t="s">
        <v>15587</v>
      </c>
      <c r="F7101" s="3" t="s">
        <v>15588</v>
      </c>
    </row>
    <row r="7102">
      <c r="A7102" s="3">
        <v>1469.0</v>
      </c>
      <c r="B7102" s="3" t="s">
        <v>11280</v>
      </c>
      <c r="C7102" s="3" t="s">
        <v>11281</v>
      </c>
      <c r="D7102" s="3" t="s">
        <v>15589</v>
      </c>
      <c r="E7102" s="3" t="s">
        <v>15590</v>
      </c>
      <c r="F7102" s="3" t="s">
        <v>15540</v>
      </c>
    </row>
    <row r="7103">
      <c r="A7103" s="3">
        <v>1470.0</v>
      </c>
      <c r="B7103" s="3" t="s">
        <v>11280</v>
      </c>
      <c r="C7103" s="3" t="s">
        <v>11281</v>
      </c>
      <c r="D7103" s="3" t="s">
        <v>15591</v>
      </c>
      <c r="E7103" s="3" t="s">
        <v>15592</v>
      </c>
      <c r="F7103" s="3" t="s">
        <v>2830</v>
      </c>
    </row>
    <row r="7104">
      <c r="A7104" s="3">
        <v>1471.0</v>
      </c>
      <c r="B7104" s="3" t="s">
        <v>11280</v>
      </c>
      <c r="C7104" s="3" t="s">
        <v>11281</v>
      </c>
      <c r="D7104" s="3" t="s">
        <v>15593</v>
      </c>
      <c r="E7104" s="3" t="s">
        <v>15594</v>
      </c>
      <c r="F7104" s="3" t="s">
        <v>15555</v>
      </c>
      <c r="G7104" s="3"/>
      <c r="H7104" s="3" t="s">
        <v>15595</v>
      </c>
      <c r="I7104" s="3" t="s">
        <v>8933</v>
      </c>
    </row>
    <row r="7105">
      <c r="A7105" s="3">
        <v>1472.0</v>
      </c>
      <c r="B7105" s="3" t="s">
        <v>11280</v>
      </c>
      <c r="C7105" s="3" t="s">
        <v>11281</v>
      </c>
      <c r="D7105" s="3" t="s">
        <v>15596</v>
      </c>
      <c r="E7105" s="3" t="s">
        <v>15597</v>
      </c>
      <c r="F7105" s="3" t="s">
        <v>15564</v>
      </c>
    </row>
    <row r="7106">
      <c r="A7106" s="3">
        <v>1473.0</v>
      </c>
      <c r="B7106" s="3" t="s">
        <v>11280</v>
      </c>
      <c r="C7106" s="3" t="s">
        <v>11281</v>
      </c>
      <c r="D7106" s="3" t="s">
        <v>15598</v>
      </c>
      <c r="E7106" s="3" t="s">
        <v>15599</v>
      </c>
      <c r="F7106" s="3" t="s">
        <v>15567</v>
      </c>
    </row>
    <row r="7107">
      <c r="A7107" s="3">
        <v>1474.0</v>
      </c>
      <c r="B7107" s="3" t="s">
        <v>11280</v>
      </c>
      <c r="C7107" s="3" t="s">
        <v>11281</v>
      </c>
      <c r="D7107" s="3" t="s">
        <v>15600</v>
      </c>
      <c r="E7107" s="3" t="s">
        <v>15601</v>
      </c>
      <c r="F7107" s="3" t="s">
        <v>15570</v>
      </c>
    </row>
    <row r="7108">
      <c r="A7108" s="3">
        <v>1475.0</v>
      </c>
      <c r="B7108" s="3" t="s">
        <v>11280</v>
      </c>
      <c r="C7108" s="3" t="s">
        <v>11281</v>
      </c>
      <c r="D7108" s="3" t="s">
        <v>15602</v>
      </c>
      <c r="E7108" s="3" t="s">
        <v>15603</v>
      </c>
      <c r="F7108" s="3" t="s">
        <v>15573</v>
      </c>
    </row>
    <row r="7109">
      <c r="A7109" s="3">
        <v>1476.0</v>
      </c>
      <c r="B7109" s="3" t="s">
        <v>11280</v>
      </c>
      <c r="C7109" s="3" t="s">
        <v>11281</v>
      </c>
      <c r="D7109" s="3" t="s">
        <v>7215</v>
      </c>
      <c r="E7109" s="3" t="s">
        <v>7214</v>
      </c>
      <c r="F7109" s="3" t="s">
        <v>7215</v>
      </c>
    </row>
    <row r="7110">
      <c r="A7110" s="3">
        <v>1477.0</v>
      </c>
      <c r="B7110" s="3" t="s">
        <v>11280</v>
      </c>
      <c r="C7110" s="3" t="s">
        <v>11281</v>
      </c>
      <c r="D7110" s="3" t="s">
        <v>7217</v>
      </c>
      <c r="E7110" s="3" t="s">
        <v>15604</v>
      </c>
      <c r="F7110" s="3" t="s">
        <v>15605</v>
      </c>
    </row>
    <row r="7111">
      <c r="A7111" s="3">
        <v>1478.0</v>
      </c>
      <c r="B7111" s="3" t="s">
        <v>11280</v>
      </c>
      <c r="C7111" s="3" t="s">
        <v>11281</v>
      </c>
      <c r="D7111" s="3" t="s">
        <v>7213</v>
      </c>
      <c r="E7111" s="3" t="s">
        <v>15606</v>
      </c>
      <c r="F7111" s="3" t="s">
        <v>7213</v>
      </c>
    </row>
    <row r="7112">
      <c r="A7112" s="3">
        <v>1479.0</v>
      </c>
      <c r="B7112" s="3" t="s">
        <v>11280</v>
      </c>
      <c r="C7112" s="3" t="s">
        <v>11281</v>
      </c>
      <c r="D7112" s="3" t="s">
        <v>2929</v>
      </c>
      <c r="E7112" s="3" t="s">
        <v>7220</v>
      </c>
      <c r="F7112" s="3" t="s">
        <v>2929</v>
      </c>
    </row>
    <row r="7113">
      <c r="A7113" s="3">
        <v>1480.0</v>
      </c>
      <c r="B7113" s="3" t="s">
        <v>11280</v>
      </c>
      <c r="C7113" s="3" t="s">
        <v>11281</v>
      </c>
      <c r="D7113" s="3" t="s">
        <v>15607</v>
      </c>
      <c r="E7113" s="3" t="s">
        <v>15608</v>
      </c>
      <c r="F7113" s="3" t="s">
        <v>15607</v>
      </c>
    </row>
    <row r="7114">
      <c r="A7114" s="3">
        <v>1481.0</v>
      </c>
      <c r="B7114" s="3" t="s">
        <v>11280</v>
      </c>
      <c r="C7114" s="3" t="s">
        <v>11281</v>
      </c>
      <c r="D7114" s="3" t="s">
        <v>15609</v>
      </c>
      <c r="E7114" s="3" t="s">
        <v>15610</v>
      </c>
      <c r="F7114" s="3" t="s">
        <v>15609</v>
      </c>
    </row>
    <row r="7115">
      <c r="A7115" s="3">
        <v>1482.0</v>
      </c>
      <c r="B7115" s="3" t="s">
        <v>11280</v>
      </c>
      <c r="C7115" s="3" t="s">
        <v>11281</v>
      </c>
      <c r="D7115" s="3" t="s">
        <v>15611</v>
      </c>
      <c r="E7115" s="3" t="s">
        <v>15612</v>
      </c>
      <c r="F7115" s="3" t="s">
        <v>15611</v>
      </c>
    </row>
    <row r="7116">
      <c r="A7116" s="3">
        <v>1483.0</v>
      </c>
      <c r="B7116" s="3" t="s">
        <v>11280</v>
      </c>
      <c r="C7116" s="3" t="s">
        <v>11281</v>
      </c>
      <c r="D7116" s="3" t="s">
        <v>15613</v>
      </c>
      <c r="E7116" s="3" t="s">
        <v>15614</v>
      </c>
      <c r="F7116" s="3" t="s">
        <v>15613</v>
      </c>
    </row>
    <row r="7117">
      <c r="A7117" s="3">
        <v>1484.0</v>
      </c>
      <c r="B7117" s="3" t="s">
        <v>11280</v>
      </c>
      <c r="C7117" s="3" t="s">
        <v>11281</v>
      </c>
      <c r="D7117" s="3" t="s">
        <v>15615</v>
      </c>
      <c r="E7117" s="3" t="s">
        <v>15616</v>
      </c>
      <c r="F7117" s="3" t="s">
        <v>15615</v>
      </c>
    </row>
    <row r="7118">
      <c r="A7118" s="3">
        <v>1485.0</v>
      </c>
      <c r="B7118" s="3" t="s">
        <v>11280</v>
      </c>
      <c r="C7118" s="3" t="s">
        <v>11281</v>
      </c>
      <c r="D7118" s="3" t="s">
        <v>15617</v>
      </c>
      <c r="E7118" s="3" t="s">
        <v>15618</v>
      </c>
      <c r="F7118" s="3" t="s">
        <v>15617</v>
      </c>
    </row>
    <row r="7119">
      <c r="A7119" s="3">
        <v>1486.0</v>
      </c>
      <c r="B7119" s="3" t="s">
        <v>11280</v>
      </c>
      <c r="C7119" s="3" t="s">
        <v>11281</v>
      </c>
      <c r="D7119" s="3" t="s">
        <v>15619</v>
      </c>
      <c r="E7119" s="3" t="s">
        <v>15620</v>
      </c>
      <c r="F7119" s="3" t="s">
        <v>15619</v>
      </c>
    </row>
    <row r="7120">
      <c r="A7120" s="3">
        <v>1487.0</v>
      </c>
      <c r="B7120" s="3" t="s">
        <v>11280</v>
      </c>
      <c r="C7120" s="3" t="s">
        <v>11281</v>
      </c>
      <c r="D7120" s="3" t="s">
        <v>2919</v>
      </c>
      <c r="E7120" s="3" t="s">
        <v>7223</v>
      </c>
      <c r="F7120" s="3" t="s">
        <v>2919</v>
      </c>
    </row>
    <row r="7121">
      <c r="A7121" s="3">
        <v>1488.0</v>
      </c>
      <c r="B7121" s="3" t="s">
        <v>11280</v>
      </c>
      <c r="C7121" s="3" t="s">
        <v>11281</v>
      </c>
      <c r="D7121" s="3" t="s">
        <v>15621</v>
      </c>
      <c r="E7121" s="3" t="s">
        <v>15622</v>
      </c>
      <c r="F7121" s="3" t="s">
        <v>15623</v>
      </c>
    </row>
    <row r="7122">
      <c r="A7122" s="3">
        <v>1489.0</v>
      </c>
      <c r="B7122" s="3" t="s">
        <v>11280</v>
      </c>
      <c r="C7122" s="3" t="s">
        <v>11281</v>
      </c>
      <c r="D7122" s="3" t="s">
        <v>15624</v>
      </c>
      <c r="E7122" s="3" t="s">
        <v>15625</v>
      </c>
      <c r="F7122" s="3" t="s">
        <v>15626</v>
      </c>
    </row>
    <row r="7123">
      <c r="A7123" s="3">
        <v>1490.0</v>
      </c>
      <c r="B7123" s="3" t="s">
        <v>11280</v>
      </c>
      <c r="C7123" s="3" t="s">
        <v>11281</v>
      </c>
      <c r="D7123" s="3" t="s">
        <v>2950</v>
      </c>
      <c r="E7123" s="3" t="s">
        <v>7228</v>
      </c>
      <c r="F7123" s="3" t="s">
        <v>2950</v>
      </c>
    </row>
    <row r="7124">
      <c r="A7124" s="3">
        <v>1491.0</v>
      </c>
      <c r="B7124" s="3" t="s">
        <v>11280</v>
      </c>
      <c r="C7124" s="3" t="s">
        <v>11281</v>
      </c>
      <c r="D7124" s="3" t="s">
        <v>15627</v>
      </c>
      <c r="E7124" s="3" t="s">
        <v>15628</v>
      </c>
      <c r="F7124" s="3" t="s">
        <v>15627</v>
      </c>
    </row>
    <row r="7125">
      <c r="A7125" s="3">
        <v>1492.0</v>
      </c>
      <c r="B7125" s="3" t="s">
        <v>11280</v>
      </c>
      <c r="C7125" s="3" t="s">
        <v>11281</v>
      </c>
      <c r="D7125" s="3" t="s">
        <v>15629</v>
      </c>
      <c r="E7125" s="3" t="s">
        <v>15630</v>
      </c>
      <c r="F7125" s="3" t="s">
        <v>15629</v>
      </c>
      <c r="G7125" s="3"/>
      <c r="H7125" s="3" t="s">
        <v>15631</v>
      </c>
      <c r="I7125" s="3" t="s">
        <v>15632</v>
      </c>
      <c r="J7125" s="3" t="s">
        <v>3441</v>
      </c>
      <c r="K7125" s="3" t="s">
        <v>15633</v>
      </c>
      <c r="L7125" s="3" t="s">
        <v>15634</v>
      </c>
      <c r="M7125" s="3" t="s">
        <v>15635</v>
      </c>
      <c r="N7125" s="3" t="s">
        <v>15636</v>
      </c>
      <c r="O7125" s="3" t="s">
        <v>15633</v>
      </c>
      <c r="P7125" s="3" t="s">
        <v>15637</v>
      </c>
      <c r="Q7125" s="3" t="s">
        <v>15635</v>
      </c>
      <c r="R7125" s="3" t="s">
        <v>15631</v>
      </c>
      <c r="S7125" s="3" t="s">
        <v>15634</v>
      </c>
      <c r="T7125" s="3" t="s">
        <v>15638</v>
      </c>
    </row>
    <row r="7126">
      <c r="A7126" s="3">
        <v>1493.0</v>
      </c>
      <c r="B7126" s="3" t="s">
        <v>11280</v>
      </c>
      <c r="C7126" s="3" t="s">
        <v>11281</v>
      </c>
      <c r="D7126" s="3" t="s">
        <v>15639</v>
      </c>
      <c r="E7126" s="3" t="s">
        <v>15640</v>
      </c>
      <c r="F7126" s="3" t="s">
        <v>15639</v>
      </c>
    </row>
    <row r="7127">
      <c r="A7127" s="3">
        <v>1494.0</v>
      </c>
      <c r="B7127" s="3" t="s">
        <v>11280</v>
      </c>
      <c r="C7127" s="3" t="s">
        <v>11281</v>
      </c>
      <c r="D7127" s="3" t="s">
        <v>15641</v>
      </c>
      <c r="E7127" s="3" t="s">
        <v>15642</v>
      </c>
      <c r="F7127" s="3" t="s">
        <v>15641</v>
      </c>
    </row>
    <row r="7128">
      <c r="A7128" s="3">
        <v>1495.0</v>
      </c>
      <c r="B7128" s="3" t="s">
        <v>11280</v>
      </c>
      <c r="C7128" s="3" t="s">
        <v>11281</v>
      </c>
      <c r="D7128" s="3" t="s">
        <v>15643</v>
      </c>
      <c r="E7128" s="3" t="s">
        <v>15644</v>
      </c>
      <c r="F7128" s="3" t="s">
        <v>15643</v>
      </c>
    </row>
    <row r="7129">
      <c r="A7129" s="3">
        <v>1496.0</v>
      </c>
      <c r="B7129" s="3" t="s">
        <v>11280</v>
      </c>
      <c r="C7129" s="3" t="s">
        <v>11281</v>
      </c>
      <c r="D7129" s="3" t="s">
        <v>2959</v>
      </c>
      <c r="E7129" s="3" t="s">
        <v>7230</v>
      </c>
      <c r="F7129" s="3" t="s">
        <v>2959</v>
      </c>
    </row>
    <row r="7130">
      <c r="A7130" s="3">
        <v>1497.0</v>
      </c>
      <c r="B7130" s="3" t="s">
        <v>11280</v>
      </c>
      <c r="C7130" s="3" t="s">
        <v>11281</v>
      </c>
      <c r="D7130" s="3" t="s">
        <v>15645</v>
      </c>
      <c r="E7130" s="3" t="s">
        <v>15646</v>
      </c>
      <c r="F7130" s="3" t="s">
        <v>15645</v>
      </c>
    </row>
    <row r="7131">
      <c r="A7131" s="3">
        <v>1498.0</v>
      </c>
      <c r="B7131" s="3" t="s">
        <v>11280</v>
      </c>
      <c r="C7131" s="3" t="s">
        <v>11281</v>
      </c>
      <c r="D7131" s="3" t="s">
        <v>15647</v>
      </c>
      <c r="E7131" s="3" t="s">
        <v>15648</v>
      </c>
      <c r="F7131" s="3" t="s">
        <v>15649</v>
      </c>
    </row>
    <row r="7132">
      <c r="A7132" s="3">
        <v>1499.0</v>
      </c>
      <c r="B7132" s="3" t="s">
        <v>11280</v>
      </c>
      <c r="C7132" s="3" t="s">
        <v>11281</v>
      </c>
      <c r="D7132" s="3" t="s">
        <v>15650</v>
      </c>
      <c r="E7132" s="3" t="s">
        <v>15651</v>
      </c>
      <c r="F7132" s="3" t="s">
        <v>15652</v>
      </c>
    </row>
    <row r="7133">
      <c r="A7133" s="3">
        <v>1500.0</v>
      </c>
      <c r="B7133" s="3" t="s">
        <v>11280</v>
      </c>
      <c r="C7133" s="3" t="s">
        <v>11281</v>
      </c>
      <c r="D7133" s="3" t="s">
        <v>2870</v>
      </c>
      <c r="E7133" s="3" t="s">
        <v>2869</v>
      </c>
      <c r="F7133" s="3" t="s">
        <v>2870</v>
      </c>
    </row>
    <row r="7134">
      <c r="A7134" s="3">
        <v>1501.0</v>
      </c>
      <c r="B7134" s="3" t="s">
        <v>11280</v>
      </c>
      <c r="C7134" s="3" t="s">
        <v>11281</v>
      </c>
      <c r="D7134" s="3" t="s">
        <v>2879</v>
      </c>
      <c r="E7134" s="3" t="s">
        <v>2878</v>
      </c>
      <c r="F7134" s="3" t="s">
        <v>2879</v>
      </c>
    </row>
    <row r="7135">
      <c r="A7135" s="3">
        <v>1502.0</v>
      </c>
      <c r="B7135" s="3" t="s">
        <v>11280</v>
      </c>
      <c r="C7135" s="3" t="s">
        <v>11281</v>
      </c>
      <c r="D7135" s="3" t="s">
        <v>15653</v>
      </c>
      <c r="E7135" s="3" t="s">
        <v>15654</v>
      </c>
      <c r="F7135" s="3" t="s">
        <v>15653</v>
      </c>
    </row>
    <row r="7136">
      <c r="A7136" s="3">
        <v>1503.0</v>
      </c>
      <c r="B7136" s="3" t="s">
        <v>11280</v>
      </c>
      <c r="C7136" s="3" t="s">
        <v>11281</v>
      </c>
      <c r="D7136" s="3" t="s">
        <v>8857</v>
      </c>
      <c r="E7136" s="3" t="s">
        <v>15655</v>
      </c>
      <c r="F7136" s="3" t="s">
        <v>8857</v>
      </c>
      <c r="G7136" s="3"/>
      <c r="H7136" s="3" t="s">
        <v>15656</v>
      </c>
      <c r="I7136" s="3" t="s">
        <v>8857</v>
      </c>
      <c r="J7136" s="3" t="s">
        <v>8858</v>
      </c>
    </row>
    <row r="7137">
      <c r="A7137" s="3">
        <v>1504.0</v>
      </c>
      <c r="B7137" s="3" t="s">
        <v>11280</v>
      </c>
      <c r="C7137" s="3" t="s">
        <v>11281</v>
      </c>
      <c r="D7137" s="3" t="s">
        <v>15657</v>
      </c>
      <c r="E7137" s="3" t="s">
        <v>15658</v>
      </c>
      <c r="F7137" s="3" t="s">
        <v>15657</v>
      </c>
    </row>
    <row r="7138">
      <c r="A7138" s="3">
        <v>1505.0</v>
      </c>
      <c r="B7138" s="3" t="s">
        <v>11280</v>
      </c>
      <c r="C7138" s="3" t="s">
        <v>11281</v>
      </c>
      <c r="D7138" s="3" t="s">
        <v>2826</v>
      </c>
      <c r="E7138" s="3" t="s">
        <v>7202</v>
      </c>
      <c r="F7138" s="3" t="s">
        <v>2826</v>
      </c>
    </row>
    <row r="7139">
      <c r="A7139" s="3">
        <v>1506.0</v>
      </c>
      <c r="B7139" s="3" t="s">
        <v>11280</v>
      </c>
      <c r="C7139" s="3" t="s">
        <v>11281</v>
      </c>
      <c r="D7139" s="3" t="s">
        <v>2971</v>
      </c>
      <c r="E7139" s="3" t="s">
        <v>7235</v>
      </c>
      <c r="F7139" s="3" t="s">
        <v>2971</v>
      </c>
      <c r="G7139" s="3"/>
      <c r="H7139" s="3" t="s">
        <v>15659</v>
      </c>
      <c r="I7139" s="3" t="s">
        <v>15660</v>
      </c>
      <c r="J7139" s="3" t="s">
        <v>15661</v>
      </c>
      <c r="K7139" s="3" t="s">
        <v>15662</v>
      </c>
    </row>
    <row r="7140">
      <c r="A7140" s="3">
        <v>1507.0</v>
      </c>
      <c r="B7140" s="3" t="s">
        <v>11280</v>
      </c>
      <c r="C7140" s="3" t="s">
        <v>11281</v>
      </c>
      <c r="D7140" s="3" t="s">
        <v>2980</v>
      </c>
      <c r="E7140" s="3" t="s">
        <v>7238</v>
      </c>
      <c r="F7140" s="3" t="s">
        <v>2980</v>
      </c>
    </row>
    <row r="7141">
      <c r="A7141" s="3">
        <v>1508.0</v>
      </c>
      <c r="B7141" s="3" t="s">
        <v>11280</v>
      </c>
      <c r="C7141" s="3" t="s">
        <v>11281</v>
      </c>
      <c r="D7141" s="3" t="s">
        <v>15663</v>
      </c>
      <c r="E7141" s="3" t="s">
        <v>15664</v>
      </c>
      <c r="F7141" s="3" t="s">
        <v>15663</v>
      </c>
      <c r="G7141" s="3"/>
      <c r="H7141" s="3" t="s">
        <v>15665</v>
      </c>
    </row>
    <row r="7142">
      <c r="A7142" s="3">
        <v>1509.0</v>
      </c>
      <c r="B7142" s="3" t="s">
        <v>11280</v>
      </c>
      <c r="C7142" s="3" t="s">
        <v>11281</v>
      </c>
      <c r="D7142" s="3" t="s">
        <v>15666</v>
      </c>
      <c r="E7142" s="3" t="s">
        <v>15667</v>
      </c>
      <c r="F7142" s="3" t="s">
        <v>15666</v>
      </c>
    </row>
    <row r="7143">
      <c r="A7143" s="3">
        <v>1510.0</v>
      </c>
      <c r="B7143" s="3" t="s">
        <v>11280</v>
      </c>
      <c r="C7143" s="3" t="s">
        <v>11281</v>
      </c>
      <c r="D7143" s="3" t="s">
        <v>15668</v>
      </c>
      <c r="E7143" s="3" t="s">
        <v>15669</v>
      </c>
      <c r="F7143" s="3" t="s">
        <v>15668</v>
      </c>
    </row>
    <row r="7144">
      <c r="A7144" s="3">
        <v>1511.0</v>
      </c>
      <c r="B7144" s="3" t="s">
        <v>11280</v>
      </c>
      <c r="C7144" s="3" t="s">
        <v>11281</v>
      </c>
      <c r="D7144" s="3" t="s">
        <v>15670</v>
      </c>
      <c r="E7144" s="3" t="s">
        <v>15671</v>
      </c>
      <c r="F7144" s="3" t="s">
        <v>15670</v>
      </c>
    </row>
    <row r="7145">
      <c r="A7145" s="3">
        <v>1512.0</v>
      </c>
      <c r="B7145" s="3" t="s">
        <v>11280</v>
      </c>
      <c r="C7145" s="3" t="s">
        <v>11281</v>
      </c>
      <c r="D7145" s="3" t="s">
        <v>15672</v>
      </c>
      <c r="E7145" s="3" t="s">
        <v>15673</v>
      </c>
      <c r="F7145" s="3" t="s">
        <v>15672</v>
      </c>
    </row>
    <row r="7146">
      <c r="A7146" s="3">
        <v>1513.0</v>
      </c>
      <c r="B7146" s="3" t="s">
        <v>11280</v>
      </c>
      <c r="C7146" s="3" t="s">
        <v>11281</v>
      </c>
      <c r="D7146" s="3" t="s">
        <v>15674</v>
      </c>
      <c r="E7146" s="3" t="s">
        <v>15675</v>
      </c>
      <c r="F7146" s="3" t="s">
        <v>15674</v>
      </c>
    </row>
    <row r="7147">
      <c r="A7147" s="3">
        <v>1514.0</v>
      </c>
      <c r="B7147" s="3" t="s">
        <v>11280</v>
      </c>
      <c r="C7147" s="3" t="s">
        <v>11281</v>
      </c>
      <c r="D7147" s="3" t="s">
        <v>15676</v>
      </c>
      <c r="E7147" s="3" t="s">
        <v>15677</v>
      </c>
      <c r="F7147" s="3" t="s">
        <v>15676</v>
      </c>
    </row>
    <row r="7148">
      <c r="A7148" s="3">
        <v>1515.0</v>
      </c>
      <c r="B7148" s="3" t="s">
        <v>11280</v>
      </c>
      <c r="C7148" s="3" t="s">
        <v>11281</v>
      </c>
      <c r="D7148" s="3" t="s">
        <v>15678</v>
      </c>
      <c r="E7148" s="3" t="s">
        <v>15679</v>
      </c>
      <c r="F7148" s="3" t="s">
        <v>15678</v>
      </c>
    </row>
    <row r="7149">
      <c r="A7149" s="3">
        <v>1516.0</v>
      </c>
      <c r="B7149" s="3" t="s">
        <v>11280</v>
      </c>
      <c r="C7149" s="3" t="s">
        <v>11281</v>
      </c>
      <c r="D7149" s="3" t="s">
        <v>15680</v>
      </c>
      <c r="E7149" s="3" t="s">
        <v>15681</v>
      </c>
      <c r="F7149" s="3" t="s">
        <v>15680</v>
      </c>
    </row>
    <row r="7150">
      <c r="A7150" s="3">
        <v>1517.0</v>
      </c>
      <c r="B7150" s="3" t="s">
        <v>11280</v>
      </c>
      <c r="C7150" s="3" t="s">
        <v>11281</v>
      </c>
      <c r="D7150" s="3" t="s">
        <v>15682</v>
      </c>
      <c r="E7150" s="3" t="s">
        <v>15683</v>
      </c>
      <c r="F7150" s="3" t="s">
        <v>15682</v>
      </c>
    </row>
    <row r="7151">
      <c r="A7151" s="3">
        <v>1518.0</v>
      </c>
      <c r="B7151" s="3" t="s">
        <v>11280</v>
      </c>
      <c r="C7151" s="3" t="s">
        <v>11281</v>
      </c>
      <c r="D7151" s="3" t="s">
        <v>15684</v>
      </c>
      <c r="E7151" s="3" t="s">
        <v>15685</v>
      </c>
      <c r="F7151" s="3" t="s">
        <v>15686</v>
      </c>
    </row>
    <row r="7152">
      <c r="A7152" s="3">
        <v>1519.0</v>
      </c>
      <c r="B7152" s="3" t="s">
        <v>11280</v>
      </c>
      <c r="C7152" s="3" t="s">
        <v>11281</v>
      </c>
      <c r="D7152" s="3" t="s">
        <v>15687</v>
      </c>
      <c r="E7152" s="3" t="s">
        <v>15688</v>
      </c>
      <c r="F7152" s="3" t="s">
        <v>15689</v>
      </c>
    </row>
    <row r="7153">
      <c r="A7153" s="3">
        <v>1520.0</v>
      </c>
      <c r="B7153" s="3" t="s">
        <v>11280</v>
      </c>
      <c r="C7153" s="3" t="s">
        <v>11281</v>
      </c>
      <c r="D7153" s="3" t="s">
        <v>15690</v>
      </c>
      <c r="E7153" s="3" t="s">
        <v>15691</v>
      </c>
      <c r="F7153" s="3" t="s">
        <v>15692</v>
      </c>
      <c r="G7153" s="3"/>
      <c r="H7153" s="3" t="s">
        <v>10517</v>
      </c>
      <c r="I7153" s="3" t="s">
        <v>15693</v>
      </c>
      <c r="J7153" s="3" t="s">
        <v>15694</v>
      </c>
      <c r="K7153" s="3" t="s">
        <v>14199</v>
      </c>
    </row>
    <row r="7154">
      <c r="A7154" s="3">
        <v>1521.0</v>
      </c>
      <c r="B7154" s="3" t="s">
        <v>11280</v>
      </c>
      <c r="C7154" s="3" t="s">
        <v>11281</v>
      </c>
      <c r="D7154" s="3" t="s">
        <v>15695</v>
      </c>
      <c r="E7154" s="3" t="s">
        <v>15696</v>
      </c>
      <c r="F7154" s="3" t="s">
        <v>15697</v>
      </c>
    </row>
    <row r="7155">
      <c r="A7155" s="3">
        <v>1522.0</v>
      </c>
      <c r="B7155" s="3" t="s">
        <v>11280</v>
      </c>
      <c r="C7155" s="3" t="s">
        <v>11281</v>
      </c>
      <c r="D7155" s="3" t="s">
        <v>15698</v>
      </c>
      <c r="E7155" s="3" t="s">
        <v>15699</v>
      </c>
      <c r="F7155" s="3" t="s">
        <v>15700</v>
      </c>
    </row>
    <row r="7156">
      <c r="A7156" s="3">
        <v>1523.0</v>
      </c>
      <c r="B7156" s="3" t="s">
        <v>11280</v>
      </c>
      <c r="C7156" s="3" t="s">
        <v>11281</v>
      </c>
      <c r="D7156" s="3" t="s">
        <v>15701</v>
      </c>
      <c r="E7156" s="3" t="s">
        <v>15702</v>
      </c>
      <c r="F7156" s="3" t="s">
        <v>15703</v>
      </c>
    </row>
    <row r="7157">
      <c r="A7157" s="3">
        <v>1524.0</v>
      </c>
      <c r="B7157" s="3" t="s">
        <v>11280</v>
      </c>
      <c r="C7157" s="3" t="s">
        <v>11281</v>
      </c>
      <c r="D7157" s="3" t="s">
        <v>15704</v>
      </c>
      <c r="E7157" s="3" t="s">
        <v>15705</v>
      </c>
      <c r="F7157" s="3" t="s">
        <v>15706</v>
      </c>
    </row>
    <row r="7158">
      <c r="A7158" s="3">
        <v>1525.0</v>
      </c>
      <c r="B7158" s="3" t="s">
        <v>11280</v>
      </c>
      <c r="C7158" s="3" t="s">
        <v>11281</v>
      </c>
      <c r="D7158" s="3" t="s">
        <v>15707</v>
      </c>
      <c r="E7158" s="3" t="s">
        <v>15708</v>
      </c>
      <c r="F7158" s="3" t="s">
        <v>15707</v>
      </c>
    </row>
    <row r="7159">
      <c r="A7159" s="3">
        <v>1526.0</v>
      </c>
      <c r="B7159" s="3" t="s">
        <v>11280</v>
      </c>
      <c r="C7159" s="3" t="s">
        <v>11281</v>
      </c>
      <c r="D7159" s="3" t="s">
        <v>15709</v>
      </c>
      <c r="E7159" s="3" t="s">
        <v>15710</v>
      </c>
      <c r="F7159" s="3" t="s">
        <v>15709</v>
      </c>
    </row>
    <row r="7160">
      <c r="A7160" s="3">
        <v>1527.0</v>
      </c>
      <c r="B7160" s="3" t="s">
        <v>11280</v>
      </c>
      <c r="C7160" s="3" t="s">
        <v>11281</v>
      </c>
      <c r="D7160" s="3" t="s">
        <v>15711</v>
      </c>
      <c r="E7160" s="3" t="s">
        <v>15712</v>
      </c>
      <c r="F7160" s="3" t="s">
        <v>15711</v>
      </c>
    </row>
    <row r="7161">
      <c r="A7161" s="3">
        <v>1528.0</v>
      </c>
      <c r="B7161" s="3" t="s">
        <v>11280</v>
      </c>
      <c r="C7161" s="3" t="s">
        <v>11281</v>
      </c>
      <c r="D7161" s="3" t="s">
        <v>15713</v>
      </c>
      <c r="E7161" s="3" t="s">
        <v>7235</v>
      </c>
      <c r="F7161" s="3" t="s">
        <v>2971</v>
      </c>
      <c r="G7161" s="3"/>
      <c r="H7161" s="3" t="s">
        <v>15714</v>
      </c>
      <c r="I7161" s="3" t="s">
        <v>15715</v>
      </c>
      <c r="J7161" s="3" t="s">
        <v>15716</v>
      </c>
      <c r="K7161" s="3" t="s">
        <v>15717</v>
      </c>
    </row>
    <row r="7162">
      <c r="A7162" s="3">
        <v>1529.0</v>
      </c>
      <c r="B7162" s="3" t="s">
        <v>11280</v>
      </c>
      <c r="C7162" s="3" t="s">
        <v>11281</v>
      </c>
      <c r="D7162" s="3" t="s">
        <v>15718</v>
      </c>
      <c r="E7162" s="3" t="s">
        <v>7238</v>
      </c>
      <c r="F7162" s="3" t="s">
        <v>2980</v>
      </c>
    </row>
    <row r="7163">
      <c r="A7163" s="3">
        <v>1530.0</v>
      </c>
      <c r="B7163" s="3" t="s">
        <v>11280</v>
      </c>
      <c r="C7163" s="3" t="s">
        <v>11281</v>
      </c>
      <c r="D7163" s="3" t="s">
        <v>15719</v>
      </c>
      <c r="E7163" s="3" t="s">
        <v>15720</v>
      </c>
      <c r="F7163" s="3" t="s">
        <v>15721</v>
      </c>
    </row>
    <row r="7164">
      <c r="A7164" s="3">
        <v>1531.0</v>
      </c>
      <c r="B7164" s="3" t="s">
        <v>11280</v>
      </c>
      <c r="C7164" s="3" t="s">
        <v>11281</v>
      </c>
      <c r="D7164" s="3" t="s">
        <v>15722</v>
      </c>
      <c r="E7164" s="3" t="s">
        <v>15723</v>
      </c>
      <c r="F7164" s="3" t="s">
        <v>15724</v>
      </c>
    </row>
    <row r="7165">
      <c r="A7165" s="3">
        <v>1532.0</v>
      </c>
      <c r="B7165" s="3" t="s">
        <v>11280</v>
      </c>
      <c r="C7165" s="3" t="s">
        <v>11281</v>
      </c>
      <c r="D7165" s="3" t="s">
        <v>15725</v>
      </c>
      <c r="E7165" s="3" t="s">
        <v>15726</v>
      </c>
      <c r="F7165" s="3" t="s">
        <v>15721</v>
      </c>
      <c r="G7165" s="3"/>
      <c r="H7165" s="3" t="s">
        <v>15727</v>
      </c>
      <c r="I7165" s="3" t="s">
        <v>15728</v>
      </c>
    </row>
    <row r="7166">
      <c r="A7166" s="3">
        <v>1533.0</v>
      </c>
      <c r="B7166" s="3" t="s">
        <v>11280</v>
      </c>
      <c r="C7166" s="3" t="s">
        <v>11281</v>
      </c>
      <c r="D7166" s="3" t="s">
        <v>15729</v>
      </c>
      <c r="E7166" s="3" t="s">
        <v>15730</v>
      </c>
      <c r="F7166" s="3" t="s">
        <v>15731</v>
      </c>
    </row>
    <row r="7167">
      <c r="A7167" s="3">
        <v>1534.0</v>
      </c>
      <c r="B7167" s="3" t="s">
        <v>11280</v>
      </c>
      <c r="C7167" s="3" t="s">
        <v>11281</v>
      </c>
      <c r="D7167" s="3" t="s">
        <v>15732</v>
      </c>
      <c r="E7167" s="3" t="s">
        <v>15733</v>
      </c>
      <c r="F7167" s="3" t="s">
        <v>15734</v>
      </c>
      <c r="G7167" s="3"/>
      <c r="H7167" s="3" t="s">
        <v>15727</v>
      </c>
    </row>
    <row r="7168">
      <c r="A7168" s="3">
        <v>1535.0</v>
      </c>
      <c r="B7168" s="3" t="s">
        <v>11280</v>
      </c>
      <c r="C7168" s="3" t="s">
        <v>11281</v>
      </c>
      <c r="D7168" s="3" t="s">
        <v>15735</v>
      </c>
      <c r="E7168" s="3" t="s">
        <v>15736</v>
      </c>
      <c r="F7168" s="3" t="s">
        <v>15737</v>
      </c>
    </row>
    <row r="7169">
      <c r="A7169" s="3">
        <v>1536.0</v>
      </c>
      <c r="B7169" s="3" t="s">
        <v>11280</v>
      </c>
      <c r="C7169" s="3" t="s">
        <v>11281</v>
      </c>
      <c r="D7169" s="3" t="s">
        <v>15738</v>
      </c>
      <c r="E7169" s="3" t="s">
        <v>15739</v>
      </c>
      <c r="F7169" s="3" t="s">
        <v>15740</v>
      </c>
    </row>
    <row r="7170">
      <c r="A7170" s="3">
        <v>1537.0</v>
      </c>
      <c r="B7170" s="3" t="s">
        <v>11280</v>
      </c>
      <c r="C7170" s="3" t="s">
        <v>11281</v>
      </c>
      <c r="D7170" s="3" t="s">
        <v>15741</v>
      </c>
      <c r="E7170" s="3" t="s">
        <v>15742</v>
      </c>
      <c r="F7170" s="3" t="s">
        <v>15743</v>
      </c>
    </row>
    <row r="7171">
      <c r="A7171" s="3">
        <v>1538.0</v>
      </c>
      <c r="B7171" s="3" t="s">
        <v>11280</v>
      </c>
      <c r="C7171" s="3" t="s">
        <v>11281</v>
      </c>
      <c r="D7171" s="3" t="s">
        <v>15744</v>
      </c>
      <c r="E7171" s="3" t="s">
        <v>15745</v>
      </c>
      <c r="F7171" s="3" t="s">
        <v>15724</v>
      </c>
    </row>
    <row r="7172">
      <c r="A7172" s="3">
        <v>1539.0</v>
      </c>
      <c r="B7172" s="3" t="s">
        <v>11280</v>
      </c>
      <c r="C7172" s="3" t="s">
        <v>11281</v>
      </c>
      <c r="D7172" s="3" t="s">
        <v>7169</v>
      </c>
      <c r="E7172" s="3" t="s">
        <v>15746</v>
      </c>
      <c r="F7172" s="3" t="s">
        <v>7169</v>
      </c>
      <c r="G7172" s="3"/>
      <c r="H7172" s="3" t="s">
        <v>7169</v>
      </c>
      <c r="I7172" s="3" t="s">
        <v>918</v>
      </c>
      <c r="J7172" s="3" t="s">
        <v>11202</v>
      </c>
      <c r="K7172" s="3" t="s">
        <v>11203</v>
      </c>
    </row>
    <row r="7173">
      <c r="A7173" s="3">
        <v>1540.0</v>
      </c>
      <c r="B7173" s="3" t="s">
        <v>11280</v>
      </c>
      <c r="C7173" s="3" t="s">
        <v>11281</v>
      </c>
      <c r="D7173" s="3" t="s">
        <v>15747</v>
      </c>
      <c r="E7173" s="3" t="s">
        <v>15748</v>
      </c>
      <c r="F7173" s="3" t="s">
        <v>15747</v>
      </c>
    </row>
    <row r="7174">
      <c r="A7174" s="3">
        <v>1541.0</v>
      </c>
      <c r="B7174" s="3" t="s">
        <v>11280</v>
      </c>
      <c r="C7174" s="3" t="s">
        <v>11281</v>
      </c>
      <c r="D7174" s="3" t="s">
        <v>15749</v>
      </c>
      <c r="E7174" s="3" t="s">
        <v>15750</v>
      </c>
      <c r="F7174" s="3" t="s">
        <v>15749</v>
      </c>
      <c r="G7174" s="3"/>
      <c r="H7174" s="3" t="s">
        <v>697</v>
      </c>
      <c r="I7174" s="3" t="s">
        <v>15751</v>
      </c>
      <c r="J7174" s="3" t="s">
        <v>15752</v>
      </c>
      <c r="K7174" s="3" t="s">
        <v>15753</v>
      </c>
      <c r="L7174" s="3" t="s">
        <v>12352</v>
      </c>
      <c r="M7174" s="3" t="s">
        <v>15754</v>
      </c>
      <c r="N7174" s="3" t="s">
        <v>15754</v>
      </c>
      <c r="O7174" s="3" t="s">
        <v>15755</v>
      </c>
      <c r="P7174" s="3" t="s">
        <v>15756</v>
      </c>
      <c r="Q7174" s="3" t="s">
        <v>15757</v>
      </c>
      <c r="R7174" s="3" t="s">
        <v>15758</v>
      </c>
      <c r="S7174" s="3" t="s">
        <v>15759</v>
      </c>
      <c r="T7174" s="3" t="s">
        <v>697</v>
      </c>
      <c r="U7174" s="3" t="s">
        <v>15760</v>
      </c>
      <c r="V7174" s="3" t="s">
        <v>15761</v>
      </c>
      <c r="W7174" s="3" t="s">
        <v>15762</v>
      </c>
      <c r="X7174" s="3" t="s">
        <v>12418</v>
      </c>
      <c r="Y7174" s="3" t="s">
        <v>15763</v>
      </c>
      <c r="Z7174" s="3" t="s">
        <v>2997</v>
      </c>
      <c r="AA7174" s="3" t="s">
        <v>697</v>
      </c>
      <c r="AB7174" s="3" t="s">
        <v>15764</v>
      </c>
      <c r="AC7174" s="3" t="s">
        <v>15765</v>
      </c>
      <c r="AD7174" s="3" t="s">
        <v>15766</v>
      </c>
      <c r="AE7174" s="3" t="s">
        <v>2997</v>
      </c>
      <c r="AF7174" s="3" t="s">
        <v>697</v>
      </c>
      <c r="AG7174" s="3" t="s">
        <v>2122</v>
      </c>
      <c r="AH7174" s="3" t="s">
        <v>15754</v>
      </c>
      <c r="AI7174" s="3" t="s">
        <v>11735</v>
      </c>
      <c r="AJ7174" s="3" t="s">
        <v>11736</v>
      </c>
      <c r="AK7174" s="3" t="s">
        <v>11737</v>
      </c>
      <c r="AL7174" s="3" t="s">
        <v>11738</v>
      </c>
      <c r="AM7174" s="3" t="s">
        <v>11739</v>
      </c>
      <c r="AN7174" s="3" t="s">
        <v>11740</v>
      </c>
      <c r="AO7174" s="3" t="s">
        <v>11741</v>
      </c>
      <c r="AP7174" s="3" t="s">
        <v>11742</v>
      </c>
      <c r="AQ7174" s="3" t="s">
        <v>11743</v>
      </c>
      <c r="AR7174" s="3" t="s">
        <v>11744</v>
      </c>
      <c r="AS7174" s="3" t="s">
        <v>11745</v>
      </c>
      <c r="AT7174" s="3" t="s">
        <v>697</v>
      </c>
      <c r="AU7174" s="3" t="s">
        <v>15767</v>
      </c>
    </row>
    <row r="7175">
      <c r="A7175" s="3">
        <v>1542.0</v>
      </c>
      <c r="B7175" s="3" t="s">
        <v>11280</v>
      </c>
      <c r="C7175" s="3" t="s">
        <v>11281</v>
      </c>
      <c r="D7175" s="3" t="s">
        <v>15768</v>
      </c>
      <c r="E7175" s="3" t="s">
        <v>15769</v>
      </c>
      <c r="F7175" s="3" t="s">
        <v>15768</v>
      </c>
    </row>
    <row r="7176">
      <c r="A7176" s="3">
        <v>1543.0</v>
      </c>
      <c r="B7176" s="3" t="s">
        <v>11280</v>
      </c>
      <c r="C7176" s="3" t="s">
        <v>11281</v>
      </c>
      <c r="D7176" s="3" t="s">
        <v>15770</v>
      </c>
      <c r="E7176" s="3" t="s">
        <v>15771</v>
      </c>
      <c r="F7176" s="3" t="s">
        <v>15770</v>
      </c>
    </row>
    <row r="7177">
      <c r="A7177" s="3">
        <v>1544.0</v>
      </c>
      <c r="B7177" s="3" t="s">
        <v>11280</v>
      </c>
      <c r="C7177" s="3" t="s">
        <v>11281</v>
      </c>
      <c r="D7177" s="3" t="s">
        <v>15772</v>
      </c>
      <c r="E7177" s="3" t="s">
        <v>15773</v>
      </c>
      <c r="F7177" s="3" t="s">
        <v>15772</v>
      </c>
    </row>
    <row r="7178">
      <c r="A7178" s="3">
        <v>1545.0</v>
      </c>
      <c r="B7178" s="3" t="s">
        <v>11280</v>
      </c>
      <c r="C7178" s="3" t="s">
        <v>11281</v>
      </c>
      <c r="D7178" s="3" t="s">
        <v>15774</v>
      </c>
      <c r="E7178" s="3" t="s">
        <v>15775</v>
      </c>
      <c r="F7178" s="3" t="s">
        <v>15774</v>
      </c>
    </row>
    <row r="7179">
      <c r="A7179" s="3">
        <v>1546.0</v>
      </c>
      <c r="B7179" s="3" t="s">
        <v>11280</v>
      </c>
      <c r="C7179" s="3" t="s">
        <v>11281</v>
      </c>
      <c r="D7179" s="3" t="s">
        <v>15776</v>
      </c>
      <c r="E7179" s="3" t="s">
        <v>15777</v>
      </c>
      <c r="F7179" s="3" t="s">
        <v>15776</v>
      </c>
    </row>
    <row r="7180">
      <c r="A7180" s="3">
        <v>1547.0</v>
      </c>
      <c r="B7180" s="3" t="s">
        <v>11280</v>
      </c>
      <c r="C7180" s="3" t="s">
        <v>11281</v>
      </c>
      <c r="D7180" s="3" t="s">
        <v>15778</v>
      </c>
      <c r="E7180" s="3" t="s">
        <v>15779</v>
      </c>
      <c r="F7180" s="3" t="s">
        <v>15778</v>
      </c>
    </row>
    <row r="7181">
      <c r="A7181" s="3">
        <v>1548.0</v>
      </c>
      <c r="B7181" s="3" t="s">
        <v>11280</v>
      </c>
      <c r="C7181" s="3" t="s">
        <v>11281</v>
      </c>
      <c r="D7181" s="3" t="s">
        <v>15780</v>
      </c>
      <c r="E7181" s="3" t="s">
        <v>15781</v>
      </c>
      <c r="F7181" s="3" t="s">
        <v>15780</v>
      </c>
    </row>
    <row r="7182">
      <c r="A7182" s="3">
        <v>1549.0</v>
      </c>
      <c r="B7182" s="3" t="s">
        <v>11280</v>
      </c>
      <c r="C7182" s="3" t="s">
        <v>11281</v>
      </c>
      <c r="D7182" s="3" t="s">
        <v>15782</v>
      </c>
      <c r="E7182" s="3" t="s">
        <v>15783</v>
      </c>
      <c r="F7182" s="3" t="s">
        <v>15782</v>
      </c>
    </row>
    <row r="7183">
      <c r="A7183" s="3">
        <v>1550.0</v>
      </c>
      <c r="B7183" s="3" t="s">
        <v>11280</v>
      </c>
      <c r="C7183" s="3" t="s">
        <v>11281</v>
      </c>
      <c r="D7183" s="3" t="s">
        <v>15784</v>
      </c>
      <c r="E7183" s="3" t="s">
        <v>15785</v>
      </c>
      <c r="F7183" s="3" t="s">
        <v>15784</v>
      </c>
      <c r="G7183" s="3"/>
      <c r="H7183" s="3" t="s">
        <v>15786</v>
      </c>
      <c r="I7183" s="3" t="s">
        <v>15787</v>
      </c>
      <c r="J7183" s="3" t="s">
        <v>15788</v>
      </c>
      <c r="K7183" s="3" t="s">
        <v>10880</v>
      </c>
      <c r="L7183" s="3" t="s">
        <v>5191</v>
      </c>
      <c r="M7183" s="3" t="s">
        <v>15789</v>
      </c>
      <c r="N7183" s="3" t="s">
        <v>15790</v>
      </c>
    </row>
    <row r="7184">
      <c r="A7184" s="3">
        <v>1551.0</v>
      </c>
      <c r="B7184" s="3" t="s">
        <v>11280</v>
      </c>
      <c r="C7184" s="3" t="s">
        <v>11281</v>
      </c>
      <c r="D7184" s="3" t="s">
        <v>15791</v>
      </c>
      <c r="E7184" s="3" t="s">
        <v>15792</v>
      </c>
      <c r="F7184" s="3" t="s">
        <v>15791</v>
      </c>
    </row>
    <row r="7185">
      <c r="A7185" s="3">
        <v>1552.0</v>
      </c>
      <c r="B7185" s="3" t="s">
        <v>11280</v>
      </c>
      <c r="C7185" s="3" t="s">
        <v>11281</v>
      </c>
      <c r="D7185" s="3" t="s">
        <v>15793</v>
      </c>
      <c r="E7185" s="3" t="s">
        <v>15794</v>
      </c>
      <c r="F7185" s="3" t="s">
        <v>15793</v>
      </c>
    </row>
    <row r="7186">
      <c r="A7186" s="3">
        <v>1553.0</v>
      </c>
      <c r="B7186" s="3" t="s">
        <v>11280</v>
      </c>
      <c r="C7186" s="3" t="s">
        <v>11281</v>
      </c>
      <c r="D7186" s="3" t="s">
        <v>15795</v>
      </c>
      <c r="E7186" s="3" t="s">
        <v>15796</v>
      </c>
      <c r="F7186" s="3" t="s">
        <v>15795</v>
      </c>
    </row>
    <row r="7187">
      <c r="A7187" s="3">
        <v>1554.0</v>
      </c>
      <c r="B7187" s="3" t="s">
        <v>11280</v>
      </c>
      <c r="C7187" s="3" t="s">
        <v>11281</v>
      </c>
      <c r="D7187" s="3" t="s">
        <v>15797</v>
      </c>
      <c r="E7187" s="3" t="s">
        <v>15798</v>
      </c>
      <c r="F7187" s="3" t="s">
        <v>15797</v>
      </c>
    </row>
    <row r="7188">
      <c r="A7188" s="3">
        <v>1555.0</v>
      </c>
      <c r="B7188" s="3" t="s">
        <v>11280</v>
      </c>
      <c r="C7188" s="3" t="s">
        <v>11281</v>
      </c>
      <c r="D7188" s="3" t="s">
        <v>15799</v>
      </c>
      <c r="E7188" s="3" t="s">
        <v>15800</v>
      </c>
      <c r="F7188" s="3" t="s">
        <v>15799</v>
      </c>
    </row>
    <row r="7189">
      <c r="A7189" s="3">
        <v>1556.0</v>
      </c>
      <c r="B7189" s="3" t="s">
        <v>11280</v>
      </c>
      <c r="C7189" s="3" t="s">
        <v>11281</v>
      </c>
      <c r="D7189" s="3" t="s">
        <v>15801</v>
      </c>
      <c r="E7189" s="3" t="s">
        <v>15802</v>
      </c>
      <c r="F7189" s="3" t="s">
        <v>15801</v>
      </c>
    </row>
    <row r="7190">
      <c r="A7190" s="3">
        <v>1557.0</v>
      </c>
      <c r="B7190" s="3" t="s">
        <v>11280</v>
      </c>
      <c r="C7190" s="3" t="s">
        <v>11281</v>
      </c>
      <c r="D7190" s="3" t="s">
        <v>15803</v>
      </c>
      <c r="E7190" s="3" t="s">
        <v>15804</v>
      </c>
      <c r="F7190" s="3" t="s">
        <v>15803</v>
      </c>
    </row>
    <row r="7191">
      <c r="A7191" s="3">
        <v>1558.0</v>
      </c>
      <c r="B7191" s="3" t="s">
        <v>11280</v>
      </c>
      <c r="C7191" s="3" t="s">
        <v>11281</v>
      </c>
      <c r="D7191" s="3" t="s">
        <v>15805</v>
      </c>
      <c r="E7191" s="3" t="s">
        <v>15806</v>
      </c>
      <c r="F7191" s="3" t="s">
        <v>15805</v>
      </c>
    </row>
    <row r="7192">
      <c r="A7192" s="3">
        <v>1559.0</v>
      </c>
      <c r="B7192" s="3" t="s">
        <v>11280</v>
      </c>
      <c r="C7192" s="3" t="s">
        <v>11281</v>
      </c>
      <c r="D7192" s="3" t="s">
        <v>15807</v>
      </c>
      <c r="E7192" s="3" t="s">
        <v>15808</v>
      </c>
      <c r="F7192" s="3" t="s">
        <v>15807</v>
      </c>
    </row>
    <row r="7193">
      <c r="A7193" s="3">
        <v>1560.0</v>
      </c>
      <c r="B7193" s="3" t="s">
        <v>11280</v>
      </c>
      <c r="C7193" s="3" t="s">
        <v>11281</v>
      </c>
      <c r="D7193" s="3" t="s">
        <v>15809</v>
      </c>
      <c r="E7193" s="3" t="s">
        <v>15810</v>
      </c>
      <c r="F7193" s="3" t="s">
        <v>15811</v>
      </c>
    </row>
    <row r="7194">
      <c r="A7194" s="3">
        <v>1561.0</v>
      </c>
      <c r="B7194" s="3" t="s">
        <v>11280</v>
      </c>
      <c r="C7194" s="3" t="s">
        <v>11281</v>
      </c>
      <c r="D7194" s="3" t="s">
        <v>15812</v>
      </c>
      <c r="E7194" s="3" t="s">
        <v>15813</v>
      </c>
      <c r="F7194" s="3" t="s">
        <v>15814</v>
      </c>
    </row>
    <row r="7195">
      <c r="A7195" s="3">
        <v>1562.0</v>
      </c>
      <c r="B7195" s="3" t="s">
        <v>11280</v>
      </c>
      <c r="C7195" s="3" t="s">
        <v>11281</v>
      </c>
      <c r="D7195" s="3" t="s">
        <v>15815</v>
      </c>
      <c r="E7195" s="3" t="s">
        <v>15816</v>
      </c>
      <c r="F7195" s="3" t="s">
        <v>15817</v>
      </c>
    </row>
    <row r="7196">
      <c r="A7196" s="3">
        <v>1563.0</v>
      </c>
      <c r="B7196" s="3" t="s">
        <v>11280</v>
      </c>
      <c r="C7196" s="3" t="s">
        <v>11281</v>
      </c>
      <c r="D7196" s="3" t="s">
        <v>15818</v>
      </c>
      <c r="E7196" s="3" t="s">
        <v>15819</v>
      </c>
      <c r="F7196" s="3" t="s">
        <v>15820</v>
      </c>
    </row>
    <row r="7197">
      <c r="A7197" s="3">
        <v>1564.0</v>
      </c>
      <c r="B7197" s="3" t="s">
        <v>11280</v>
      </c>
      <c r="C7197" s="3" t="s">
        <v>11281</v>
      </c>
      <c r="D7197" s="3" t="s">
        <v>15821</v>
      </c>
      <c r="E7197" s="3" t="s">
        <v>15822</v>
      </c>
      <c r="F7197" s="3" t="s">
        <v>15823</v>
      </c>
      <c r="G7197" s="3"/>
      <c r="H7197" s="3" t="s">
        <v>15824</v>
      </c>
      <c r="I7197" s="3" t="s">
        <v>15825</v>
      </c>
      <c r="J7197" s="3" t="s">
        <v>14586</v>
      </c>
      <c r="K7197" s="3" t="s">
        <v>15826</v>
      </c>
      <c r="L7197" s="3" t="s">
        <v>15827</v>
      </c>
      <c r="M7197" s="3" t="s">
        <v>3036</v>
      </c>
      <c r="N7197" s="3" t="s">
        <v>15828</v>
      </c>
      <c r="O7197" s="3" t="s">
        <v>15827</v>
      </c>
      <c r="P7197" s="3" t="s">
        <v>14586</v>
      </c>
    </row>
    <row r="7198">
      <c r="A7198" s="3">
        <v>1565.0</v>
      </c>
      <c r="B7198" s="3" t="s">
        <v>11280</v>
      </c>
      <c r="C7198" s="3" t="s">
        <v>11281</v>
      </c>
      <c r="D7198" s="3" t="s">
        <v>15829</v>
      </c>
      <c r="E7198" s="3" t="s">
        <v>15830</v>
      </c>
      <c r="F7198" s="3" t="s">
        <v>15831</v>
      </c>
      <c r="G7198" s="3"/>
      <c r="H7198" s="3" t="s">
        <v>15832</v>
      </c>
      <c r="I7198" s="3" t="s">
        <v>15833</v>
      </c>
      <c r="J7198" s="3" t="s">
        <v>9645</v>
      </c>
      <c r="K7198" s="3" t="s">
        <v>9877</v>
      </c>
      <c r="L7198" s="3" t="s">
        <v>15834</v>
      </c>
      <c r="M7198" s="3" t="s">
        <v>9645</v>
      </c>
      <c r="N7198" s="3" t="s">
        <v>15835</v>
      </c>
      <c r="O7198" s="3" t="s">
        <v>9877</v>
      </c>
      <c r="P7198" s="3" t="s">
        <v>9877</v>
      </c>
      <c r="Q7198" s="3" t="s">
        <v>9645</v>
      </c>
      <c r="R7198" s="3" t="s">
        <v>9877</v>
      </c>
      <c r="S7198" s="3" t="s">
        <v>15836</v>
      </c>
      <c r="T7198" s="3" t="s">
        <v>9645</v>
      </c>
      <c r="U7198" s="3" t="s">
        <v>9877</v>
      </c>
      <c r="V7198" s="3" t="s">
        <v>9645</v>
      </c>
      <c r="W7198" s="3" t="s">
        <v>15837</v>
      </c>
      <c r="X7198" s="3" t="s">
        <v>9877</v>
      </c>
      <c r="Y7198" s="3" t="s">
        <v>6226</v>
      </c>
      <c r="Z7198" s="3" t="s">
        <v>15838</v>
      </c>
      <c r="AA7198" s="3" t="s">
        <v>15839</v>
      </c>
      <c r="AB7198" s="3" t="s">
        <v>15840</v>
      </c>
      <c r="AC7198" s="3" t="s">
        <v>9877</v>
      </c>
      <c r="AD7198" s="3" t="s">
        <v>15841</v>
      </c>
      <c r="AE7198" s="3" t="s">
        <v>15842</v>
      </c>
      <c r="AF7198" s="3" t="s">
        <v>9645</v>
      </c>
    </row>
    <row r="7199">
      <c r="A7199" s="3">
        <v>1566.0</v>
      </c>
      <c r="B7199" s="3" t="s">
        <v>11280</v>
      </c>
      <c r="C7199" s="3" t="s">
        <v>11281</v>
      </c>
      <c r="D7199" s="3" t="s">
        <v>15843</v>
      </c>
      <c r="E7199" s="3" t="s">
        <v>15844</v>
      </c>
      <c r="F7199" s="3" t="s">
        <v>15843</v>
      </c>
    </row>
    <row r="7200">
      <c r="A7200" s="3">
        <v>1567.0</v>
      </c>
      <c r="B7200" s="3" t="s">
        <v>11280</v>
      </c>
      <c r="C7200" s="3" t="s">
        <v>11281</v>
      </c>
      <c r="D7200" s="3" t="s">
        <v>15845</v>
      </c>
      <c r="E7200" s="3" t="s">
        <v>15846</v>
      </c>
      <c r="F7200" s="3" t="s">
        <v>15845</v>
      </c>
    </row>
    <row r="7201">
      <c r="A7201" s="3">
        <v>1568.0</v>
      </c>
      <c r="B7201" s="3" t="s">
        <v>11280</v>
      </c>
      <c r="C7201" s="3" t="s">
        <v>11281</v>
      </c>
      <c r="D7201" s="3" t="s">
        <v>15847</v>
      </c>
      <c r="E7201" s="3" t="s">
        <v>15848</v>
      </c>
      <c r="F7201" s="3" t="s">
        <v>15847</v>
      </c>
    </row>
    <row r="7202">
      <c r="A7202" s="3">
        <v>1569.0</v>
      </c>
      <c r="B7202" s="3" t="s">
        <v>11280</v>
      </c>
      <c r="C7202" s="3" t="s">
        <v>11281</v>
      </c>
      <c r="D7202" s="3" t="s">
        <v>15849</v>
      </c>
      <c r="E7202" s="3" t="s">
        <v>15850</v>
      </c>
      <c r="F7202" s="3" t="s">
        <v>15849</v>
      </c>
    </row>
    <row r="7203">
      <c r="A7203" s="3">
        <v>1570.0</v>
      </c>
      <c r="B7203" s="3" t="s">
        <v>11280</v>
      </c>
      <c r="C7203" s="3" t="s">
        <v>11281</v>
      </c>
      <c r="D7203" s="3" t="s">
        <v>15851</v>
      </c>
      <c r="E7203" s="3" t="s">
        <v>15852</v>
      </c>
      <c r="F7203" s="3" t="s">
        <v>15851</v>
      </c>
    </row>
    <row r="7204">
      <c r="A7204" s="3">
        <v>1571.0</v>
      </c>
      <c r="B7204" s="3" t="s">
        <v>11280</v>
      </c>
      <c r="C7204" s="3" t="s">
        <v>11281</v>
      </c>
      <c r="D7204" s="3" t="s">
        <v>15853</v>
      </c>
      <c r="E7204" s="3" t="s">
        <v>15854</v>
      </c>
      <c r="F7204" s="3" t="s">
        <v>15853</v>
      </c>
      <c r="G7204" s="3"/>
      <c r="H7204" s="3" t="s">
        <v>15855</v>
      </c>
      <c r="I7204" s="3" t="s">
        <v>15856</v>
      </c>
      <c r="J7204" s="3" t="s">
        <v>15856</v>
      </c>
      <c r="K7204" s="3" t="s">
        <v>15857</v>
      </c>
      <c r="L7204" s="3" t="s">
        <v>15858</v>
      </c>
      <c r="M7204" s="3" t="s">
        <v>15856</v>
      </c>
      <c r="N7204" s="3" t="s">
        <v>15859</v>
      </c>
      <c r="O7204" s="3" t="s">
        <v>15860</v>
      </c>
    </row>
    <row r="7205">
      <c r="A7205" s="3">
        <v>1572.0</v>
      </c>
      <c r="B7205" s="3" t="s">
        <v>11280</v>
      </c>
      <c r="C7205" s="3" t="s">
        <v>11281</v>
      </c>
      <c r="D7205" s="3" t="s">
        <v>15861</v>
      </c>
      <c r="E7205" s="3" t="s">
        <v>15862</v>
      </c>
      <c r="F7205" s="3" t="s">
        <v>15861</v>
      </c>
    </row>
    <row r="7206">
      <c r="A7206" s="3">
        <v>1573.0</v>
      </c>
      <c r="B7206" s="3" t="s">
        <v>11280</v>
      </c>
      <c r="C7206" s="3" t="s">
        <v>11281</v>
      </c>
      <c r="D7206" s="3" t="s">
        <v>15863</v>
      </c>
      <c r="E7206" s="3" t="s">
        <v>15864</v>
      </c>
      <c r="F7206" s="3" t="s">
        <v>15863</v>
      </c>
    </row>
    <row r="7207">
      <c r="A7207" s="3">
        <v>1574.0</v>
      </c>
      <c r="B7207" s="3" t="s">
        <v>11280</v>
      </c>
      <c r="C7207" s="3" t="s">
        <v>11281</v>
      </c>
      <c r="D7207" s="3" t="s">
        <v>15865</v>
      </c>
      <c r="E7207" s="3" t="s">
        <v>15866</v>
      </c>
      <c r="F7207" s="3" t="s">
        <v>15865</v>
      </c>
    </row>
    <row r="7208">
      <c r="A7208" s="3">
        <v>1575.0</v>
      </c>
      <c r="B7208" s="3" t="s">
        <v>11280</v>
      </c>
      <c r="C7208" s="3" t="s">
        <v>11281</v>
      </c>
      <c r="D7208" s="3" t="s">
        <v>15867</v>
      </c>
      <c r="E7208" s="3" t="s">
        <v>15868</v>
      </c>
      <c r="F7208" s="3" t="s">
        <v>15867</v>
      </c>
    </row>
    <row r="7209">
      <c r="A7209" s="3">
        <v>1576.0</v>
      </c>
      <c r="B7209" s="3" t="s">
        <v>11280</v>
      </c>
      <c r="C7209" s="3" t="s">
        <v>11281</v>
      </c>
      <c r="D7209" s="3" t="s">
        <v>3101</v>
      </c>
      <c r="E7209" s="3" t="s">
        <v>7252</v>
      </c>
      <c r="F7209" s="3" t="s">
        <v>3101</v>
      </c>
    </row>
    <row r="7210">
      <c r="A7210" s="3">
        <v>1577.0</v>
      </c>
      <c r="B7210" s="3" t="s">
        <v>11280</v>
      </c>
      <c r="C7210" s="3" t="s">
        <v>11281</v>
      </c>
      <c r="D7210" s="3" t="s">
        <v>15869</v>
      </c>
      <c r="E7210" s="3" t="s">
        <v>15870</v>
      </c>
      <c r="F7210" s="3" t="s">
        <v>15869</v>
      </c>
    </row>
    <row r="7211">
      <c r="A7211" s="3">
        <v>1578.0</v>
      </c>
      <c r="B7211" s="3" t="s">
        <v>11280</v>
      </c>
      <c r="C7211" s="3" t="s">
        <v>11281</v>
      </c>
      <c r="D7211" s="3" t="s">
        <v>3110</v>
      </c>
      <c r="E7211" s="3" t="s">
        <v>7255</v>
      </c>
      <c r="F7211" s="3" t="s">
        <v>3110</v>
      </c>
    </row>
    <row r="7212">
      <c r="A7212" s="3">
        <v>1579.0</v>
      </c>
      <c r="B7212" s="3" t="s">
        <v>11280</v>
      </c>
      <c r="C7212" s="3" t="s">
        <v>11281</v>
      </c>
      <c r="D7212" s="3" t="s">
        <v>15871</v>
      </c>
      <c r="E7212" s="3" t="s">
        <v>15872</v>
      </c>
      <c r="F7212" s="3" t="s">
        <v>15871</v>
      </c>
    </row>
    <row r="7213">
      <c r="A7213" s="3">
        <v>1580.0</v>
      </c>
      <c r="B7213" s="3" t="s">
        <v>11280</v>
      </c>
      <c r="C7213" s="3" t="s">
        <v>11281</v>
      </c>
      <c r="D7213" s="3" t="s">
        <v>15873</v>
      </c>
      <c r="E7213" s="3" t="s">
        <v>15874</v>
      </c>
      <c r="F7213" s="3" t="s">
        <v>15873</v>
      </c>
    </row>
    <row r="7214">
      <c r="A7214" s="3">
        <v>1581.0</v>
      </c>
      <c r="B7214" s="3" t="s">
        <v>11280</v>
      </c>
      <c r="C7214" s="3" t="s">
        <v>11281</v>
      </c>
      <c r="D7214" s="3" t="s">
        <v>3098</v>
      </c>
      <c r="E7214" s="3" t="s">
        <v>15875</v>
      </c>
      <c r="F7214" s="3" t="s">
        <v>3098</v>
      </c>
      <c r="G7214" s="3"/>
      <c r="H7214" s="3" t="s">
        <v>3092</v>
      </c>
    </row>
    <row r="7215">
      <c r="A7215" s="3">
        <v>1582.0</v>
      </c>
      <c r="B7215" s="3" t="s">
        <v>11280</v>
      </c>
      <c r="C7215" s="3" t="s">
        <v>11281</v>
      </c>
      <c r="D7215" s="3" t="s">
        <v>15876</v>
      </c>
      <c r="E7215" s="3" t="s">
        <v>15877</v>
      </c>
      <c r="F7215" s="3" t="s">
        <v>15876</v>
      </c>
    </row>
    <row r="7216">
      <c r="A7216" s="3">
        <v>1583.0</v>
      </c>
      <c r="B7216" s="3" t="s">
        <v>11280</v>
      </c>
      <c r="C7216" s="3" t="s">
        <v>11281</v>
      </c>
      <c r="D7216" s="3" t="s">
        <v>15878</v>
      </c>
      <c r="E7216" s="3" t="s">
        <v>15879</v>
      </c>
      <c r="F7216" s="3" t="s">
        <v>15878</v>
      </c>
    </row>
    <row r="7217">
      <c r="A7217" s="3">
        <v>1584.0</v>
      </c>
      <c r="B7217" s="3" t="s">
        <v>11280</v>
      </c>
      <c r="C7217" s="3" t="s">
        <v>11281</v>
      </c>
      <c r="D7217" s="3" t="s">
        <v>15880</v>
      </c>
      <c r="E7217" s="3" t="s">
        <v>15881</v>
      </c>
      <c r="F7217" s="3" t="s">
        <v>15880</v>
      </c>
    </row>
    <row r="7218">
      <c r="A7218" s="3">
        <v>1585.0</v>
      </c>
      <c r="B7218" s="3" t="s">
        <v>11280</v>
      </c>
      <c r="C7218" s="3" t="s">
        <v>11281</v>
      </c>
      <c r="D7218" s="3" t="s">
        <v>15882</v>
      </c>
      <c r="E7218" s="3" t="s">
        <v>15883</v>
      </c>
      <c r="F7218" s="3" t="s">
        <v>15882</v>
      </c>
    </row>
    <row r="7219">
      <c r="A7219" s="3">
        <v>1586.0</v>
      </c>
      <c r="B7219" s="3" t="s">
        <v>11280</v>
      </c>
      <c r="C7219" s="3" t="s">
        <v>11281</v>
      </c>
      <c r="D7219" s="3" t="s">
        <v>15884</v>
      </c>
      <c r="E7219" s="3" t="s">
        <v>15885</v>
      </c>
      <c r="F7219" s="3" t="s">
        <v>15886</v>
      </c>
      <c r="G7219" s="3"/>
      <c r="H7219" s="3" t="s">
        <v>9653</v>
      </c>
      <c r="I7219" s="3" t="s">
        <v>10865</v>
      </c>
      <c r="J7219" s="3" t="s">
        <v>10866</v>
      </c>
      <c r="K7219" s="3" t="s">
        <v>9653</v>
      </c>
      <c r="L7219" s="3" t="s">
        <v>15887</v>
      </c>
      <c r="M7219" s="3" t="s">
        <v>9653</v>
      </c>
      <c r="N7219" s="3" t="s">
        <v>9653</v>
      </c>
      <c r="O7219" s="3" t="s">
        <v>9653</v>
      </c>
      <c r="P7219" s="3" t="s">
        <v>15888</v>
      </c>
      <c r="Q7219" s="3" t="s">
        <v>9653</v>
      </c>
      <c r="R7219" s="3" t="s">
        <v>15889</v>
      </c>
      <c r="S7219" s="3" t="s">
        <v>15890</v>
      </c>
      <c r="T7219" s="3" t="s">
        <v>9653</v>
      </c>
      <c r="U7219" s="3" t="s">
        <v>15891</v>
      </c>
    </row>
    <row r="7220">
      <c r="A7220" s="3">
        <v>1587.0</v>
      </c>
      <c r="B7220" s="3" t="s">
        <v>11280</v>
      </c>
      <c r="C7220" s="3" t="s">
        <v>11281</v>
      </c>
      <c r="D7220" s="3" t="s">
        <v>15892</v>
      </c>
      <c r="E7220" s="3" t="s">
        <v>3467</v>
      </c>
      <c r="F7220" s="3" t="s">
        <v>3468</v>
      </c>
    </row>
    <row r="7221">
      <c r="A7221" s="3">
        <v>1588.0</v>
      </c>
      <c r="B7221" s="3" t="s">
        <v>11280</v>
      </c>
      <c r="C7221" s="3" t="s">
        <v>11281</v>
      </c>
      <c r="D7221" s="3" t="s">
        <v>15893</v>
      </c>
      <c r="E7221" s="3" t="s">
        <v>15894</v>
      </c>
      <c r="F7221" s="3" t="s">
        <v>15895</v>
      </c>
      <c r="G7221" s="3"/>
      <c r="H7221" s="3" t="s">
        <v>15896</v>
      </c>
      <c r="I7221" s="3" t="s">
        <v>15897</v>
      </c>
    </row>
    <row r="7222">
      <c r="A7222" s="3">
        <v>1589.0</v>
      </c>
      <c r="B7222" s="3" t="s">
        <v>11280</v>
      </c>
      <c r="C7222" s="3" t="s">
        <v>11281</v>
      </c>
      <c r="D7222" s="3" t="s">
        <v>15898</v>
      </c>
      <c r="E7222" s="3" t="s">
        <v>15899</v>
      </c>
      <c r="F7222" s="3" t="s">
        <v>15900</v>
      </c>
    </row>
    <row r="7223">
      <c r="A7223" s="3">
        <v>1590.0</v>
      </c>
      <c r="B7223" s="3" t="s">
        <v>11280</v>
      </c>
      <c r="C7223" s="3" t="s">
        <v>11281</v>
      </c>
      <c r="D7223" s="3" t="s">
        <v>15901</v>
      </c>
      <c r="E7223" s="3" t="s">
        <v>15902</v>
      </c>
      <c r="F7223" s="3" t="s">
        <v>15903</v>
      </c>
    </row>
    <row r="7224">
      <c r="A7224" s="3">
        <v>1591.0</v>
      </c>
      <c r="B7224" s="3" t="s">
        <v>11280</v>
      </c>
      <c r="C7224" s="3" t="s">
        <v>11281</v>
      </c>
      <c r="D7224" s="3" t="s">
        <v>15904</v>
      </c>
      <c r="E7224" s="3" t="s">
        <v>15905</v>
      </c>
      <c r="F7224" s="3" t="s">
        <v>15906</v>
      </c>
    </row>
    <row r="7225">
      <c r="A7225" s="3">
        <v>1592.0</v>
      </c>
      <c r="B7225" s="3" t="s">
        <v>11280</v>
      </c>
      <c r="C7225" s="3" t="s">
        <v>11281</v>
      </c>
      <c r="D7225" s="3" t="s">
        <v>15907</v>
      </c>
      <c r="E7225" s="3" t="s">
        <v>15908</v>
      </c>
      <c r="F7225" s="3" t="s">
        <v>15909</v>
      </c>
    </row>
    <row r="7226">
      <c r="A7226" s="3">
        <v>1593.0</v>
      </c>
      <c r="B7226" s="3" t="s">
        <v>11280</v>
      </c>
      <c r="C7226" s="3" t="s">
        <v>11281</v>
      </c>
      <c r="D7226" s="3" t="s">
        <v>15910</v>
      </c>
      <c r="E7226" s="3" t="s">
        <v>15911</v>
      </c>
      <c r="F7226" s="3" t="s">
        <v>15912</v>
      </c>
    </row>
    <row r="7227">
      <c r="A7227" s="3">
        <v>1594.0</v>
      </c>
      <c r="B7227" s="3" t="s">
        <v>11280</v>
      </c>
      <c r="C7227" s="3" t="s">
        <v>11281</v>
      </c>
      <c r="D7227" s="3" t="s">
        <v>15913</v>
      </c>
      <c r="E7227" s="3" t="s">
        <v>15914</v>
      </c>
      <c r="F7227" s="3" t="s">
        <v>15915</v>
      </c>
    </row>
    <row r="7228">
      <c r="A7228" s="3">
        <v>1595.0</v>
      </c>
      <c r="B7228" s="3" t="s">
        <v>11280</v>
      </c>
      <c r="C7228" s="3" t="s">
        <v>11281</v>
      </c>
      <c r="D7228" s="3" t="s">
        <v>15916</v>
      </c>
      <c r="E7228" s="3" t="s">
        <v>15917</v>
      </c>
      <c r="F7228" s="3" t="s">
        <v>15918</v>
      </c>
    </row>
    <row r="7229">
      <c r="A7229" s="3">
        <v>1596.0</v>
      </c>
      <c r="B7229" s="3" t="s">
        <v>11280</v>
      </c>
      <c r="C7229" s="3" t="s">
        <v>11281</v>
      </c>
      <c r="D7229" s="3" t="s">
        <v>15919</v>
      </c>
      <c r="E7229" s="3" t="s">
        <v>15920</v>
      </c>
      <c r="F7229" s="3" t="s">
        <v>15921</v>
      </c>
    </row>
    <row r="7230">
      <c r="A7230" s="3">
        <v>1597.0</v>
      </c>
      <c r="B7230" s="3" t="s">
        <v>11280</v>
      </c>
      <c r="C7230" s="3" t="s">
        <v>11281</v>
      </c>
      <c r="D7230" s="3" t="s">
        <v>15922</v>
      </c>
      <c r="E7230" s="3" t="s">
        <v>3476</v>
      </c>
      <c r="F7230" s="3" t="s">
        <v>3477</v>
      </c>
    </row>
    <row r="7231">
      <c r="A7231" s="3">
        <v>1598.0</v>
      </c>
      <c r="B7231" s="3" t="s">
        <v>11280</v>
      </c>
      <c r="C7231" s="3" t="s">
        <v>11281</v>
      </c>
      <c r="D7231" s="3" t="s">
        <v>15923</v>
      </c>
      <c r="E7231" s="3" t="s">
        <v>15924</v>
      </c>
      <c r="F7231" s="3" t="s">
        <v>15925</v>
      </c>
    </row>
    <row r="7232">
      <c r="A7232" s="3">
        <v>1599.0</v>
      </c>
      <c r="B7232" s="3" t="s">
        <v>11280</v>
      </c>
      <c r="C7232" s="3" t="s">
        <v>11281</v>
      </c>
      <c r="D7232" s="3" t="s">
        <v>15926</v>
      </c>
      <c r="E7232" s="3" t="s">
        <v>15927</v>
      </c>
      <c r="F7232" s="3" t="s">
        <v>15928</v>
      </c>
    </row>
    <row r="7233">
      <c r="A7233" s="3">
        <v>1600.0</v>
      </c>
      <c r="B7233" s="3" t="s">
        <v>11280</v>
      </c>
      <c r="C7233" s="3" t="s">
        <v>11281</v>
      </c>
      <c r="D7233" s="3" t="s">
        <v>15929</v>
      </c>
      <c r="E7233" s="3" t="s">
        <v>15930</v>
      </c>
      <c r="F7233" s="3" t="s">
        <v>15931</v>
      </c>
    </row>
    <row r="7234">
      <c r="A7234" s="3">
        <v>1601.0</v>
      </c>
      <c r="B7234" s="3" t="s">
        <v>11280</v>
      </c>
      <c r="C7234" s="3" t="s">
        <v>11281</v>
      </c>
      <c r="D7234" s="3" t="s">
        <v>15932</v>
      </c>
      <c r="E7234" s="3" t="s">
        <v>15933</v>
      </c>
      <c r="F7234" s="3" t="s">
        <v>15934</v>
      </c>
    </row>
    <row r="7235">
      <c r="A7235" s="3">
        <v>1602.0</v>
      </c>
      <c r="B7235" s="3" t="s">
        <v>11280</v>
      </c>
      <c r="C7235" s="3" t="s">
        <v>11281</v>
      </c>
      <c r="D7235" s="3" t="s">
        <v>15935</v>
      </c>
      <c r="E7235" s="3" t="s">
        <v>15936</v>
      </c>
      <c r="F7235" s="3" t="s">
        <v>15937</v>
      </c>
    </row>
    <row r="7236">
      <c r="A7236" s="3">
        <v>1603.0</v>
      </c>
      <c r="B7236" s="3" t="s">
        <v>11280</v>
      </c>
      <c r="C7236" s="3" t="s">
        <v>11281</v>
      </c>
      <c r="D7236" s="3" t="s">
        <v>15938</v>
      </c>
      <c r="E7236" s="3" t="s">
        <v>15939</v>
      </c>
      <c r="F7236" s="3" t="s">
        <v>15940</v>
      </c>
    </row>
    <row r="7237">
      <c r="A7237" s="3">
        <v>1604.0</v>
      </c>
      <c r="B7237" s="3" t="s">
        <v>11280</v>
      </c>
      <c r="C7237" s="3" t="s">
        <v>11281</v>
      </c>
      <c r="D7237" s="3" t="s">
        <v>15941</v>
      </c>
      <c r="E7237" s="3" t="s">
        <v>15942</v>
      </c>
      <c r="F7237" s="3" t="s">
        <v>15943</v>
      </c>
    </row>
    <row r="7238">
      <c r="A7238" s="3">
        <v>1605.0</v>
      </c>
      <c r="B7238" s="3" t="s">
        <v>11280</v>
      </c>
      <c r="C7238" s="3" t="s">
        <v>11281</v>
      </c>
      <c r="D7238" s="3" t="s">
        <v>15944</v>
      </c>
      <c r="E7238" s="3" t="s">
        <v>15945</v>
      </c>
      <c r="F7238" s="3" t="s">
        <v>15946</v>
      </c>
    </row>
    <row r="7239">
      <c r="A7239" s="3">
        <v>1606.0</v>
      </c>
      <c r="B7239" s="3" t="s">
        <v>11280</v>
      </c>
      <c r="C7239" s="3" t="s">
        <v>11281</v>
      </c>
      <c r="D7239" s="3" t="s">
        <v>15947</v>
      </c>
      <c r="E7239" s="3" t="s">
        <v>15948</v>
      </c>
      <c r="F7239" s="3" t="s">
        <v>15949</v>
      </c>
    </row>
    <row r="7240">
      <c r="A7240" s="3">
        <v>1607.0</v>
      </c>
      <c r="B7240" s="3" t="s">
        <v>11280</v>
      </c>
      <c r="C7240" s="3" t="s">
        <v>11281</v>
      </c>
      <c r="D7240" s="3" t="s">
        <v>15950</v>
      </c>
      <c r="E7240" s="3" t="s">
        <v>15951</v>
      </c>
      <c r="F7240" s="3" t="s">
        <v>15952</v>
      </c>
    </row>
    <row r="7241">
      <c r="A7241" s="3">
        <v>1608.0</v>
      </c>
      <c r="B7241" s="3" t="s">
        <v>11280</v>
      </c>
      <c r="C7241" s="3" t="s">
        <v>11281</v>
      </c>
      <c r="D7241" s="3" t="s">
        <v>15953</v>
      </c>
      <c r="E7241" s="3" t="s">
        <v>15954</v>
      </c>
      <c r="F7241" s="3" t="s">
        <v>15955</v>
      </c>
    </row>
    <row r="7242">
      <c r="A7242" s="3">
        <v>1609.0</v>
      </c>
      <c r="B7242" s="3" t="s">
        <v>11280</v>
      </c>
      <c r="C7242" s="3" t="s">
        <v>11281</v>
      </c>
      <c r="D7242" s="3" t="s">
        <v>6247</v>
      </c>
      <c r="E7242" s="3" t="s">
        <v>15956</v>
      </c>
      <c r="F7242" s="3" t="s">
        <v>15957</v>
      </c>
    </row>
    <row r="7243">
      <c r="A7243" s="3">
        <v>1610.0</v>
      </c>
      <c r="B7243" s="3" t="s">
        <v>11280</v>
      </c>
      <c r="C7243" s="3" t="s">
        <v>11281</v>
      </c>
      <c r="D7243" s="3" t="s">
        <v>15958</v>
      </c>
      <c r="E7243" s="3" t="s">
        <v>15959</v>
      </c>
      <c r="F7243" s="3" t="s">
        <v>15960</v>
      </c>
    </row>
    <row r="7244">
      <c r="A7244" s="3">
        <v>1611.0</v>
      </c>
      <c r="B7244" s="3" t="s">
        <v>11280</v>
      </c>
      <c r="C7244" s="3" t="s">
        <v>11281</v>
      </c>
      <c r="D7244" s="3" t="s">
        <v>15961</v>
      </c>
      <c r="E7244" s="3" t="s">
        <v>15962</v>
      </c>
      <c r="F7244" s="3" t="s">
        <v>15963</v>
      </c>
    </row>
    <row r="7245">
      <c r="A7245" s="3">
        <v>1612.0</v>
      </c>
      <c r="B7245" s="3" t="s">
        <v>11280</v>
      </c>
      <c r="C7245" s="3" t="s">
        <v>11281</v>
      </c>
      <c r="D7245" s="3" t="s">
        <v>15964</v>
      </c>
      <c r="E7245" s="3" t="s">
        <v>15965</v>
      </c>
      <c r="F7245" s="3" t="s">
        <v>15966</v>
      </c>
    </row>
    <row r="7246">
      <c r="A7246" s="3">
        <v>1613.0</v>
      </c>
      <c r="B7246" s="3" t="s">
        <v>11280</v>
      </c>
      <c r="C7246" s="3" t="s">
        <v>11281</v>
      </c>
      <c r="D7246" s="3" t="s">
        <v>15967</v>
      </c>
      <c r="E7246" s="3" t="s">
        <v>15968</v>
      </c>
      <c r="F7246" s="3" t="s">
        <v>15969</v>
      </c>
    </row>
    <row r="7247">
      <c r="A7247" s="3">
        <v>1614.0</v>
      </c>
      <c r="B7247" s="3" t="s">
        <v>11280</v>
      </c>
      <c r="C7247" s="3" t="s">
        <v>11281</v>
      </c>
      <c r="D7247" s="3" t="s">
        <v>15970</v>
      </c>
      <c r="E7247" s="3" t="s">
        <v>15971</v>
      </c>
      <c r="F7247" s="3" t="s">
        <v>15972</v>
      </c>
    </row>
    <row r="7248">
      <c r="A7248" s="3">
        <v>1615.0</v>
      </c>
      <c r="B7248" s="3" t="s">
        <v>11280</v>
      </c>
      <c r="C7248" s="3" t="s">
        <v>11281</v>
      </c>
      <c r="D7248" s="3" t="s">
        <v>15973</v>
      </c>
      <c r="E7248" s="3" t="s">
        <v>15974</v>
      </c>
      <c r="F7248" s="3" t="s">
        <v>15975</v>
      </c>
    </row>
    <row r="7249">
      <c r="A7249" s="3">
        <v>1616.0</v>
      </c>
      <c r="B7249" s="3" t="s">
        <v>11280</v>
      </c>
      <c r="C7249" s="3" t="s">
        <v>11281</v>
      </c>
      <c r="D7249" s="3" t="s">
        <v>15976</v>
      </c>
      <c r="E7249" s="3" t="s">
        <v>15977</v>
      </c>
      <c r="F7249" s="3" t="s">
        <v>15978</v>
      </c>
    </row>
    <row r="7250">
      <c r="A7250" s="3">
        <v>1617.0</v>
      </c>
      <c r="B7250" s="3" t="s">
        <v>11280</v>
      </c>
      <c r="C7250" s="3" t="s">
        <v>11281</v>
      </c>
      <c r="D7250" s="3" t="s">
        <v>15979</v>
      </c>
      <c r="E7250" s="3" t="s">
        <v>15980</v>
      </c>
      <c r="F7250" s="3" t="s">
        <v>15981</v>
      </c>
    </row>
    <row r="7251">
      <c r="A7251" s="3">
        <v>1618.0</v>
      </c>
      <c r="B7251" s="3" t="s">
        <v>11280</v>
      </c>
      <c r="C7251" s="3" t="s">
        <v>11281</v>
      </c>
      <c r="D7251" s="3" t="s">
        <v>15982</v>
      </c>
      <c r="E7251" s="3" t="s">
        <v>15983</v>
      </c>
      <c r="F7251" s="3" t="s">
        <v>15984</v>
      </c>
    </row>
    <row r="7252">
      <c r="A7252" s="3">
        <v>1619.0</v>
      </c>
      <c r="B7252" s="3" t="s">
        <v>11280</v>
      </c>
      <c r="C7252" s="3" t="s">
        <v>11281</v>
      </c>
      <c r="D7252" s="3" t="s">
        <v>15985</v>
      </c>
      <c r="E7252" s="3" t="s">
        <v>15986</v>
      </c>
      <c r="F7252" s="3" t="s">
        <v>15987</v>
      </c>
    </row>
    <row r="7253">
      <c r="A7253" s="3">
        <v>1620.0</v>
      </c>
      <c r="B7253" s="3" t="s">
        <v>11280</v>
      </c>
      <c r="C7253" s="3" t="s">
        <v>11281</v>
      </c>
      <c r="D7253" s="3" t="s">
        <v>15988</v>
      </c>
      <c r="E7253" s="3" t="s">
        <v>15989</v>
      </c>
      <c r="F7253" s="3" t="s">
        <v>15990</v>
      </c>
    </row>
    <row r="7254">
      <c r="A7254" s="3">
        <v>1621.0</v>
      </c>
      <c r="B7254" s="3" t="s">
        <v>11280</v>
      </c>
      <c r="C7254" s="3" t="s">
        <v>11281</v>
      </c>
      <c r="D7254" s="3" t="s">
        <v>15991</v>
      </c>
      <c r="E7254" s="3" t="s">
        <v>15992</v>
      </c>
      <c r="F7254" s="3" t="s">
        <v>15993</v>
      </c>
    </row>
    <row r="7255">
      <c r="A7255" s="3">
        <v>1622.0</v>
      </c>
      <c r="B7255" s="3" t="s">
        <v>11280</v>
      </c>
      <c r="C7255" s="3" t="s">
        <v>11281</v>
      </c>
      <c r="D7255" s="3" t="s">
        <v>15994</v>
      </c>
      <c r="E7255" s="3" t="s">
        <v>15995</v>
      </c>
      <c r="F7255" s="3" t="s">
        <v>3468</v>
      </c>
    </row>
    <row r="7256">
      <c r="A7256" s="3">
        <v>1623.0</v>
      </c>
      <c r="B7256" s="3" t="s">
        <v>11280</v>
      </c>
      <c r="C7256" s="3" t="s">
        <v>11281</v>
      </c>
      <c r="D7256" s="3" t="s">
        <v>15996</v>
      </c>
      <c r="E7256" s="3" t="s">
        <v>15997</v>
      </c>
      <c r="F7256" s="3" t="s">
        <v>15998</v>
      </c>
    </row>
    <row r="7257">
      <c r="A7257" s="3">
        <v>1624.0</v>
      </c>
      <c r="B7257" s="3" t="s">
        <v>11280</v>
      </c>
      <c r="C7257" s="3" t="s">
        <v>11281</v>
      </c>
      <c r="D7257" s="3" t="s">
        <v>15999</v>
      </c>
      <c r="E7257" s="3" t="s">
        <v>16000</v>
      </c>
      <c r="F7257" s="3" t="s">
        <v>16001</v>
      </c>
    </row>
    <row r="7258">
      <c r="A7258" s="3">
        <v>1625.0</v>
      </c>
      <c r="B7258" s="3" t="s">
        <v>11280</v>
      </c>
      <c r="C7258" s="3" t="s">
        <v>11281</v>
      </c>
      <c r="D7258" s="3" t="s">
        <v>16002</v>
      </c>
      <c r="E7258" s="3" t="s">
        <v>16003</v>
      </c>
      <c r="F7258" s="3" t="s">
        <v>3477</v>
      </c>
    </row>
    <row r="7259">
      <c r="A7259" s="3">
        <v>1626.0</v>
      </c>
      <c r="B7259" s="3" t="s">
        <v>11280</v>
      </c>
      <c r="C7259" s="3" t="s">
        <v>11281</v>
      </c>
      <c r="D7259" s="3" t="s">
        <v>16004</v>
      </c>
      <c r="E7259" s="3" t="s">
        <v>16005</v>
      </c>
      <c r="F7259" s="3" t="s">
        <v>16006</v>
      </c>
    </row>
    <row r="7260">
      <c r="A7260" s="3">
        <v>1627.0</v>
      </c>
      <c r="B7260" s="3" t="s">
        <v>11280</v>
      </c>
      <c r="C7260" s="3" t="s">
        <v>11281</v>
      </c>
      <c r="D7260" s="3" t="s">
        <v>16007</v>
      </c>
      <c r="E7260" s="3" t="s">
        <v>16008</v>
      </c>
      <c r="F7260" s="3" t="s">
        <v>16009</v>
      </c>
    </row>
    <row r="7261">
      <c r="A7261" s="3">
        <v>1628.0</v>
      </c>
      <c r="B7261" s="3" t="s">
        <v>11280</v>
      </c>
      <c r="C7261" s="3" t="s">
        <v>11281</v>
      </c>
      <c r="D7261" s="3" t="s">
        <v>16010</v>
      </c>
      <c r="E7261" s="3" t="s">
        <v>16011</v>
      </c>
      <c r="F7261" s="3" t="s">
        <v>16012</v>
      </c>
    </row>
    <row r="7262">
      <c r="A7262" s="3">
        <v>1629.0</v>
      </c>
      <c r="B7262" s="3" t="s">
        <v>11280</v>
      </c>
      <c r="C7262" s="3" t="s">
        <v>11281</v>
      </c>
      <c r="D7262" s="3" t="s">
        <v>16013</v>
      </c>
      <c r="E7262" s="3" t="s">
        <v>16014</v>
      </c>
      <c r="F7262" s="3" t="s">
        <v>16015</v>
      </c>
    </row>
    <row r="7263">
      <c r="A7263" s="3">
        <v>1630.0</v>
      </c>
      <c r="B7263" s="3" t="s">
        <v>11280</v>
      </c>
      <c r="C7263" s="3" t="s">
        <v>11281</v>
      </c>
      <c r="D7263" s="3" t="s">
        <v>16016</v>
      </c>
      <c r="E7263" s="3" t="s">
        <v>16017</v>
      </c>
      <c r="F7263" s="3" t="s">
        <v>16018</v>
      </c>
    </row>
    <row r="7264">
      <c r="A7264" s="3">
        <v>1631.0</v>
      </c>
      <c r="B7264" s="3" t="s">
        <v>11280</v>
      </c>
      <c r="C7264" s="3" t="s">
        <v>11281</v>
      </c>
      <c r="D7264" s="3" t="s">
        <v>16019</v>
      </c>
      <c r="E7264" s="3" t="s">
        <v>16020</v>
      </c>
      <c r="F7264" s="3" t="s">
        <v>16021</v>
      </c>
    </row>
    <row r="7265">
      <c r="A7265" s="3">
        <v>1632.0</v>
      </c>
      <c r="B7265" s="3" t="s">
        <v>11280</v>
      </c>
      <c r="C7265" s="3" t="s">
        <v>11281</v>
      </c>
      <c r="D7265" s="3" t="s">
        <v>16022</v>
      </c>
      <c r="E7265" s="3" t="s">
        <v>16023</v>
      </c>
      <c r="F7265" s="3" t="s">
        <v>16024</v>
      </c>
    </row>
    <row r="7266">
      <c r="A7266" s="3">
        <v>1633.0</v>
      </c>
      <c r="B7266" s="3" t="s">
        <v>11280</v>
      </c>
      <c r="C7266" s="3" t="s">
        <v>11281</v>
      </c>
      <c r="D7266" s="3" t="s">
        <v>16025</v>
      </c>
      <c r="E7266" s="3" t="s">
        <v>16026</v>
      </c>
      <c r="F7266" s="3" t="s">
        <v>3468</v>
      </c>
      <c r="G7266" s="3"/>
      <c r="H7266" s="3" t="s">
        <v>16027</v>
      </c>
      <c r="I7266" s="3" t="s">
        <v>16028</v>
      </c>
      <c r="J7266" s="3" t="s">
        <v>16029</v>
      </c>
      <c r="K7266" s="3" t="s">
        <v>16030</v>
      </c>
    </row>
    <row r="7267">
      <c r="A7267" s="3">
        <v>1634.0</v>
      </c>
      <c r="B7267" s="3" t="s">
        <v>11280</v>
      </c>
      <c r="C7267" s="3" t="s">
        <v>11281</v>
      </c>
      <c r="D7267" s="3" t="s">
        <v>16031</v>
      </c>
      <c r="E7267" s="3" t="s">
        <v>16032</v>
      </c>
      <c r="F7267" s="3" t="s">
        <v>16033</v>
      </c>
    </row>
    <row r="7268">
      <c r="A7268" s="3">
        <v>1635.0</v>
      </c>
      <c r="B7268" s="3" t="s">
        <v>11280</v>
      </c>
      <c r="C7268" s="3" t="s">
        <v>11281</v>
      </c>
      <c r="D7268" s="3" t="s">
        <v>16034</v>
      </c>
      <c r="E7268" s="3" t="s">
        <v>16035</v>
      </c>
      <c r="F7268" s="3" t="s">
        <v>15903</v>
      </c>
    </row>
    <row r="7269">
      <c r="A7269" s="3">
        <v>1636.0</v>
      </c>
      <c r="B7269" s="3" t="s">
        <v>11280</v>
      </c>
      <c r="C7269" s="3" t="s">
        <v>11281</v>
      </c>
      <c r="D7269" s="3" t="s">
        <v>16036</v>
      </c>
      <c r="E7269" s="3" t="s">
        <v>16037</v>
      </c>
      <c r="F7269" s="3" t="s">
        <v>15912</v>
      </c>
      <c r="G7269" s="3"/>
      <c r="H7269" s="3" t="s">
        <v>16038</v>
      </c>
      <c r="I7269" s="3" t="s">
        <v>16039</v>
      </c>
      <c r="J7269" s="3" t="s">
        <v>16040</v>
      </c>
    </row>
    <row r="7270">
      <c r="A7270" s="3">
        <v>1637.0</v>
      </c>
      <c r="B7270" s="3" t="s">
        <v>11280</v>
      </c>
      <c r="C7270" s="3" t="s">
        <v>11281</v>
      </c>
      <c r="D7270" s="3" t="s">
        <v>16041</v>
      </c>
      <c r="E7270" s="3" t="s">
        <v>16042</v>
      </c>
      <c r="F7270" s="3" t="s">
        <v>15915</v>
      </c>
    </row>
    <row r="7271">
      <c r="A7271" s="3">
        <v>1638.0</v>
      </c>
      <c r="B7271" s="3" t="s">
        <v>11280</v>
      </c>
      <c r="C7271" s="3" t="s">
        <v>11281</v>
      </c>
      <c r="D7271" s="3" t="s">
        <v>16043</v>
      </c>
      <c r="E7271" s="3" t="s">
        <v>16044</v>
      </c>
      <c r="F7271" s="3" t="s">
        <v>15918</v>
      </c>
    </row>
    <row r="7272">
      <c r="A7272" s="3">
        <v>1639.0</v>
      </c>
      <c r="B7272" s="3" t="s">
        <v>11280</v>
      </c>
      <c r="C7272" s="3" t="s">
        <v>11281</v>
      </c>
      <c r="D7272" s="3" t="s">
        <v>16045</v>
      </c>
      <c r="E7272" s="3" t="s">
        <v>16046</v>
      </c>
      <c r="F7272" s="3" t="s">
        <v>15921</v>
      </c>
    </row>
    <row r="7273">
      <c r="A7273" s="3">
        <v>1640.0</v>
      </c>
      <c r="B7273" s="3" t="s">
        <v>11280</v>
      </c>
      <c r="C7273" s="3" t="s">
        <v>11281</v>
      </c>
      <c r="D7273" s="3" t="s">
        <v>16047</v>
      </c>
      <c r="E7273" s="3" t="s">
        <v>16048</v>
      </c>
      <c r="F7273" s="3" t="s">
        <v>3477</v>
      </c>
    </row>
    <row r="7274">
      <c r="A7274" s="3">
        <v>1641.0</v>
      </c>
      <c r="B7274" s="3" t="s">
        <v>11280</v>
      </c>
      <c r="C7274" s="3" t="s">
        <v>11281</v>
      </c>
      <c r="D7274" s="3" t="s">
        <v>3297</v>
      </c>
      <c r="E7274" s="3" t="s">
        <v>3298</v>
      </c>
      <c r="F7274" s="3" t="s">
        <v>3297</v>
      </c>
      <c r="G7274" s="3"/>
      <c r="H7274" s="3" t="s">
        <v>16049</v>
      </c>
      <c r="I7274" s="3" t="s">
        <v>16050</v>
      </c>
      <c r="J7274" s="3" t="s">
        <v>3299</v>
      </c>
      <c r="K7274" s="3" t="s">
        <v>3300</v>
      </c>
      <c r="L7274" s="3" t="s">
        <v>3300</v>
      </c>
      <c r="M7274" s="3" t="s">
        <v>3302</v>
      </c>
      <c r="N7274" s="3" t="s">
        <v>3300</v>
      </c>
      <c r="O7274" s="3" t="s">
        <v>3309</v>
      </c>
      <c r="P7274" s="3" t="s">
        <v>16051</v>
      </c>
      <c r="Q7274" s="3" t="s">
        <v>3345</v>
      </c>
      <c r="R7274" s="3" t="s">
        <v>3344</v>
      </c>
      <c r="S7274" s="3" t="s">
        <v>16052</v>
      </c>
      <c r="T7274" s="3" t="s">
        <v>3315</v>
      </c>
      <c r="U7274" s="3" t="s">
        <v>3333</v>
      </c>
      <c r="V7274" s="3" t="s">
        <v>3315</v>
      </c>
      <c r="W7274" s="3" t="s">
        <v>4873</v>
      </c>
      <c r="X7274" s="3" t="s">
        <v>3344</v>
      </c>
    </row>
    <row r="7275">
      <c r="A7275" s="3">
        <v>1642.0</v>
      </c>
      <c r="B7275" s="3" t="s">
        <v>11280</v>
      </c>
      <c r="C7275" s="3" t="s">
        <v>11281</v>
      </c>
      <c r="D7275" s="3" t="s">
        <v>3349</v>
      </c>
      <c r="E7275" s="3" t="s">
        <v>3348</v>
      </c>
      <c r="F7275" s="3" t="s">
        <v>3349</v>
      </c>
    </row>
    <row r="7276">
      <c r="A7276" s="3">
        <v>1643.0</v>
      </c>
      <c r="B7276" s="3" t="s">
        <v>11280</v>
      </c>
      <c r="C7276" s="3" t="s">
        <v>11281</v>
      </c>
      <c r="D7276" s="3" t="s">
        <v>16053</v>
      </c>
      <c r="E7276" s="3" t="s">
        <v>16054</v>
      </c>
      <c r="F7276" s="3" t="s">
        <v>16055</v>
      </c>
    </row>
    <row r="7277">
      <c r="A7277" s="3">
        <v>1644.0</v>
      </c>
      <c r="B7277" s="3" t="s">
        <v>11280</v>
      </c>
      <c r="C7277" s="3" t="s">
        <v>11281</v>
      </c>
      <c r="D7277" s="3" t="s">
        <v>16056</v>
      </c>
      <c r="E7277" s="3" t="s">
        <v>16057</v>
      </c>
      <c r="F7277" s="3" t="s">
        <v>16058</v>
      </c>
    </row>
    <row r="7278">
      <c r="A7278" s="3">
        <v>1645.0</v>
      </c>
      <c r="B7278" s="3" t="s">
        <v>11280</v>
      </c>
      <c r="C7278" s="3" t="s">
        <v>11281</v>
      </c>
      <c r="D7278" s="3" t="s">
        <v>16059</v>
      </c>
      <c r="E7278" s="3" t="s">
        <v>16060</v>
      </c>
      <c r="F7278" s="3" t="s">
        <v>16061</v>
      </c>
    </row>
    <row r="7279">
      <c r="A7279" s="3">
        <v>1646.0</v>
      </c>
      <c r="B7279" s="3" t="s">
        <v>11280</v>
      </c>
      <c r="C7279" s="3" t="s">
        <v>11281</v>
      </c>
      <c r="D7279" s="3" t="s">
        <v>16062</v>
      </c>
      <c r="E7279" s="3" t="s">
        <v>16063</v>
      </c>
      <c r="F7279" s="3" t="s">
        <v>16064</v>
      </c>
    </row>
    <row r="7280">
      <c r="A7280" s="3">
        <v>1647.0</v>
      </c>
      <c r="B7280" s="3" t="s">
        <v>11280</v>
      </c>
      <c r="C7280" s="3" t="s">
        <v>11281</v>
      </c>
      <c r="D7280" s="3" t="s">
        <v>16065</v>
      </c>
      <c r="E7280" s="3" t="s">
        <v>16066</v>
      </c>
      <c r="F7280" s="3" t="s">
        <v>16067</v>
      </c>
    </row>
    <row r="7281">
      <c r="A7281" s="3">
        <v>1648.0</v>
      </c>
      <c r="B7281" s="3" t="s">
        <v>11280</v>
      </c>
      <c r="C7281" s="3" t="s">
        <v>11281</v>
      </c>
      <c r="D7281" s="3" t="s">
        <v>16068</v>
      </c>
      <c r="E7281" s="3" t="s">
        <v>16069</v>
      </c>
      <c r="F7281" s="3" t="s">
        <v>16070</v>
      </c>
    </row>
    <row r="7282">
      <c r="A7282" s="3">
        <v>1649.0</v>
      </c>
      <c r="B7282" s="3" t="s">
        <v>11280</v>
      </c>
      <c r="C7282" s="3" t="s">
        <v>11281</v>
      </c>
      <c r="D7282" s="3" t="s">
        <v>16071</v>
      </c>
      <c r="E7282" s="3" t="s">
        <v>16072</v>
      </c>
      <c r="F7282" s="3" t="s">
        <v>16073</v>
      </c>
    </row>
    <row r="7283">
      <c r="A7283" s="3">
        <v>1650.0</v>
      </c>
      <c r="B7283" s="3" t="s">
        <v>11280</v>
      </c>
      <c r="C7283" s="3" t="s">
        <v>11281</v>
      </c>
      <c r="D7283" s="3" t="s">
        <v>16074</v>
      </c>
      <c r="E7283" s="3" t="s">
        <v>16075</v>
      </c>
      <c r="F7283" s="3" t="s">
        <v>16076</v>
      </c>
    </row>
    <row r="7284">
      <c r="A7284" s="3">
        <v>1651.0</v>
      </c>
      <c r="B7284" s="3" t="s">
        <v>11280</v>
      </c>
      <c r="C7284" s="3" t="s">
        <v>11281</v>
      </c>
      <c r="D7284" s="3" t="s">
        <v>16077</v>
      </c>
      <c r="E7284" s="3" t="s">
        <v>16078</v>
      </c>
      <c r="F7284" s="3" t="s">
        <v>16077</v>
      </c>
    </row>
    <row r="7285">
      <c r="A7285" s="3">
        <v>1652.0</v>
      </c>
      <c r="B7285" s="3" t="s">
        <v>11280</v>
      </c>
      <c r="C7285" s="3" t="s">
        <v>11281</v>
      </c>
      <c r="D7285" s="3" t="s">
        <v>16079</v>
      </c>
      <c r="E7285" s="3" t="s">
        <v>16080</v>
      </c>
      <c r="F7285" s="3" t="s">
        <v>16079</v>
      </c>
    </row>
    <row r="7286">
      <c r="A7286" s="3">
        <v>1653.0</v>
      </c>
      <c r="B7286" s="3" t="s">
        <v>11280</v>
      </c>
      <c r="C7286" s="3" t="s">
        <v>11281</v>
      </c>
      <c r="D7286" s="3" t="s">
        <v>16081</v>
      </c>
      <c r="E7286" s="3" t="s">
        <v>16082</v>
      </c>
      <c r="F7286" s="3" t="s">
        <v>16081</v>
      </c>
    </row>
    <row r="7287">
      <c r="A7287" s="3">
        <v>1654.0</v>
      </c>
      <c r="B7287" s="3" t="s">
        <v>11280</v>
      </c>
      <c r="C7287" s="3" t="s">
        <v>11281</v>
      </c>
      <c r="D7287" s="3" t="s">
        <v>16083</v>
      </c>
      <c r="E7287" s="3" t="s">
        <v>16084</v>
      </c>
      <c r="F7287" s="3" t="s">
        <v>16083</v>
      </c>
    </row>
    <row r="7288">
      <c r="A7288" s="3">
        <v>1655.0</v>
      </c>
      <c r="B7288" s="3" t="s">
        <v>11280</v>
      </c>
      <c r="C7288" s="3" t="s">
        <v>11281</v>
      </c>
      <c r="D7288" s="3" t="s">
        <v>16085</v>
      </c>
      <c r="E7288" s="3" t="s">
        <v>16086</v>
      </c>
      <c r="F7288" s="3" t="s">
        <v>16085</v>
      </c>
    </row>
    <row r="7289">
      <c r="A7289" s="3">
        <v>1656.0</v>
      </c>
      <c r="B7289" s="3" t="s">
        <v>11280</v>
      </c>
      <c r="C7289" s="3" t="s">
        <v>11281</v>
      </c>
      <c r="D7289" s="3" t="s">
        <v>16087</v>
      </c>
      <c r="E7289" s="3" t="s">
        <v>16088</v>
      </c>
      <c r="F7289" s="3" t="s">
        <v>16087</v>
      </c>
    </row>
    <row r="7290">
      <c r="A7290" s="3">
        <v>1657.0</v>
      </c>
      <c r="B7290" s="3" t="s">
        <v>11280</v>
      </c>
      <c r="C7290" s="3" t="s">
        <v>11281</v>
      </c>
      <c r="D7290" s="3" t="s">
        <v>16089</v>
      </c>
      <c r="E7290" s="3" t="s">
        <v>16090</v>
      </c>
      <c r="F7290" s="3" t="s">
        <v>16089</v>
      </c>
    </row>
    <row r="7291">
      <c r="A7291" s="3">
        <v>1658.0</v>
      </c>
      <c r="B7291" s="3" t="s">
        <v>11280</v>
      </c>
      <c r="C7291" s="3" t="s">
        <v>11281</v>
      </c>
      <c r="D7291" s="3" t="s">
        <v>16091</v>
      </c>
      <c r="E7291" s="3" t="s">
        <v>16092</v>
      </c>
      <c r="F7291" s="3" t="s">
        <v>16091</v>
      </c>
    </row>
    <row r="7292">
      <c r="A7292" s="3">
        <v>1659.0</v>
      </c>
      <c r="B7292" s="3" t="s">
        <v>11280</v>
      </c>
      <c r="C7292" s="3" t="s">
        <v>11281</v>
      </c>
      <c r="D7292" s="3" t="s">
        <v>16093</v>
      </c>
      <c r="E7292" s="3" t="s">
        <v>16094</v>
      </c>
      <c r="F7292" s="3" t="s">
        <v>16093</v>
      </c>
    </row>
    <row r="7293">
      <c r="A7293" s="3">
        <v>1660.0</v>
      </c>
      <c r="B7293" s="3" t="s">
        <v>11280</v>
      </c>
      <c r="C7293" s="3" t="s">
        <v>11281</v>
      </c>
      <c r="D7293" s="3" t="s">
        <v>16095</v>
      </c>
      <c r="E7293" s="3" t="s">
        <v>16096</v>
      </c>
      <c r="F7293" s="3" t="s">
        <v>16095</v>
      </c>
    </row>
    <row r="7294">
      <c r="A7294" s="3">
        <v>1661.0</v>
      </c>
      <c r="B7294" s="3" t="s">
        <v>11280</v>
      </c>
      <c r="C7294" s="3" t="s">
        <v>11281</v>
      </c>
      <c r="D7294" s="3" t="s">
        <v>16097</v>
      </c>
      <c r="E7294" s="3" t="s">
        <v>16098</v>
      </c>
      <c r="F7294" s="3" t="s">
        <v>16097</v>
      </c>
    </row>
    <row r="7295">
      <c r="A7295" s="3">
        <v>1662.0</v>
      </c>
      <c r="B7295" s="3" t="s">
        <v>11280</v>
      </c>
      <c r="C7295" s="3" t="s">
        <v>11281</v>
      </c>
      <c r="D7295" s="3" t="s">
        <v>16099</v>
      </c>
      <c r="E7295" s="3" t="s">
        <v>16100</v>
      </c>
      <c r="F7295" s="3" t="s">
        <v>16099</v>
      </c>
    </row>
    <row r="7296">
      <c r="A7296" s="3">
        <v>1663.0</v>
      </c>
      <c r="B7296" s="3" t="s">
        <v>11280</v>
      </c>
      <c r="C7296" s="3" t="s">
        <v>11281</v>
      </c>
      <c r="D7296" s="3" t="s">
        <v>16101</v>
      </c>
      <c r="E7296" s="3" t="s">
        <v>16102</v>
      </c>
      <c r="F7296" s="3" t="s">
        <v>16101</v>
      </c>
    </row>
    <row r="7297">
      <c r="A7297" s="3">
        <v>1664.0</v>
      </c>
      <c r="B7297" s="3" t="s">
        <v>11280</v>
      </c>
      <c r="C7297" s="3" t="s">
        <v>11281</v>
      </c>
      <c r="D7297" s="3" t="s">
        <v>16103</v>
      </c>
      <c r="E7297" s="3" t="s">
        <v>16104</v>
      </c>
      <c r="F7297" s="3" t="s">
        <v>16103</v>
      </c>
    </row>
    <row r="7298">
      <c r="A7298" s="3">
        <v>1665.0</v>
      </c>
      <c r="B7298" s="3" t="s">
        <v>11280</v>
      </c>
      <c r="C7298" s="3" t="s">
        <v>11281</v>
      </c>
      <c r="D7298" s="3" t="s">
        <v>16105</v>
      </c>
      <c r="E7298" s="3" t="s">
        <v>16106</v>
      </c>
      <c r="F7298" s="3" t="s">
        <v>16105</v>
      </c>
      <c r="G7298" s="3"/>
      <c r="H7298" s="3" t="s">
        <v>16107</v>
      </c>
    </row>
    <row r="7299">
      <c r="A7299" s="3">
        <v>1666.0</v>
      </c>
      <c r="B7299" s="3" t="s">
        <v>11280</v>
      </c>
      <c r="C7299" s="3" t="s">
        <v>11281</v>
      </c>
      <c r="D7299" s="3" t="s">
        <v>16108</v>
      </c>
      <c r="E7299" s="3" t="s">
        <v>16109</v>
      </c>
      <c r="F7299" s="3" t="s">
        <v>16110</v>
      </c>
    </row>
    <row r="7300">
      <c r="A7300" s="3">
        <v>1667.0</v>
      </c>
      <c r="B7300" s="3" t="s">
        <v>11280</v>
      </c>
      <c r="C7300" s="3" t="s">
        <v>11281</v>
      </c>
      <c r="D7300" s="3" t="s">
        <v>16111</v>
      </c>
      <c r="E7300" s="3" t="s">
        <v>16112</v>
      </c>
      <c r="F7300" s="3" t="s">
        <v>16113</v>
      </c>
    </row>
    <row r="7301">
      <c r="A7301" s="3">
        <v>1668.0</v>
      </c>
      <c r="B7301" s="3" t="s">
        <v>11280</v>
      </c>
      <c r="C7301" s="3" t="s">
        <v>11281</v>
      </c>
      <c r="D7301" s="3" t="s">
        <v>3401</v>
      </c>
      <c r="E7301" s="3" t="s">
        <v>8786</v>
      </c>
      <c r="F7301" s="3" t="s">
        <v>3401</v>
      </c>
      <c r="G7301" s="3"/>
      <c r="H7301" s="3" t="s">
        <v>16114</v>
      </c>
      <c r="I7301" s="3" t="s">
        <v>3393</v>
      </c>
      <c r="J7301" s="3" t="s">
        <v>3394</v>
      </c>
      <c r="K7301" s="3" t="s">
        <v>136</v>
      </c>
      <c r="L7301" s="3" t="s">
        <v>3401</v>
      </c>
      <c r="M7301" s="3" t="s">
        <v>3394</v>
      </c>
      <c r="N7301" s="3" t="s">
        <v>3402</v>
      </c>
      <c r="O7301" s="3" t="s">
        <v>3403</v>
      </c>
      <c r="P7301" s="3" t="s">
        <v>3404</v>
      </c>
      <c r="Q7301" s="3" t="s">
        <v>3405</v>
      </c>
      <c r="R7301" s="3" t="s">
        <v>3406</v>
      </c>
      <c r="S7301" s="3" t="s">
        <v>3407</v>
      </c>
    </row>
    <row r="7302">
      <c r="A7302" s="3">
        <v>1669.0</v>
      </c>
      <c r="B7302" s="3" t="s">
        <v>11280</v>
      </c>
      <c r="C7302" s="3" t="s">
        <v>11281</v>
      </c>
      <c r="D7302" s="3" t="s">
        <v>16115</v>
      </c>
      <c r="E7302" s="3" t="s">
        <v>16116</v>
      </c>
      <c r="F7302" s="3" t="s">
        <v>16115</v>
      </c>
    </row>
    <row r="7303">
      <c r="A7303" s="3">
        <v>1670.0</v>
      </c>
      <c r="B7303" s="3" t="s">
        <v>11280</v>
      </c>
      <c r="C7303" s="3" t="s">
        <v>11281</v>
      </c>
      <c r="D7303" s="3" t="s">
        <v>16117</v>
      </c>
      <c r="E7303" s="3" t="s">
        <v>16118</v>
      </c>
      <c r="F7303" s="3" t="s">
        <v>16117</v>
      </c>
      <c r="G7303" s="3"/>
      <c r="H7303" s="3" t="s">
        <v>16119</v>
      </c>
    </row>
    <row r="7304">
      <c r="A7304" s="3">
        <v>1671.0</v>
      </c>
      <c r="B7304" s="3" t="s">
        <v>11280</v>
      </c>
      <c r="C7304" s="3" t="s">
        <v>11281</v>
      </c>
      <c r="D7304" s="3" t="s">
        <v>16120</v>
      </c>
      <c r="E7304" s="3" t="s">
        <v>16121</v>
      </c>
      <c r="F7304" s="3" t="s">
        <v>16120</v>
      </c>
    </row>
    <row r="7305">
      <c r="A7305" s="3">
        <v>1672.0</v>
      </c>
      <c r="B7305" s="3" t="s">
        <v>11280</v>
      </c>
      <c r="C7305" s="3" t="s">
        <v>11281</v>
      </c>
      <c r="D7305" s="3" t="s">
        <v>16122</v>
      </c>
      <c r="E7305" s="3" t="s">
        <v>16123</v>
      </c>
      <c r="F7305" s="3" t="s">
        <v>16122</v>
      </c>
    </row>
    <row r="7306">
      <c r="A7306" s="3">
        <v>1673.0</v>
      </c>
      <c r="B7306" s="3" t="s">
        <v>11280</v>
      </c>
      <c r="C7306" s="3" t="s">
        <v>11281</v>
      </c>
      <c r="D7306" s="3" t="s">
        <v>16124</v>
      </c>
      <c r="E7306" s="3" t="s">
        <v>16125</v>
      </c>
      <c r="F7306" s="3" t="s">
        <v>16124</v>
      </c>
    </row>
    <row r="7307">
      <c r="A7307" s="3">
        <v>1674.0</v>
      </c>
      <c r="B7307" s="3" t="s">
        <v>11280</v>
      </c>
      <c r="C7307" s="3" t="s">
        <v>11281</v>
      </c>
      <c r="D7307" s="3" t="s">
        <v>16126</v>
      </c>
      <c r="E7307" s="3" t="s">
        <v>16127</v>
      </c>
      <c r="F7307" s="3" t="s">
        <v>16126</v>
      </c>
    </row>
    <row r="7308">
      <c r="A7308" s="3">
        <v>1675.0</v>
      </c>
      <c r="B7308" s="3" t="s">
        <v>11280</v>
      </c>
      <c r="C7308" s="3" t="s">
        <v>11281</v>
      </c>
      <c r="D7308" s="3" t="s">
        <v>16128</v>
      </c>
      <c r="E7308" s="3" t="s">
        <v>16129</v>
      </c>
      <c r="F7308" s="3" t="s">
        <v>16128</v>
      </c>
    </row>
    <row r="7309">
      <c r="A7309" s="3">
        <v>1676.0</v>
      </c>
      <c r="B7309" s="3" t="s">
        <v>11280</v>
      </c>
      <c r="C7309" s="3" t="s">
        <v>11281</v>
      </c>
      <c r="D7309" s="3" t="s">
        <v>16130</v>
      </c>
      <c r="E7309" s="3" t="s">
        <v>16131</v>
      </c>
      <c r="F7309" s="3" t="s">
        <v>16130</v>
      </c>
    </row>
    <row r="7310">
      <c r="A7310" s="3">
        <v>1677.0</v>
      </c>
      <c r="B7310" s="3" t="s">
        <v>11280</v>
      </c>
      <c r="C7310" s="3" t="s">
        <v>11281</v>
      </c>
      <c r="D7310" s="3" t="s">
        <v>16132</v>
      </c>
      <c r="E7310" s="3" t="s">
        <v>16133</v>
      </c>
      <c r="F7310" s="3" t="s">
        <v>16134</v>
      </c>
    </row>
    <row r="7311">
      <c r="A7311" s="3">
        <v>1678.0</v>
      </c>
      <c r="B7311" s="3" t="s">
        <v>11280</v>
      </c>
      <c r="C7311" s="3" t="s">
        <v>11281</v>
      </c>
      <c r="D7311" s="3" t="s">
        <v>16135</v>
      </c>
      <c r="E7311" s="3" t="s">
        <v>16136</v>
      </c>
      <c r="F7311" s="3" t="s">
        <v>16137</v>
      </c>
    </row>
    <row r="7312">
      <c r="A7312" s="3">
        <v>1679.0</v>
      </c>
      <c r="B7312" s="3" t="s">
        <v>11280</v>
      </c>
      <c r="C7312" s="3" t="s">
        <v>11281</v>
      </c>
      <c r="D7312" s="3" t="s">
        <v>16138</v>
      </c>
      <c r="E7312" s="3" t="s">
        <v>16139</v>
      </c>
      <c r="F7312" s="3" t="s">
        <v>16140</v>
      </c>
    </row>
    <row r="7313">
      <c r="A7313" s="3">
        <v>1680.0</v>
      </c>
      <c r="B7313" s="3" t="s">
        <v>11280</v>
      </c>
      <c r="C7313" s="3" t="s">
        <v>11281</v>
      </c>
      <c r="D7313" s="3" t="s">
        <v>16141</v>
      </c>
      <c r="E7313" s="3" t="s">
        <v>16142</v>
      </c>
      <c r="F7313" s="3" t="s">
        <v>16143</v>
      </c>
    </row>
    <row r="7314">
      <c r="A7314" s="3">
        <v>1681.0</v>
      </c>
      <c r="B7314" s="3" t="s">
        <v>11280</v>
      </c>
      <c r="C7314" s="3" t="s">
        <v>11281</v>
      </c>
      <c r="D7314" s="3" t="s">
        <v>16144</v>
      </c>
      <c r="E7314" s="3" t="s">
        <v>16145</v>
      </c>
      <c r="F7314" s="3" t="s">
        <v>16146</v>
      </c>
    </row>
    <row r="7315">
      <c r="A7315" s="3">
        <v>1682.0</v>
      </c>
      <c r="B7315" s="3" t="s">
        <v>11280</v>
      </c>
      <c r="C7315" s="3" t="s">
        <v>11281</v>
      </c>
      <c r="D7315" s="3" t="s">
        <v>16147</v>
      </c>
      <c r="E7315" s="3" t="s">
        <v>16148</v>
      </c>
      <c r="F7315" s="3" t="s">
        <v>16149</v>
      </c>
    </row>
    <row r="7316">
      <c r="A7316" s="3">
        <v>1683.0</v>
      </c>
      <c r="B7316" s="3" t="s">
        <v>11280</v>
      </c>
      <c r="C7316" s="3" t="s">
        <v>11281</v>
      </c>
      <c r="D7316" s="3" t="s">
        <v>16150</v>
      </c>
      <c r="E7316" s="3" t="s">
        <v>16151</v>
      </c>
      <c r="F7316" s="3" t="s">
        <v>16152</v>
      </c>
    </row>
    <row r="7317">
      <c r="A7317" s="3">
        <v>1684.0</v>
      </c>
      <c r="B7317" s="3" t="s">
        <v>11280</v>
      </c>
      <c r="C7317" s="3" t="s">
        <v>11281</v>
      </c>
      <c r="D7317" s="3" t="s">
        <v>16153</v>
      </c>
      <c r="E7317" s="3" t="s">
        <v>16154</v>
      </c>
      <c r="F7317" s="3" t="s">
        <v>16153</v>
      </c>
    </row>
    <row r="7318">
      <c r="A7318" s="3">
        <v>1685.0</v>
      </c>
      <c r="B7318" s="3" t="s">
        <v>11280</v>
      </c>
      <c r="C7318" s="3" t="s">
        <v>11281</v>
      </c>
      <c r="D7318" s="3" t="s">
        <v>16155</v>
      </c>
      <c r="E7318" s="3" t="s">
        <v>16156</v>
      </c>
      <c r="F7318" s="3" t="s">
        <v>16155</v>
      </c>
    </row>
    <row r="7319">
      <c r="A7319" s="3">
        <v>1686.0</v>
      </c>
      <c r="B7319" s="3" t="s">
        <v>11280</v>
      </c>
      <c r="C7319" s="3" t="s">
        <v>11281</v>
      </c>
      <c r="D7319" s="3" t="s">
        <v>16157</v>
      </c>
      <c r="E7319" s="3" t="s">
        <v>16158</v>
      </c>
      <c r="F7319" s="3" t="s">
        <v>16157</v>
      </c>
    </row>
    <row r="7320">
      <c r="A7320" s="3">
        <v>1687.0</v>
      </c>
      <c r="B7320" s="3" t="s">
        <v>11280</v>
      </c>
      <c r="C7320" s="3" t="s">
        <v>11281</v>
      </c>
      <c r="D7320" s="3" t="s">
        <v>16159</v>
      </c>
      <c r="E7320" s="3" t="s">
        <v>16160</v>
      </c>
      <c r="F7320" s="3" t="s">
        <v>16159</v>
      </c>
    </row>
    <row r="7321">
      <c r="A7321" s="3">
        <v>1688.0</v>
      </c>
      <c r="B7321" s="3" t="s">
        <v>11280</v>
      </c>
      <c r="C7321" s="3" t="s">
        <v>11281</v>
      </c>
      <c r="D7321" s="3" t="s">
        <v>16161</v>
      </c>
      <c r="E7321" s="3" t="s">
        <v>16162</v>
      </c>
      <c r="F7321" s="3" t="s">
        <v>16161</v>
      </c>
    </row>
    <row r="7322">
      <c r="A7322" s="3">
        <v>1689.0</v>
      </c>
      <c r="B7322" s="3" t="s">
        <v>11280</v>
      </c>
      <c r="C7322" s="3" t="s">
        <v>11281</v>
      </c>
      <c r="D7322" s="3" t="s">
        <v>16163</v>
      </c>
      <c r="E7322" s="3" t="s">
        <v>16164</v>
      </c>
      <c r="F7322" s="3" t="s">
        <v>16163</v>
      </c>
    </row>
    <row r="7323">
      <c r="A7323" s="3">
        <v>1690.0</v>
      </c>
      <c r="B7323" s="3" t="s">
        <v>11280</v>
      </c>
      <c r="C7323" s="3" t="s">
        <v>11281</v>
      </c>
      <c r="D7323" s="3" t="s">
        <v>16165</v>
      </c>
      <c r="E7323" s="3" t="s">
        <v>16166</v>
      </c>
      <c r="F7323" s="3" t="s">
        <v>16165</v>
      </c>
    </row>
    <row r="7324">
      <c r="A7324" s="3">
        <v>1691.0</v>
      </c>
      <c r="B7324" s="3" t="s">
        <v>11280</v>
      </c>
      <c r="C7324" s="3" t="s">
        <v>11281</v>
      </c>
      <c r="D7324" s="3" t="s">
        <v>8772</v>
      </c>
      <c r="E7324" s="3" t="s">
        <v>8771</v>
      </c>
      <c r="F7324" s="3" t="s">
        <v>8772</v>
      </c>
    </row>
    <row r="7325">
      <c r="A7325" s="3">
        <v>1692.0</v>
      </c>
      <c r="B7325" s="3" t="s">
        <v>11280</v>
      </c>
      <c r="C7325" s="3" t="s">
        <v>11281</v>
      </c>
      <c r="D7325" s="3" t="s">
        <v>16167</v>
      </c>
      <c r="E7325" s="3" t="s">
        <v>16168</v>
      </c>
      <c r="F7325" s="3" t="s">
        <v>16167</v>
      </c>
    </row>
    <row r="7326">
      <c r="A7326" s="3">
        <v>1693.0</v>
      </c>
      <c r="B7326" s="3" t="s">
        <v>11280</v>
      </c>
      <c r="C7326" s="3" t="s">
        <v>11281</v>
      </c>
      <c r="D7326" s="3" t="s">
        <v>16169</v>
      </c>
      <c r="E7326" s="3" t="s">
        <v>16170</v>
      </c>
      <c r="F7326" s="3" t="s">
        <v>16169</v>
      </c>
      <c r="G7326" s="3"/>
      <c r="H7326" s="3" t="s">
        <v>9091</v>
      </c>
      <c r="I7326" s="3" t="s">
        <v>3654</v>
      </c>
    </row>
    <row r="7327">
      <c r="A7327" s="3">
        <v>1694.0</v>
      </c>
      <c r="B7327" s="3" t="s">
        <v>11280</v>
      </c>
      <c r="C7327" s="3" t="s">
        <v>11281</v>
      </c>
      <c r="D7327" s="3" t="s">
        <v>16171</v>
      </c>
      <c r="E7327" s="3" t="s">
        <v>16172</v>
      </c>
      <c r="F7327" s="3" t="s">
        <v>16171</v>
      </c>
    </row>
    <row r="7328">
      <c r="A7328" s="3">
        <v>1695.0</v>
      </c>
      <c r="B7328" s="3" t="s">
        <v>11280</v>
      </c>
      <c r="C7328" s="3" t="s">
        <v>11281</v>
      </c>
      <c r="D7328" s="3" t="s">
        <v>16173</v>
      </c>
      <c r="E7328" s="3" t="s">
        <v>16174</v>
      </c>
      <c r="F7328" s="3" t="s">
        <v>16173</v>
      </c>
    </row>
    <row r="7329">
      <c r="A7329" s="3">
        <v>1696.0</v>
      </c>
      <c r="B7329" s="3" t="s">
        <v>11280</v>
      </c>
      <c r="C7329" s="3" t="s">
        <v>11281</v>
      </c>
      <c r="D7329" s="3" t="s">
        <v>16175</v>
      </c>
      <c r="E7329" s="3" t="s">
        <v>16176</v>
      </c>
      <c r="F7329" s="3" t="s">
        <v>16175</v>
      </c>
    </row>
    <row r="7330">
      <c r="A7330" s="3">
        <v>1697.0</v>
      </c>
      <c r="B7330" s="3" t="s">
        <v>11280</v>
      </c>
      <c r="C7330" s="3" t="s">
        <v>11281</v>
      </c>
      <c r="D7330" s="3" t="s">
        <v>16177</v>
      </c>
      <c r="E7330" s="3" t="s">
        <v>16178</v>
      </c>
      <c r="F7330" s="3" t="s">
        <v>16177</v>
      </c>
    </row>
    <row r="7331">
      <c r="A7331" s="3">
        <v>1698.0</v>
      </c>
      <c r="B7331" s="3" t="s">
        <v>11280</v>
      </c>
      <c r="C7331" s="3" t="s">
        <v>11281</v>
      </c>
      <c r="D7331" s="3" t="s">
        <v>16179</v>
      </c>
      <c r="E7331" s="3" t="s">
        <v>16180</v>
      </c>
      <c r="F7331" s="3" t="s">
        <v>16181</v>
      </c>
    </row>
    <row r="7332">
      <c r="A7332" s="3">
        <v>1699.0</v>
      </c>
      <c r="B7332" s="3" t="s">
        <v>11280</v>
      </c>
      <c r="C7332" s="3" t="s">
        <v>11281</v>
      </c>
      <c r="D7332" s="3" t="s">
        <v>16182</v>
      </c>
      <c r="E7332" s="3" t="s">
        <v>16183</v>
      </c>
      <c r="F7332" s="3" t="s">
        <v>16184</v>
      </c>
    </row>
    <row r="7333">
      <c r="A7333" s="3">
        <v>1700.0</v>
      </c>
      <c r="B7333" s="3" t="s">
        <v>11280</v>
      </c>
      <c r="C7333" s="3" t="s">
        <v>11281</v>
      </c>
      <c r="D7333" s="3" t="s">
        <v>16185</v>
      </c>
      <c r="E7333" s="3" t="s">
        <v>16186</v>
      </c>
      <c r="F7333" s="3" t="s">
        <v>16187</v>
      </c>
      <c r="G7333" s="3"/>
      <c r="H7333" s="3" t="s">
        <v>16188</v>
      </c>
    </row>
    <row r="7334">
      <c r="A7334" s="3">
        <v>1701.0</v>
      </c>
      <c r="B7334" s="3" t="s">
        <v>11280</v>
      </c>
      <c r="C7334" s="3" t="s">
        <v>11281</v>
      </c>
      <c r="D7334" s="3" t="s">
        <v>16189</v>
      </c>
      <c r="E7334" s="3" t="s">
        <v>16190</v>
      </c>
      <c r="F7334" s="3" t="s">
        <v>16191</v>
      </c>
    </row>
    <row r="7335">
      <c r="A7335" s="3">
        <v>1702.0</v>
      </c>
      <c r="B7335" s="3" t="s">
        <v>11280</v>
      </c>
      <c r="C7335" s="3" t="s">
        <v>11281</v>
      </c>
      <c r="D7335" s="3" t="s">
        <v>16192</v>
      </c>
      <c r="E7335" s="3" t="s">
        <v>16193</v>
      </c>
      <c r="F7335" s="3" t="s">
        <v>16194</v>
      </c>
    </row>
    <row r="7336">
      <c r="A7336" s="3">
        <v>1703.0</v>
      </c>
      <c r="B7336" s="3" t="s">
        <v>11280</v>
      </c>
      <c r="C7336" s="3" t="s">
        <v>11281</v>
      </c>
      <c r="D7336" s="3" t="s">
        <v>16195</v>
      </c>
      <c r="E7336" s="3" t="s">
        <v>16196</v>
      </c>
      <c r="F7336" s="3" t="s">
        <v>16197</v>
      </c>
    </row>
    <row r="7337">
      <c r="A7337" s="3">
        <v>1704.0</v>
      </c>
      <c r="B7337" s="3" t="s">
        <v>11280</v>
      </c>
      <c r="C7337" s="3" t="s">
        <v>11281</v>
      </c>
      <c r="D7337" s="3" t="s">
        <v>3444</v>
      </c>
      <c r="E7337" s="3" t="s">
        <v>16198</v>
      </c>
      <c r="F7337" s="3" t="s">
        <v>3444</v>
      </c>
    </row>
    <row r="7338">
      <c r="A7338" s="3">
        <v>1705.0</v>
      </c>
      <c r="B7338" s="3" t="s">
        <v>11280</v>
      </c>
      <c r="C7338" s="3" t="s">
        <v>11281</v>
      </c>
      <c r="D7338" s="3" t="s">
        <v>16199</v>
      </c>
      <c r="E7338" s="3" t="s">
        <v>16200</v>
      </c>
      <c r="F7338" s="3" t="s">
        <v>16199</v>
      </c>
    </row>
    <row r="7339">
      <c r="A7339" s="3">
        <v>1706.0</v>
      </c>
      <c r="B7339" s="3" t="s">
        <v>11280</v>
      </c>
      <c r="C7339" s="3" t="s">
        <v>11281</v>
      </c>
      <c r="D7339" s="3" t="s">
        <v>3446</v>
      </c>
      <c r="E7339" s="3" t="s">
        <v>16201</v>
      </c>
      <c r="F7339" s="3" t="s">
        <v>3446</v>
      </c>
    </row>
    <row r="7340">
      <c r="A7340" s="3">
        <v>1707.0</v>
      </c>
      <c r="B7340" s="3" t="s">
        <v>11280</v>
      </c>
      <c r="C7340" s="3" t="s">
        <v>11281</v>
      </c>
      <c r="D7340" s="3" t="s">
        <v>16202</v>
      </c>
      <c r="E7340" s="3" t="s">
        <v>16203</v>
      </c>
      <c r="F7340" s="3" t="s">
        <v>16202</v>
      </c>
    </row>
    <row r="7341">
      <c r="A7341" s="3">
        <v>1708.0</v>
      </c>
      <c r="B7341" s="3" t="s">
        <v>11280</v>
      </c>
      <c r="C7341" s="3" t="s">
        <v>11281</v>
      </c>
      <c r="D7341" s="3" t="s">
        <v>16204</v>
      </c>
      <c r="E7341" s="3" t="s">
        <v>16205</v>
      </c>
      <c r="F7341" s="3" t="s">
        <v>16204</v>
      </c>
    </row>
    <row r="7342">
      <c r="A7342" s="3">
        <v>1709.0</v>
      </c>
      <c r="B7342" s="3" t="s">
        <v>11280</v>
      </c>
      <c r="C7342" s="3" t="s">
        <v>11281</v>
      </c>
      <c r="D7342" s="3" t="s">
        <v>16206</v>
      </c>
      <c r="E7342" s="3" t="s">
        <v>16207</v>
      </c>
      <c r="F7342" s="3" t="s">
        <v>16206</v>
      </c>
    </row>
    <row r="7343">
      <c r="A7343" s="3">
        <v>1710.0</v>
      </c>
      <c r="B7343" s="3" t="s">
        <v>11280</v>
      </c>
      <c r="C7343" s="3" t="s">
        <v>11281</v>
      </c>
      <c r="D7343" s="3" t="s">
        <v>16208</v>
      </c>
      <c r="E7343" s="3" t="s">
        <v>16209</v>
      </c>
      <c r="F7343" s="3" t="s">
        <v>16208</v>
      </c>
    </row>
    <row r="7344">
      <c r="A7344" s="3">
        <v>1711.0</v>
      </c>
      <c r="B7344" s="3" t="s">
        <v>11280</v>
      </c>
      <c r="C7344" s="3" t="s">
        <v>11281</v>
      </c>
      <c r="D7344" s="3" t="s">
        <v>16210</v>
      </c>
      <c r="E7344" s="3" t="s">
        <v>16211</v>
      </c>
      <c r="F7344" s="3" t="s">
        <v>16210</v>
      </c>
      <c r="G7344" s="3"/>
      <c r="H7344" s="3" t="s">
        <v>16212</v>
      </c>
      <c r="I7344" s="3" t="s">
        <v>16213</v>
      </c>
      <c r="J7344" s="3" t="s">
        <v>12799</v>
      </c>
      <c r="K7344" s="3" t="s">
        <v>16214</v>
      </c>
      <c r="L7344" s="3" t="s">
        <v>16212</v>
      </c>
      <c r="M7344" s="3" t="s">
        <v>16215</v>
      </c>
      <c r="N7344" s="3" t="s">
        <v>16216</v>
      </c>
      <c r="O7344" s="3" t="s">
        <v>16217</v>
      </c>
      <c r="P7344" s="3" t="s">
        <v>16212</v>
      </c>
      <c r="Q7344" s="3" t="s">
        <v>16218</v>
      </c>
      <c r="R7344" s="3" t="s">
        <v>16219</v>
      </c>
      <c r="S7344" s="3" t="s">
        <v>16214</v>
      </c>
      <c r="T7344" s="3" t="s">
        <v>16212</v>
      </c>
      <c r="U7344" s="3" t="s">
        <v>16220</v>
      </c>
      <c r="V7344" s="3" t="s">
        <v>16221</v>
      </c>
      <c r="W7344" s="3" t="s">
        <v>16222</v>
      </c>
      <c r="X7344" s="3" t="s">
        <v>16212</v>
      </c>
      <c r="Y7344" s="3" t="s">
        <v>11168</v>
      </c>
      <c r="Z7344" s="3" t="s">
        <v>16223</v>
      </c>
      <c r="AA7344" s="3" t="s">
        <v>9996</v>
      </c>
      <c r="AB7344" s="3" t="s">
        <v>16218</v>
      </c>
      <c r="AC7344" s="3" t="s">
        <v>16224</v>
      </c>
    </row>
    <row r="7345">
      <c r="A7345" s="3">
        <v>1712.0</v>
      </c>
      <c r="B7345" s="3" t="s">
        <v>11280</v>
      </c>
      <c r="C7345" s="3" t="s">
        <v>11281</v>
      </c>
      <c r="D7345" s="3" t="s">
        <v>16225</v>
      </c>
      <c r="E7345" s="3" t="s">
        <v>16226</v>
      </c>
      <c r="F7345" s="3" t="s">
        <v>16225</v>
      </c>
    </row>
    <row r="7346">
      <c r="A7346" s="3">
        <v>1713.0</v>
      </c>
      <c r="B7346" s="3" t="s">
        <v>11280</v>
      </c>
      <c r="C7346" s="3" t="s">
        <v>11281</v>
      </c>
      <c r="D7346" s="3" t="s">
        <v>16227</v>
      </c>
      <c r="E7346" s="3" t="s">
        <v>16228</v>
      </c>
      <c r="F7346" s="3" t="s">
        <v>16227</v>
      </c>
    </row>
    <row r="7347">
      <c r="A7347" s="3">
        <v>1714.0</v>
      </c>
      <c r="B7347" s="3" t="s">
        <v>11280</v>
      </c>
      <c r="C7347" s="3" t="s">
        <v>11281</v>
      </c>
      <c r="D7347" s="3" t="s">
        <v>16229</v>
      </c>
      <c r="E7347" s="3" t="s">
        <v>16230</v>
      </c>
      <c r="F7347" s="3" t="s">
        <v>16229</v>
      </c>
    </row>
    <row r="7348">
      <c r="A7348" s="3">
        <v>1715.0</v>
      </c>
      <c r="B7348" s="3" t="s">
        <v>11280</v>
      </c>
      <c r="C7348" s="3" t="s">
        <v>11281</v>
      </c>
      <c r="D7348" s="3" t="s">
        <v>16231</v>
      </c>
      <c r="E7348" s="3" t="s">
        <v>16232</v>
      </c>
      <c r="F7348" s="3" t="s">
        <v>16231</v>
      </c>
    </row>
    <row r="7349">
      <c r="A7349" s="3">
        <v>1716.0</v>
      </c>
      <c r="B7349" s="3" t="s">
        <v>11280</v>
      </c>
      <c r="C7349" s="3" t="s">
        <v>11281</v>
      </c>
      <c r="D7349" s="3" t="s">
        <v>16233</v>
      </c>
      <c r="E7349" s="3" t="s">
        <v>16234</v>
      </c>
      <c r="F7349" s="3" t="s">
        <v>16233</v>
      </c>
    </row>
    <row r="7350">
      <c r="A7350" s="3">
        <v>1717.0</v>
      </c>
      <c r="B7350" s="3" t="s">
        <v>11280</v>
      </c>
      <c r="C7350" s="3" t="s">
        <v>11281</v>
      </c>
      <c r="D7350" s="3" t="s">
        <v>8098</v>
      </c>
      <c r="E7350" s="3" t="s">
        <v>8099</v>
      </c>
      <c r="F7350" s="3" t="s">
        <v>8098</v>
      </c>
    </row>
    <row r="7351">
      <c r="A7351" s="3">
        <v>1718.0</v>
      </c>
      <c r="B7351" s="3" t="s">
        <v>11280</v>
      </c>
      <c r="C7351" s="3" t="s">
        <v>11281</v>
      </c>
      <c r="D7351" s="3" t="s">
        <v>16235</v>
      </c>
      <c r="E7351" s="3" t="s">
        <v>16236</v>
      </c>
      <c r="F7351" s="3" t="s">
        <v>16235</v>
      </c>
    </row>
    <row r="7352">
      <c r="A7352" s="3">
        <v>1719.0</v>
      </c>
      <c r="B7352" s="3" t="s">
        <v>11280</v>
      </c>
      <c r="C7352" s="3" t="s">
        <v>11281</v>
      </c>
      <c r="D7352" s="3" t="s">
        <v>16237</v>
      </c>
      <c r="E7352" s="3" t="s">
        <v>16238</v>
      </c>
      <c r="F7352" s="3" t="s">
        <v>16237</v>
      </c>
    </row>
    <row r="7353">
      <c r="A7353" s="3">
        <v>1720.0</v>
      </c>
      <c r="B7353" s="3" t="s">
        <v>11280</v>
      </c>
      <c r="C7353" s="3" t="s">
        <v>11281</v>
      </c>
      <c r="D7353" s="3" t="s">
        <v>16239</v>
      </c>
      <c r="E7353" s="3" t="s">
        <v>16240</v>
      </c>
      <c r="F7353" s="3" t="s">
        <v>16239</v>
      </c>
    </row>
    <row r="7354">
      <c r="A7354" s="3">
        <v>1721.0</v>
      </c>
      <c r="B7354" s="3" t="s">
        <v>11280</v>
      </c>
      <c r="C7354" s="3" t="s">
        <v>11281</v>
      </c>
      <c r="D7354" s="3" t="s">
        <v>16241</v>
      </c>
      <c r="E7354" s="3" t="s">
        <v>16242</v>
      </c>
      <c r="F7354" s="3" t="s">
        <v>16241</v>
      </c>
    </row>
    <row r="7355">
      <c r="A7355" s="3">
        <v>1722.0</v>
      </c>
      <c r="B7355" s="3" t="s">
        <v>11280</v>
      </c>
      <c r="C7355" s="3" t="s">
        <v>11281</v>
      </c>
      <c r="D7355" s="3" t="s">
        <v>16243</v>
      </c>
      <c r="E7355" s="3" t="s">
        <v>16244</v>
      </c>
      <c r="F7355" s="3" t="s">
        <v>16243</v>
      </c>
    </row>
    <row r="7356">
      <c r="A7356" s="3">
        <v>1723.0</v>
      </c>
      <c r="B7356" s="3" t="s">
        <v>11280</v>
      </c>
      <c r="C7356" s="3" t="s">
        <v>11281</v>
      </c>
      <c r="D7356" s="3" t="s">
        <v>16245</v>
      </c>
      <c r="E7356" s="3" t="s">
        <v>16246</v>
      </c>
      <c r="F7356" s="3" t="s">
        <v>16245</v>
      </c>
    </row>
    <row r="7357">
      <c r="A7357" s="3">
        <v>1724.0</v>
      </c>
      <c r="B7357" s="3" t="s">
        <v>11280</v>
      </c>
      <c r="C7357" s="3" t="s">
        <v>11281</v>
      </c>
      <c r="D7357" s="3" t="s">
        <v>16247</v>
      </c>
      <c r="E7357" s="3" t="s">
        <v>16248</v>
      </c>
      <c r="F7357" s="3" t="s">
        <v>16247</v>
      </c>
      <c r="G7357" s="3"/>
      <c r="H7357" s="3" t="s">
        <v>16249</v>
      </c>
      <c r="I7357" s="3" t="s">
        <v>16250</v>
      </c>
    </row>
    <row r="7358">
      <c r="A7358" s="3">
        <v>1725.0</v>
      </c>
      <c r="B7358" s="3" t="s">
        <v>11280</v>
      </c>
      <c r="C7358" s="3" t="s">
        <v>11281</v>
      </c>
      <c r="D7358" s="3" t="s">
        <v>16251</v>
      </c>
      <c r="E7358" s="3" t="s">
        <v>16252</v>
      </c>
      <c r="F7358" s="3" t="s">
        <v>16251</v>
      </c>
    </row>
    <row r="7359">
      <c r="A7359" s="3">
        <v>1726.0</v>
      </c>
      <c r="B7359" s="3" t="s">
        <v>11280</v>
      </c>
      <c r="C7359" s="3" t="s">
        <v>11281</v>
      </c>
      <c r="D7359" s="3" t="s">
        <v>16253</v>
      </c>
      <c r="E7359" s="3" t="s">
        <v>16254</v>
      </c>
      <c r="F7359" s="3" t="s">
        <v>16253</v>
      </c>
    </row>
    <row r="7360">
      <c r="A7360" s="3">
        <v>1727.0</v>
      </c>
      <c r="B7360" s="3" t="s">
        <v>11280</v>
      </c>
      <c r="C7360" s="3" t="s">
        <v>11281</v>
      </c>
      <c r="D7360" s="3" t="s">
        <v>3229</v>
      </c>
      <c r="E7360" s="3" t="s">
        <v>3228</v>
      </c>
      <c r="F7360" s="3" t="s">
        <v>3229</v>
      </c>
    </row>
    <row r="7361">
      <c r="A7361" s="3">
        <v>1728.0</v>
      </c>
      <c r="B7361" s="3" t="s">
        <v>11280</v>
      </c>
      <c r="C7361" s="3" t="s">
        <v>11281</v>
      </c>
      <c r="D7361" s="3" t="s">
        <v>16255</v>
      </c>
      <c r="E7361" s="3" t="s">
        <v>16256</v>
      </c>
      <c r="F7361" s="3" t="s">
        <v>16255</v>
      </c>
      <c r="G7361" s="3"/>
      <c r="H7361" s="3" t="s">
        <v>16257</v>
      </c>
      <c r="I7361" s="3" t="s">
        <v>16258</v>
      </c>
      <c r="J7361" s="3" t="s">
        <v>16259</v>
      </c>
      <c r="K7361" s="3" t="s">
        <v>16260</v>
      </c>
      <c r="L7361" s="3" t="s">
        <v>16261</v>
      </c>
      <c r="M7361" s="3" t="s">
        <v>16257</v>
      </c>
    </row>
    <row r="7362">
      <c r="A7362" s="3">
        <v>1729.0</v>
      </c>
      <c r="B7362" s="3" t="s">
        <v>11280</v>
      </c>
      <c r="C7362" s="3" t="s">
        <v>11281</v>
      </c>
      <c r="D7362" s="3" t="s">
        <v>16262</v>
      </c>
      <c r="E7362" s="3" t="s">
        <v>16263</v>
      </c>
      <c r="F7362" s="3" t="s">
        <v>16262</v>
      </c>
    </row>
    <row r="7363">
      <c r="A7363" s="3">
        <v>1730.0</v>
      </c>
      <c r="B7363" s="3" t="s">
        <v>11280</v>
      </c>
      <c r="C7363" s="3" t="s">
        <v>11281</v>
      </c>
      <c r="D7363" s="3" t="s">
        <v>16264</v>
      </c>
      <c r="E7363" s="3" t="s">
        <v>16265</v>
      </c>
      <c r="F7363" s="3" t="s">
        <v>16266</v>
      </c>
    </row>
    <row r="7364">
      <c r="A7364" s="3">
        <v>1731.0</v>
      </c>
      <c r="B7364" s="3" t="s">
        <v>11280</v>
      </c>
      <c r="C7364" s="3" t="s">
        <v>11281</v>
      </c>
      <c r="D7364" s="3" t="s">
        <v>16267</v>
      </c>
      <c r="E7364" s="3" t="s">
        <v>16268</v>
      </c>
      <c r="F7364" s="3" t="s">
        <v>16269</v>
      </c>
    </row>
    <row r="7365">
      <c r="A7365" s="3">
        <v>1732.0</v>
      </c>
      <c r="B7365" s="3" t="s">
        <v>11280</v>
      </c>
      <c r="C7365" s="3" t="s">
        <v>11281</v>
      </c>
      <c r="D7365" s="3" t="s">
        <v>16270</v>
      </c>
      <c r="E7365" s="3" t="s">
        <v>16271</v>
      </c>
      <c r="F7365" s="3" t="s">
        <v>16270</v>
      </c>
    </row>
    <row r="7366">
      <c r="A7366" s="3">
        <v>1733.0</v>
      </c>
      <c r="B7366" s="3" t="s">
        <v>11280</v>
      </c>
      <c r="C7366" s="3" t="s">
        <v>11281</v>
      </c>
      <c r="D7366" s="3" t="s">
        <v>16272</v>
      </c>
      <c r="E7366" s="3" t="s">
        <v>16273</v>
      </c>
      <c r="F7366" s="3" t="s">
        <v>16272</v>
      </c>
    </row>
    <row r="7367">
      <c r="A7367" s="3">
        <v>1734.0</v>
      </c>
      <c r="B7367" s="3" t="s">
        <v>11280</v>
      </c>
      <c r="C7367" s="3" t="s">
        <v>11281</v>
      </c>
      <c r="D7367" s="3" t="s">
        <v>3246</v>
      </c>
      <c r="E7367" s="3" t="s">
        <v>3245</v>
      </c>
      <c r="F7367" s="3" t="s">
        <v>3246</v>
      </c>
    </row>
    <row r="7368">
      <c r="A7368" s="3">
        <v>1735.0</v>
      </c>
      <c r="B7368" s="3" t="s">
        <v>11280</v>
      </c>
      <c r="C7368" s="3" t="s">
        <v>11281</v>
      </c>
      <c r="D7368" s="3" t="s">
        <v>16274</v>
      </c>
      <c r="E7368" s="3" t="s">
        <v>16275</v>
      </c>
      <c r="F7368" s="3" t="s">
        <v>16274</v>
      </c>
      <c r="G7368" s="3"/>
      <c r="H7368" s="3" t="s">
        <v>16276</v>
      </c>
    </row>
    <row r="7369">
      <c r="A7369" s="3">
        <v>1736.0</v>
      </c>
      <c r="B7369" s="3" t="s">
        <v>11280</v>
      </c>
      <c r="C7369" s="3" t="s">
        <v>11281</v>
      </c>
      <c r="D7369" s="3" t="s">
        <v>16277</v>
      </c>
      <c r="E7369" s="3" t="s">
        <v>16278</v>
      </c>
      <c r="F7369" s="3" t="s">
        <v>16277</v>
      </c>
    </row>
    <row r="7370">
      <c r="A7370" s="3">
        <v>1737.0</v>
      </c>
      <c r="B7370" s="3" t="s">
        <v>11280</v>
      </c>
      <c r="C7370" s="3" t="s">
        <v>11281</v>
      </c>
      <c r="D7370" s="3" t="s">
        <v>16279</v>
      </c>
      <c r="E7370" s="3" t="s">
        <v>3503</v>
      </c>
      <c r="F7370" s="3" t="s">
        <v>3504</v>
      </c>
    </row>
    <row r="7371">
      <c r="A7371" s="3">
        <v>1738.0</v>
      </c>
      <c r="B7371" s="3" t="s">
        <v>11280</v>
      </c>
      <c r="C7371" s="3" t="s">
        <v>11281</v>
      </c>
      <c r="D7371" s="3" t="s">
        <v>16280</v>
      </c>
      <c r="E7371" s="3" t="s">
        <v>16281</v>
      </c>
      <c r="F7371" s="3" t="s">
        <v>16282</v>
      </c>
    </row>
    <row r="7372">
      <c r="A7372" s="3">
        <v>1739.0</v>
      </c>
      <c r="B7372" s="3" t="s">
        <v>11280</v>
      </c>
      <c r="C7372" s="3" t="s">
        <v>11281</v>
      </c>
      <c r="D7372" s="3" t="s">
        <v>16283</v>
      </c>
      <c r="E7372" s="3" t="s">
        <v>16284</v>
      </c>
      <c r="F7372" s="3" t="s">
        <v>16285</v>
      </c>
    </row>
    <row r="7373">
      <c r="A7373" s="3">
        <v>1740.0</v>
      </c>
      <c r="B7373" s="3" t="s">
        <v>11280</v>
      </c>
      <c r="C7373" s="3" t="s">
        <v>11281</v>
      </c>
      <c r="D7373" s="3" t="s">
        <v>16286</v>
      </c>
      <c r="E7373" s="3" t="s">
        <v>16287</v>
      </c>
      <c r="F7373" s="3" t="s">
        <v>16288</v>
      </c>
    </row>
    <row r="7374">
      <c r="A7374" s="3">
        <v>1741.0</v>
      </c>
      <c r="B7374" s="3" t="s">
        <v>11280</v>
      </c>
      <c r="C7374" s="3" t="s">
        <v>11281</v>
      </c>
      <c r="D7374" s="3" t="s">
        <v>16289</v>
      </c>
      <c r="E7374" s="3" t="s">
        <v>16290</v>
      </c>
      <c r="F7374" s="3" t="s">
        <v>16291</v>
      </c>
    </row>
    <row r="7375">
      <c r="A7375" s="3">
        <v>1742.0</v>
      </c>
      <c r="B7375" s="3" t="s">
        <v>11280</v>
      </c>
      <c r="C7375" s="3" t="s">
        <v>11281</v>
      </c>
      <c r="D7375" s="3" t="s">
        <v>16292</v>
      </c>
      <c r="E7375" s="3" t="s">
        <v>16293</v>
      </c>
      <c r="F7375" s="3" t="s">
        <v>16294</v>
      </c>
    </row>
    <row r="7376">
      <c r="A7376" s="3">
        <v>1743.0</v>
      </c>
      <c r="B7376" s="3" t="s">
        <v>11280</v>
      </c>
      <c r="C7376" s="3" t="s">
        <v>11281</v>
      </c>
      <c r="D7376" s="3" t="s">
        <v>16295</v>
      </c>
      <c r="E7376" s="3" t="s">
        <v>16296</v>
      </c>
      <c r="F7376" s="3" t="s">
        <v>16297</v>
      </c>
    </row>
    <row r="7377">
      <c r="A7377" s="3">
        <v>1744.0</v>
      </c>
      <c r="B7377" s="3" t="s">
        <v>11280</v>
      </c>
      <c r="C7377" s="3" t="s">
        <v>11281</v>
      </c>
      <c r="D7377" s="3" t="s">
        <v>16298</v>
      </c>
      <c r="E7377" s="3" t="s">
        <v>16299</v>
      </c>
      <c r="F7377" s="3" t="s">
        <v>16300</v>
      </c>
    </row>
    <row r="7378">
      <c r="A7378" s="3">
        <v>1745.0</v>
      </c>
      <c r="B7378" s="3" t="s">
        <v>11280</v>
      </c>
      <c r="C7378" s="3" t="s">
        <v>11281</v>
      </c>
      <c r="D7378" s="3" t="s">
        <v>7310</v>
      </c>
      <c r="E7378" s="3" t="s">
        <v>16301</v>
      </c>
      <c r="F7378" s="3" t="s">
        <v>16302</v>
      </c>
    </row>
    <row r="7379">
      <c r="A7379" s="3">
        <v>1746.0</v>
      </c>
      <c r="B7379" s="3" t="s">
        <v>11280</v>
      </c>
      <c r="C7379" s="3" t="s">
        <v>11281</v>
      </c>
      <c r="D7379" s="3" t="s">
        <v>16303</v>
      </c>
      <c r="E7379" s="3" t="s">
        <v>16304</v>
      </c>
      <c r="F7379" s="3" t="s">
        <v>16305</v>
      </c>
    </row>
    <row r="7380">
      <c r="A7380" s="3">
        <v>1747.0</v>
      </c>
      <c r="B7380" s="3" t="s">
        <v>11280</v>
      </c>
      <c r="C7380" s="3" t="s">
        <v>11281</v>
      </c>
      <c r="D7380" s="3" t="s">
        <v>16306</v>
      </c>
      <c r="E7380" s="3" t="s">
        <v>16307</v>
      </c>
      <c r="F7380" s="3" t="s">
        <v>16308</v>
      </c>
    </row>
    <row r="7381">
      <c r="A7381" s="3">
        <v>1748.0</v>
      </c>
      <c r="B7381" s="3" t="s">
        <v>11280</v>
      </c>
      <c r="C7381" s="3" t="s">
        <v>11281</v>
      </c>
      <c r="D7381" s="3" t="s">
        <v>16309</v>
      </c>
      <c r="E7381" s="3" t="s">
        <v>16310</v>
      </c>
      <c r="F7381" s="3" t="s">
        <v>16311</v>
      </c>
    </row>
    <row r="7382">
      <c r="A7382" s="3">
        <v>1749.0</v>
      </c>
      <c r="B7382" s="3" t="s">
        <v>11280</v>
      </c>
      <c r="C7382" s="3" t="s">
        <v>11281</v>
      </c>
      <c r="D7382" s="3" t="s">
        <v>16312</v>
      </c>
      <c r="E7382" s="3" t="s">
        <v>16313</v>
      </c>
      <c r="F7382" s="3" t="s">
        <v>16314</v>
      </c>
    </row>
    <row r="7383">
      <c r="A7383" s="3">
        <v>1750.0</v>
      </c>
      <c r="B7383" s="3" t="s">
        <v>11280</v>
      </c>
      <c r="C7383" s="3" t="s">
        <v>11281</v>
      </c>
      <c r="D7383" s="3" t="s">
        <v>16315</v>
      </c>
      <c r="E7383" s="3" t="s">
        <v>16316</v>
      </c>
      <c r="F7383" s="3" t="s">
        <v>16317</v>
      </c>
    </row>
    <row r="7384">
      <c r="A7384" s="3">
        <v>1751.0</v>
      </c>
      <c r="B7384" s="3" t="s">
        <v>11280</v>
      </c>
      <c r="C7384" s="3" t="s">
        <v>11281</v>
      </c>
      <c r="D7384" s="3" t="s">
        <v>7313</v>
      </c>
      <c r="E7384" s="3" t="s">
        <v>16318</v>
      </c>
      <c r="F7384" s="3" t="s">
        <v>16319</v>
      </c>
    </row>
    <row r="7385">
      <c r="A7385" s="3">
        <v>1752.0</v>
      </c>
      <c r="B7385" s="3" t="s">
        <v>11280</v>
      </c>
      <c r="C7385" s="3" t="s">
        <v>11281</v>
      </c>
      <c r="D7385" s="3" t="s">
        <v>16320</v>
      </c>
      <c r="E7385" s="3" t="s">
        <v>16321</v>
      </c>
      <c r="F7385" s="3" t="s">
        <v>16322</v>
      </c>
    </row>
    <row r="7386">
      <c r="A7386" s="3">
        <v>1753.0</v>
      </c>
      <c r="B7386" s="3" t="s">
        <v>11280</v>
      </c>
      <c r="C7386" s="3" t="s">
        <v>11281</v>
      </c>
      <c r="D7386" s="3" t="s">
        <v>16323</v>
      </c>
      <c r="E7386" s="3" t="s">
        <v>16324</v>
      </c>
      <c r="F7386" s="3" t="s">
        <v>16325</v>
      </c>
    </row>
    <row r="7387">
      <c r="A7387" s="3">
        <v>1754.0</v>
      </c>
      <c r="B7387" s="3" t="s">
        <v>11280</v>
      </c>
      <c r="C7387" s="3" t="s">
        <v>11281</v>
      </c>
      <c r="D7387" s="3" t="s">
        <v>16326</v>
      </c>
      <c r="E7387" s="3" t="s">
        <v>16327</v>
      </c>
      <c r="F7387" s="3" t="s">
        <v>16328</v>
      </c>
      <c r="G7387" s="3"/>
      <c r="H7387" s="3" t="s">
        <v>16329</v>
      </c>
      <c r="I7387" s="3" t="s">
        <v>16330</v>
      </c>
    </row>
    <row r="7388">
      <c r="A7388" s="3">
        <v>1755.0</v>
      </c>
      <c r="B7388" s="3" t="s">
        <v>11280</v>
      </c>
      <c r="C7388" s="3" t="s">
        <v>11281</v>
      </c>
      <c r="D7388" s="3" t="s">
        <v>16331</v>
      </c>
      <c r="E7388" s="3" t="s">
        <v>16332</v>
      </c>
      <c r="F7388" s="3" t="s">
        <v>16333</v>
      </c>
    </row>
    <row r="7389">
      <c r="A7389" s="3">
        <v>1756.0</v>
      </c>
      <c r="B7389" s="3" t="s">
        <v>11280</v>
      </c>
      <c r="C7389" s="3" t="s">
        <v>11281</v>
      </c>
      <c r="D7389" s="3" t="s">
        <v>16334</v>
      </c>
      <c r="E7389" s="3" t="s">
        <v>16335</v>
      </c>
      <c r="F7389" s="3" t="s">
        <v>16336</v>
      </c>
    </row>
    <row r="7390">
      <c r="A7390" s="3">
        <v>1757.0</v>
      </c>
      <c r="B7390" s="3" t="s">
        <v>11280</v>
      </c>
      <c r="C7390" s="3" t="s">
        <v>11281</v>
      </c>
      <c r="D7390" s="3" t="s">
        <v>16337</v>
      </c>
      <c r="E7390" s="3" t="s">
        <v>16338</v>
      </c>
      <c r="F7390" s="3" t="s">
        <v>16339</v>
      </c>
    </row>
    <row r="7391">
      <c r="A7391" s="3">
        <v>1758.0</v>
      </c>
      <c r="B7391" s="3" t="s">
        <v>11280</v>
      </c>
      <c r="C7391" s="3" t="s">
        <v>11281</v>
      </c>
      <c r="D7391" s="3" t="s">
        <v>16340</v>
      </c>
      <c r="E7391" s="3" t="s">
        <v>16341</v>
      </c>
      <c r="F7391" s="3" t="s">
        <v>16342</v>
      </c>
    </row>
    <row r="7392">
      <c r="A7392" s="3">
        <v>1759.0</v>
      </c>
      <c r="B7392" s="3" t="s">
        <v>11280</v>
      </c>
      <c r="C7392" s="3" t="s">
        <v>11281</v>
      </c>
      <c r="D7392" s="3" t="s">
        <v>11240</v>
      </c>
      <c r="E7392" s="3" t="s">
        <v>16343</v>
      </c>
      <c r="F7392" s="3" t="s">
        <v>11240</v>
      </c>
      <c r="G7392" s="3"/>
      <c r="H7392" s="3" t="s">
        <v>16344</v>
      </c>
      <c r="I7392" s="3" t="s">
        <v>16345</v>
      </c>
      <c r="J7392" s="3" t="s">
        <v>16344</v>
      </c>
    </row>
    <row r="7393">
      <c r="A7393" s="3">
        <v>1760.0</v>
      </c>
      <c r="B7393" s="3" t="s">
        <v>11280</v>
      </c>
      <c r="C7393" s="3" t="s">
        <v>11281</v>
      </c>
      <c r="D7393" s="3" t="s">
        <v>16346</v>
      </c>
      <c r="E7393" s="3" t="s">
        <v>16347</v>
      </c>
      <c r="F7393" s="3" t="s">
        <v>16348</v>
      </c>
      <c r="G7393" s="3"/>
      <c r="H7393" s="3" t="s">
        <v>16346</v>
      </c>
    </row>
    <row r="7394">
      <c r="A7394" s="3">
        <v>1761.0</v>
      </c>
      <c r="B7394" s="3" t="s">
        <v>11280</v>
      </c>
      <c r="C7394" s="3" t="s">
        <v>11281</v>
      </c>
      <c r="D7394" s="3" t="s">
        <v>16349</v>
      </c>
      <c r="E7394" s="3" t="s">
        <v>16350</v>
      </c>
      <c r="F7394" s="3" t="s">
        <v>16351</v>
      </c>
    </row>
    <row r="7395">
      <c r="A7395" s="3">
        <v>1762.0</v>
      </c>
      <c r="B7395" s="3" t="s">
        <v>11280</v>
      </c>
      <c r="C7395" s="3" t="s">
        <v>11281</v>
      </c>
      <c r="D7395" s="3" t="s">
        <v>16352</v>
      </c>
      <c r="E7395" s="3" t="s">
        <v>16353</v>
      </c>
      <c r="F7395" s="3" t="s">
        <v>16354</v>
      </c>
    </row>
    <row r="7396">
      <c r="A7396" s="3">
        <v>1763.0</v>
      </c>
      <c r="B7396" s="3" t="s">
        <v>11280</v>
      </c>
      <c r="C7396" s="3" t="s">
        <v>11281</v>
      </c>
      <c r="D7396" s="3" t="s">
        <v>16355</v>
      </c>
      <c r="E7396" s="3" t="s">
        <v>16356</v>
      </c>
      <c r="F7396" s="3" t="s">
        <v>16357</v>
      </c>
    </row>
    <row r="7397">
      <c r="A7397" s="3">
        <v>1764.0</v>
      </c>
      <c r="B7397" s="3" t="s">
        <v>11280</v>
      </c>
      <c r="C7397" s="3" t="s">
        <v>11281</v>
      </c>
      <c r="D7397" s="3" t="s">
        <v>16358</v>
      </c>
      <c r="E7397" s="3" t="s">
        <v>16359</v>
      </c>
      <c r="F7397" s="3" t="s">
        <v>16358</v>
      </c>
    </row>
    <row r="7398">
      <c r="A7398" s="3">
        <v>1765.0</v>
      </c>
      <c r="B7398" s="3" t="s">
        <v>11280</v>
      </c>
      <c r="C7398" s="3" t="s">
        <v>11281</v>
      </c>
      <c r="D7398" s="3" t="s">
        <v>16360</v>
      </c>
      <c r="E7398" s="3" t="s">
        <v>16361</v>
      </c>
      <c r="F7398" s="3" t="s">
        <v>16360</v>
      </c>
    </row>
    <row r="7399">
      <c r="A7399" s="3">
        <v>1766.0</v>
      </c>
      <c r="B7399" s="3" t="s">
        <v>11280</v>
      </c>
      <c r="C7399" s="3" t="s">
        <v>11281</v>
      </c>
      <c r="D7399" s="3" t="s">
        <v>16362</v>
      </c>
      <c r="E7399" s="3" t="s">
        <v>16363</v>
      </c>
      <c r="F7399" s="3" t="s">
        <v>16362</v>
      </c>
      <c r="G7399" s="3"/>
      <c r="H7399" s="3" t="s">
        <v>16364</v>
      </c>
      <c r="I7399" s="3" t="s">
        <v>16365</v>
      </c>
      <c r="J7399" s="3" t="s">
        <v>16366</v>
      </c>
    </row>
    <row r="7400">
      <c r="A7400" s="3">
        <v>1767.0</v>
      </c>
      <c r="B7400" s="3" t="s">
        <v>11280</v>
      </c>
      <c r="C7400" s="3" t="s">
        <v>11281</v>
      </c>
      <c r="D7400" s="3" t="s">
        <v>16367</v>
      </c>
      <c r="E7400" s="3" t="s">
        <v>16368</v>
      </c>
      <c r="F7400" s="3" t="s">
        <v>16367</v>
      </c>
    </row>
    <row r="7401">
      <c r="A7401" s="3">
        <v>1768.0</v>
      </c>
      <c r="B7401" s="3" t="s">
        <v>11280</v>
      </c>
      <c r="C7401" s="3" t="s">
        <v>11281</v>
      </c>
      <c r="D7401" s="3" t="s">
        <v>16369</v>
      </c>
      <c r="E7401" s="3" t="s">
        <v>16370</v>
      </c>
      <c r="F7401" s="3" t="s">
        <v>16369</v>
      </c>
    </row>
    <row r="7402">
      <c r="A7402" s="3">
        <v>1769.0</v>
      </c>
      <c r="B7402" s="3" t="s">
        <v>11280</v>
      </c>
      <c r="C7402" s="3" t="s">
        <v>11281</v>
      </c>
      <c r="D7402" s="3" t="s">
        <v>16371</v>
      </c>
      <c r="E7402" s="3" t="s">
        <v>16372</v>
      </c>
      <c r="F7402" s="3" t="s">
        <v>16371</v>
      </c>
    </row>
    <row r="7403">
      <c r="A7403" s="3">
        <v>1770.0</v>
      </c>
      <c r="B7403" s="3" t="s">
        <v>11280</v>
      </c>
      <c r="C7403" s="3" t="s">
        <v>11281</v>
      </c>
      <c r="D7403" s="3" t="s">
        <v>16373</v>
      </c>
      <c r="E7403" s="3" t="s">
        <v>16374</v>
      </c>
      <c r="F7403" s="3" t="s">
        <v>16373</v>
      </c>
    </row>
    <row r="7404">
      <c r="A7404" s="3">
        <v>1771.0</v>
      </c>
      <c r="B7404" s="3" t="s">
        <v>11280</v>
      </c>
      <c r="C7404" s="3" t="s">
        <v>11281</v>
      </c>
      <c r="D7404" s="3" t="s">
        <v>16375</v>
      </c>
      <c r="E7404" s="3" t="s">
        <v>16376</v>
      </c>
      <c r="F7404" s="3" t="s">
        <v>16375</v>
      </c>
    </row>
    <row r="7405">
      <c r="A7405" s="3">
        <v>1772.0</v>
      </c>
      <c r="B7405" s="3" t="s">
        <v>11280</v>
      </c>
      <c r="C7405" s="3" t="s">
        <v>11281</v>
      </c>
      <c r="D7405" s="3" t="s">
        <v>16377</v>
      </c>
      <c r="E7405" s="3" t="s">
        <v>16378</v>
      </c>
      <c r="F7405" s="3" t="s">
        <v>16377</v>
      </c>
    </row>
    <row r="7406">
      <c r="A7406" s="3">
        <v>1773.0</v>
      </c>
      <c r="B7406" s="3" t="s">
        <v>11280</v>
      </c>
      <c r="C7406" s="3" t="s">
        <v>11281</v>
      </c>
      <c r="D7406" s="3" t="s">
        <v>16379</v>
      </c>
      <c r="E7406" s="3" t="s">
        <v>16380</v>
      </c>
      <c r="F7406" s="3" t="s">
        <v>16379</v>
      </c>
    </row>
    <row r="7407">
      <c r="A7407" s="3">
        <v>1774.0</v>
      </c>
      <c r="B7407" s="3" t="s">
        <v>11280</v>
      </c>
      <c r="C7407" s="3" t="s">
        <v>11281</v>
      </c>
      <c r="D7407" s="3" t="s">
        <v>16381</v>
      </c>
      <c r="E7407" s="3" t="s">
        <v>16382</v>
      </c>
      <c r="F7407" s="3" t="s">
        <v>16383</v>
      </c>
    </row>
    <row r="7408">
      <c r="A7408" s="3">
        <v>1775.0</v>
      </c>
      <c r="B7408" s="3" t="s">
        <v>11280</v>
      </c>
      <c r="C7408" s="3" t="s">
        <v>11281</v>
      </c>
      <c r="D7408" s="3" t="s">
        <v>16384</v>
      </c>
      <c r="E7408" s="3" t="s">
        <v>16385</v>
      </c>
      <c r="F7408" s="3" t="s">
        <v>16386</v>
      </c>
    </row>
    <row r="7409">
      <c r="A7409" s="3">
        <v>1776.0</v>
      </c>
      <c r="B7409" s="3" t="s">
        <v>11280</v>
      </c>
      <c r="C7409" s="3" t="s">
        <v>11281</v>
      </c>
      <c r="D7409" s="3" t="s">
        <v>16387</v>
      </c>
      <c r="E7409" s="3" t="s">
        <v>16388</v>
      </c>
      <c r="F7409" s="3" t="s">
        <v>16389</v>
      </c>
    </row>
    <row r="7410">
      <c r="A7410" s="3">
        <v>1777.0</v>
      </c>
      <c r="B7410" s="3" t="s">
        <v>11280</v>
      </c>
      <c r="C7410" s="3" t="s">
        <v>11281</v>
      </c>
      <c r="D7410" s="3" t="s">
        <v>16390</v>
      </c>
      <c r="E7410" s="3" t="s">
        <v>16391</v>
      </c>
      <c r="F7410" s="3" t="s">
        <v>16392</v>
      </c>
    </row>
    <row r="7411">
      <c r="A7411" s="3">
        <v>1778.0</v>
      </c>
      <c r="B7411" s="3" t="s">
        <v>11280</v>
      </c>
      <c r="C7411" s="3" t="s">
        <v>11281</v>
      </c>
      <c r="D7411" s="3" t="s">
        <v>16393</v>
      </c>
      <c r="E7411" s="3" t="s">
        <v>16394</v>
      </c>
      <c r="F7411" s="3" t="s">
        <v>16393</v>
      </c>
    </row>
    <row r="7412">
      <c r="A7412" s="3">
        <v>1779.0</v>
      </c>
      <c r="B7412" s="3" t="s">
        <v>11280</v>
      </c>
      <c r="C7412" s="3" t="s">
        <v>11281</v>
      </c>
      <c r="D7412" s="3" t="s">
        <v>16395</v>
      </c>
      <c r="E7412" s="3" t="s">
        <v>16396</v>
      </c>
      <c r="F7412" s="3" t="s">
        <v>16395</v>
      </c>
    </row>
    <row r="7413">
      <c r="A7413" s="3">
        <v>1780.0</v>
      </c>
      <c r="B7413" s="3" t="s">
        <v>11280</v>
      </c>
      <c r="C7413" s="3" t="s">
        <v>11281</v>
      </c>
      <c r="D7413" s="3" t="s">
        <v>16397</v>
      </c>
      <c r="E7413" s="3" t="s">
        <v>16398</v>
      </c>
      <c r="F7413" s="3" t="s">
        <v>16397</v>
      </c>
      <c r="G7413" s="3"/>
      <c r="H7413" s="3" t="s">
        <v>16399</v>
      </c>
      <c r="I7413" s="3" t="s">
        <v>16400</v>
      </c>
    </row>
    <row r="7414">
      <c r="A7414" s="3">
        <v>1781.0</v>
      </c>
      <c r="B7414" s="3" t="s">
        <v>11280</v>
      </c>
      <c r="C7414" s="3" t="s">
        <v>11281</v>
      </c>
      <c r="D7414" s="3" t="s">
        <v>8797</v>
      </c>
      <c r="E7414" s="3" t="s">
        <v>8796</v>
      </c>
      <c r="F7414" s="3" t="s">
        <v>8797</v>
      </c>
    </row>
    <row r="7415">
      <c r="A7415" s="3">
        <v>1782.0</v>
      </c>
      <c r="B7415" s="3" t="s">
        <v>11280</v>
      </c>
      <c r="C7415" s="3" t="s">
        <v>11281</v>
      </c>
      <c r="D7415" s="3" t="s">
        <v>16401</v>
      </c>
      <c r="E7415" s="3" t="s">
        <v>16402</v>
      </c>
      <c r="F7415" s="3" t="s">
        <v>16401</v>
      </c>
    </row>
    <row r="7416">
      <c r="A7416" s="3">
        <v>1783.0</v>
      </c>
      <c r="B7416" s="3" t="s">
        <v>11280</v>
      </c>
      <c r="C7416" s="3" t="s">
        <v>11281</v>
      </c>
      <c r="D7416" s="3" t="s">
        <v>16403</v>
      </c>
      <c r="E7416" s="3" t="s">
        <v>16404</v>
      </c>
      <c r="F7416" s="3" t="s">
        <v>16403</v>
      </c>
    </row>
    <row r="7417">
      <c r="A7417" s="3">
        <v>1784.0</v>
      </c>
      <c r="B7417" s="3" t="s">
        <v>11280</v>
      </c>
      <c r="C7417" s="3" t="s">
        <v>11281</v>
      </c>
      <c r="D7417" s="3" t="s">
        <v>16405</v>
      </c>
      <c r="E7417" s="3" t="s">
        <v>16406</v>
      </c>
      <c r="F7417" s="3" t="s">
        <v>16405</v>
      </c>
    </row>
    <row r="7418">
      <c r="A7418" s="3">
        <v>1785.0</v>
      </c>
      <c r="B7418" s="3" t="s">
        <v>11280</v>
      </c>
      <c r="C7418" s="3" t="s">
        <v>11281</v>
      </c>
      <c r="D7418" s="3" t="s">
        <v>16407</v>
      </c>
      <c r="E7418" s="3" t="s">
        <v>16408</v>
      </c>
      <c r="F7418" s="3" t="s">
        <v>16409</v>
      </c>
    </row>
    <row r="7419">
      <c r="A7419" s="3">
        <v>1786.0</v>
      </c>
      <c r="B7419" s="3" t="s">
        <v>11280</v>
      </c>
      <c r="C7419" s="3" t="s">
        <v>11281</v>
      </c>
      <c r="D7419" s="3" t="s">
        <v>16410</v>
      </c>
      <c r="E7419" s="3" t="s">
        <v>16411</v>
      </c>
      <c r="F7419" s="3" t="s">
        <v>16412</v>
      </c>
    </row>
    <row r="7420">
      <c r="A7420" s="3">
        <v>1787.0</v>
      </c>
      <c r="B7420" s="3" t="s">
        <v>11280</v>
      </c>
      <c r="C7420" s="3" t="s">
        <v>11281</v>
      </c>
      <c r="D7420" s="3" t="s">
        <v>16413</v>
      </c>
      <c r="E7420" s="3" t="s">
        <v>16414</v>
      </c>
      <c r="F7420" s="3" t="s">
        <v>16413</v>
      </c>
      <c r="G7420" s="3"/>
      <c r="H7420" s="3" t="s">
        <v>16413</v>
      </c>
      <c r="I7420" s="3" t="s">
        <v>16415</v>
      </c>
      <c r="J7420" s="3" t="s">
        <v>16416</v>
      </c>
    </row>
    <row r="7421">
      <c r="A7421" s="3">
        <v>1788.0</v>
      </c>
      <c r="B7421" s="3" t="s">
        <v>11280</v>
      </c>
      <c r="C7421" s="3" t="s">
        <v>11281</v>
      </c>
      <c r="D7421" s="3" t="s">
        <v>16417</v>
      </c>
      <c r="E7421" s="3" t="s">
        <v>16418</v>
      </c>
      <c r="F7421" s="3" t="s">
        <v>16417</v>
      </c>
    </row>
    <row r="7422">
      <c r="A7422" s="3">
        <v>1789.0</v>
      </c>
      <c r="B7422" s="3" t="s">
        <v>11280</v>
      </c>
      <c r="C7422" s="3" t="s">
        <v>11281</v>
      </c>
      <c r="D7422" s="3" t="s">
        <v>16419</v>
      </c>
      <c r="E7422" s="3" t="s">
        <v>16420</v>
      </c>
      <c r="F7422" s="3" t="s">
        <v>16419</v>
      </c>
    </row>
    <row r="7423">
      <c r="A7423" s="3">
        <v>1790.0</v>
      </c>
      <c r="B7423" s="3" t="s">
        <v>11280</v>
      </c>
      <c r="C7423" s="3" t="s">
        <v>11281</v>
      </c>
      <c r="D7423" s="3" t="s">
        <v>16421</v>
      </c>
      <c r="E7423" s="3" t="s">
        <v>16422</v>
      </c>
      <c r="F7423" s="3" t="s">
        <v>16423</v>
      </c>
    </row>
    <row r="7424">
      <c r="A7424" s="3">
        <v>1791.0</v>
      </c>
      <c r="B7424" s="3" t="s">
        <v>11280</v>
      </c>
      <c r="C7424" s="3" t="s">
        <v>11281</v>
      </c>
      <c r="D7424" s="3" t="s">
        <v>16424</v>
      </c>
      <c r="E7424" s="3" t="s">
        <v>16425</v>
      </c>
      <c r="F7424" s="3" t="s">
        <v>16426</v>
      </c>
    </row>
    <row r="7425">
      <c r="A7425" s="3">
        <v>1792.0</v>
      </c>
      <c r="B7425" s="3" t="s">
        <v>11280</v>
      </c>
      <c r="C7425" s="3" t="s">
        <v>11281</v>
      </c>
      <c r="D7425" s="3" t="s">
        <v>16427</v>
      </c>
      <c r="E7425" s="3" t="s">
        <v>16428</v>
      </c>
      <c r="F7425" s="3" t="s">
        <v>16429</v>
      </c>
    </row>
    <row r="7426">
      <c r="A7426" s="3">
        <v>1793.0</v>
      </c>
      <c r="B7426" s="3" t="s">
        <v>11280</v>
      </c>
      <c r="C7426" s="3" t="s">
        <v>11281</v>
      </c>
      <c r="D7426" s="3" t="s">
        <v>16430</v>
      </c>
      <c r="E7426" s="3" t="s">
        <v>16431</v>
      </c>
      <c r="F7426" s="3" t="s">
        <v>16432</v>
      </c>
    </row>
    <row r="7427">
      <c r="A7427" s="3">
        <v>1794.0</v>
      </c>
      <c r="B7427" s="3" t="s">
        <v>11280</v>
      </c>
      <c r="C7427" s="3" t="s">
        <v>11281</v>
      </c>
      <c r="D7427" s="3" t="s">
        <v>16433</v>
      </c>
      <c r="E7427" s="3" t="s">
        <v>16434</v>
      </c>
      <c r="F7427" s="3" t="s">
        <v>16435</v>
      </c>
    </row>
    <row r="7428">
      <c r="A7428" s="3">
        <v>1795.0</v>
      </c>
      <c r="B7428" s="3" t="s">
        <v>11280</v>
      </c>
      <c r="C7428" s="3" t="s">
        <v>11281</v>
      </c>
      <c r="D7428" s="3" t="s">
        <v>16436</v>
      </c>
      <c r="E7428" s="3" t="s">
        <v>16437</v>
      </c>
      <c r="F7428" s="3" t="s">
        <v>16438</v>
      </c>
    </row>
    <row r="7429">
      <c r="A7429" s="3">
        <v>1796.0</v>
      </c>
      <c r="B7429" s="3" t="s">
        <v>11280</v>
      </c>
      <c r="C7429" s="3" t="s">
        <v>11281</v>
      </c>
      <c r="D7429" s="3" t="s">
        <v>16439</v>
      </c>
      <c r="E7429" s="3" t="s">
        <v>16440</v>
      </c>
      <c r="F7429" s="3" t="s">
        <v>16441</v>
      </c>
    </row>
    <row r="7430">
      <c r="A7430" s="3">
        <v>1797.0</v>
      </c>
      <c r="B7430" s="3" t="s">
        <v>11280</v>
      </c>
      <c r="C7430" s="3" t="s">
        <v>11281</v>
      </c>
      <c r="D7430" s="3" t="s">
        <v>3519</v>
      </c>
      <c r="E7430" s="3" t="s">
        <v>3518</v>
      </c>
      <c r="F7430" s="3" t="s">
        <v>3519</v>
      </c>
    </row>
    <row r="7431">
      <c r="A7431" s="3">
        <v>1798.0</v>
      </c>
      <c r="B7431" s="3" t="s">
        <v>11280</v>
      </c>
      <c r="C7431" s="3" t="s">
        <v>11281</v>
      </c>
      <c r="D7431" s="3" t="s">
        <v>3539</v>
      </c>
      <c r="E7431" s="3" t="s">
        <v>3538</v>
      </c>
      <c r="F7431" s="3" t="s">
        <v>3539</v>
      </c>
      <c r="G7431" s="3"/>
      <c r="H7431" s="3" t="s">
        <v>3557</v>
      </c>
      <c r="I7431" s="3" t="s">
        <v>3558</v>
      </c>
      <c r="J7431" s="3" t="s">
        <v>3557</v>
      </c>
      <c r="K7431" s="3" t="s">
        <v>3562</v>
      </c>
      <c r="L7431" s="3" t="s">
        <v>16442</v>
      </c>
      <c r="M7431" s="3" t="s">
        <v>16443</v>
      </c>
      <c r="N7431" s="3" t="s">
        <v>16444</v>
      </c>
      <c r="O7431" s="3" t="s">
        <v>16445</v>
      </c>
      <c r="P7431" s="3" t="s">
        <v>3569</v>
      </c>
      <c r="Q7431" s="3" t="s">
        <v>3570</v>
      </c>
      <c r="R7431" s="3" t="s">
        <v>3557</v>
      </c>
      <c r="S7431" s="3" t="s">
        <v>3571</v>
      </c>
      <c r="T7431" s="3" t="s">
        <v>3572</v>
      </c>
      <c r="U7431" s="3" t="s">
        <v>3573</v>
      </c>
      <c r="V7431" s="3" t="s">
        <v>9207</v>
      </c>
      <c r="W7431" s="3" t="s">
        <v>16446</v>
      </c>
      <c r="X7431" s="3" t="s">
        <v>16447</v>
      </c>
      <c r="Y7431" s="3" t="s">
        <v>3557</v>
      </c>
      <c r="Z7431" s="3" t="s">
        <v>16448</v>
      </c>
      <c r="AA7431" s="3" t="s">
        <v>16449</v>
      </c>
      <c r="AB7431" s="3" t="s">
        <v>3569</v>
      </c>
      <c r="AC7431" s="3" t="s">
        <v>16450</v>
      </c>
      <c r="AD7431" s="3" t="s">
        <v>4331</v>
      </c>
    </row>
    <row r="7432">
      <c r="A7432" s="3">
        <v>1799.0</v>
      </c>
      <c r="B7432" s="3" t="s">
        <v>11280</v>
      </c>
      <c r="C7432" s="3" t="s">
        <v>11281</v>
      </c>
      <c r="D7432" s="3" t="s">
        <v>16451</v>
      </c>
      <c r="E7432" s="3" t="s">
        <v>16452</v>
      </c>
      <c r="F7432" s="3" t="s">
        <v>16451</v>
      </c>
    </row>
    <row r="7433">
      <c r="A7433" s="3">
        <v>1800.0</v>
      </c>
      <c r="B7433" s="3" t="s">
        <v>11280</v>
      </c>
      <c r="C7433" s="3" t="s">
        <v>11281</v>
      </c>
      <c r="D7433" s="3" t="s">
        <v>16453</v>
      </c>
      <c r="E7433" s="3" t="s">
        <v>16454</v>
      </c>
      <c r="F7433" s="3" t="s">
        <v>16453</v>
      </c>
    </row>
    <row r="7434">
      <c r="A7434" s="3">
        <v>1801.0</v>
      </c>
      <c r="B7434" s="3" t="s">
        <v>11280</v>
      </c>
      <c r="C7434" s="3" t="s">
        <v>11281</v>
      </c>
      <c r="D7434" s="3" t="s">
        <v>8766</v>
      </c>
      <c r="E7434" s="3" t="s">
        <v>8765</v>
      </c>
      <c r="F7434" s="3" t="s">
        <v>8766</v>
      </c>
    </row>
    <row r="7435">
      <c r="A7435" s="3">
        <v>1802.0</v>
      </c>
      <c r="B7435" s="3" t="s">
        <v>11280</v>
      </c>
      <c r="C7435" s="3" t="s">
        <v>11281</v>
      </c>
      <c r="D7435" s="3" t="s">
        <v>16455</v>
      </c>
      <c r="E7435" s="3" t="s">
        <v>16456</v>
      </c>
      <c r="F7435" s="3" t="s">
        <v>16455</v>
      </c>
    </row>
    <row r="7436">
      <c r="A7436" s="3">
        <v>1803.0</v>
      </c>
      <c r="B7436" s="3" t="s">
        <v>11280</v>
      </c>
      <c r="C7436" s="3" t="s">
        <v>11281</v>
      </c>
      <c r="D7436" s="3" t="s">
        <v>16457</v>
      </c>
      <c r="E7436" s="3" t="s">
        <v>16458</v>
      </c>
      <c r="F7436" s="3" t="s">
        <v>16457</v>
      </c>
    </row>
    <row r="7437">
      <c r="A7437" s="3">
        <v>1804.0</v>
      </c>
      <c r="B7437" s="3" t="s">
        <v>11280</v>
      </c>
      <c r="C7437" s="3" t="s">
        <v>11281</v>
      </c>
      <c r="D7437" s="3" t="s">
        <v>3548</v>
      </c>
      <c r="E7437" s="3" t="s">
        <v>3547</v>
      </c>
      <c r="F7437" s="3" t="s">
        <v>3548</v>
      </c>
    </row>
    <row r="7438">
      <c r="A7438" s="3">
        <v>1805.0</v>
      </c>
      <c r="B7438" s="3" t="s">
        <v>11280</v>
      </c>
      <c r="C7438" s="3" t="s">
        <v>11281</v>
      </c>
      <c r="D7438" s="3" t="s">
        <v>16459</v>
      </c>
      <c r="E7438" s="3" t="s">
        <v>16460</v>
      </c>
      <c r="F7438" s="3" t="s">
        <v>16459</v>
      </c>
    </row>
    <row r="7439">
      <c r="A7439" s="3">
        <v>1806.0</v>
      </c>
      <c r="B7439" s="3" t="s">
        <v>11280</v>
      </c>
      <c r="C7439" s="3" t="s">
        <v>11281</v>
      </c>
      <c r="D7439" s="3" t="s">
        <v>16461</v>
      </c>
      <c r="E7439" s="3" t="s">
        <v>16462</v>
      </c>
      <c r="F7439" s="3" t="s">
        <v>16461</v>
      </c>
    </row>
    <row r="7440">
      <c r="A7440" s="3">
        <v>1807.0</v>
      </c>
      <c r="B7440" s="3" t="s">
        <v>11280</v>
      </c>
      <c r="C7440" s="3" t="s">
        <v>11281</v>
      </c>
      <c r="D7440" s="3" t="s">
        <v>16463</v>
      </c>
      <c r="E7440" s="3" t="s">
        <v>16464</v>
      </c>
      <c r="F7440" s="3" t="s">
        <v>16463</v>
      </c>
    </row>
    <row r="7441">
      <c r="A7441" s="3">
        <v>1808.0</v>
      </c>
      <c r="B7441" s="3" t="s">
        <v>11280</v>
      </c>
      <c r="C7441" s="3" t="s">
        <v>11281</v>
      </c>
      <c r="D7441" s="3" t="s">
        <v>16465</v>
      </c>
      <c r="E7441" s="3" t="s">
        <v>16466</v>
      </c>
      <c r="F7441" s="3" t="s">
        <v>16465</v>
      </c>
    </row>
    <row r="7442">
      <c r="A7442" s="3">
        <v>1809.0</v>
      </c>
      <c r="B7442" s="3" t="s">
        <v>11280</v>
      </c>
      <c r="C7442" s="3" t="s">
        <v>11281</v>
      </c>
      <c r="D7442" s="3" t="s">
        <v>16467</v>
      </c>
      <c r="E7442" s="3" t="s">
        <v>16468</v>
      </c>
      <c r="F7442" s="3" t="s">
        <v>16467</v>
      </c>
    </row>
    <row r="7443">
      <c r="A7443" s="3">
        <v>1810.0</v>
      </c>
      <c r="B7443" s="3" t="s">
        <v>11280</v>
      </c>
      <c r="C7443" s="3" t="s">
        <v>11281</v>
      </c>
      <c r="D7443" s="3" t="s">
        <v>16469</v>
      </c>
      <c r="E7443" s="3" t="s">
        <v>16470</v>
      </c>
      <c r="F7443" s="3" t="s">
        <v>16469</v>
      </c>
    </row>
    <row r="7444">
      <c r="A7444" s="3">
        <v>1811.0</v>
      </c>
      <c r="B7444" s="3" t="s">
        <v>11280</v>
      </c>
      <c r="C7444" s="3" t="s">
        <v>11281</v>
      </c>
      <c r="D7444" s="3" t="s">
        <v>3610</v>
      </c>
      <c r="E7444" s="3" t="s">
        <v>3609</v>
      </c>
      <c r="F7444" s="3" t="s">
        <v>3610</v>
      </c>
      <c r="G7444" s="3"/>
      <c r="H7444" s="3" t="s">
        <v>3516</v>
      </c>
      <c r="I7444" s="3" t="s">
        <v>3512</v>
      </c>
    </row>
    <row r="7445">
      <c r="A7445" s="3">
        <v>1812.0</v>
      </c>
      <c r="B7445" s="3" t="s">
        <v>11280</v>
      </c>
      <c r="C7445" s="3" t="s">
        <v>11281</v>
      </c>
      <c r="D7445" s="3" t="s">
        <v>16471</v>
      </c>
      <c r="E7445" s="3" t="s">
        <v>16472</v>
      </c>
      <c r="F7445" s="3" t="s">
        <v>16473</v>
      </c>
    </row>
    <row r="7446">
      <c r="A7446" s="3">
        <v>1813.0</v>
      </c>
      <c r="B7446" s="3" t="s">
        <v>11280</v>
      </c>
      <c r="C7446" s="3" t="s">
        <v>11281</v>
      </c>
      <c r="D7446" s="3" t="s">
        <v>16474</v>
      </c>
      <c r="E7446" s="3" t="s">
        <v>16475</v>
      </c>
      <c r="F7446" s="3" t="s">
        <v>16476</v>
      </c>
    </row>
    <row r="7447">
      <c r="A7447" s="3">
        <v>1814.0</v>
      </c>
      <c r="B7447" s="3" t="s">
        <v>11280</v>
      </c>
      <c r="C7447" s="3" t="s">
        <v>11281</v>
      </c>
      <c r="D7447" s="3" t="s">
        <v>16477</v>
      </c>
      <c r="E7447" s="3" t="s">
        <v>16478</v>
      </c>
      <c r="F7447" s="3" t="s">
        <v>16477</v>
      </c>
    </row>
    <row r="7448">
      <c r="A7448" s="3">
        <v>1815.0</v>
      </c>
      <c r="B7448" s="3" t="s">
        <v>11280</v>
      </c>
      <c r="C7448" s="3" t="s">
        <v>11281</v>
      </c>
      <c r="D7448" s="3" t="s">
        <v>16479</v>
      </c>
      <c r="E7448" s="3" t="s">
        <v>16480</v>
      </c>
      <c r="F7448" s="3" t="s">
        <v>16479</v>
      </c>
      <c r="G7448" s="3"/>
      <c r="H7448" s="3" t="s">
        <v>16481</v>
      </c>
      <c r="I7448" s="3" t="s">
        <v>16482</v>
      </c>
      <c r="J7448" s="3" t="s">
        <v>16482</v>
      </c>
      <c r="K7448" s="3" t="s">
        <v>16482</v>
      </c>
      <c r="L7448" s="3" t="s">
        <v>16482</v>
      </c>
      <c r="M7448" s="3" t="s">
        <v>16483</v>
      </c>
      <c r="N7448" s="3" t="s">
        <v>16484</v>
      </c>
      <c r="O7448" s="3" t="s">
        <v>16482</v>
      </c>
    </row>
    <row r="7449">
      <c r="A7449" s="3">
        <v>1816.0</v>
      </c>
      <c r="B7449" s="3" t="s">
        <v>11280</v>
      </c>
      <c r="C7449" s="3" t="s">
        <v>11281</v>
      </c>
      <c r="D7449" s="3" t="s">
        <v>16485</v>
      </c>
      <c r="E7449" s="3" t="s">
        <v>16486</v>
      </c>
      <c r="F7449" s="3" t="s">
        <v>16485</v>
      </c>
    </row>
    <row r="7450">
      <c r="A7450" s="3">
        <v>1817.0</v>
      </c>
      <c r="B7450" s="3" t="s">
        <v>11280</v>
      </c>
      <c r="C7450" s="3" t="s">
        <v>11281</v>
      </c>
      <c r="D7450" s="3" t="s">
        <v>16487</v>
      </c>
      <c r="E7450" s="3" t="s">
        <v>16488</v>
      </c>
      <c r="F7450" s="3" t="s">
        <v>16487</v>
      </c>
    </row>
    <row r="7451">
      <c r="A7451" s="3">
        <v>1818.0</v>
      </c>
      <c r="B7451" s="3" t="s">
        <v>11280</v>
      </c>
      <c r="C7451" s="3" t="s">
        <v>11281</v>
      </c>
      <c r="D7451" s="3" t="s">
        <v>16489</v>
      </c>
      <c r="E7451" s="3" t="s">
        <v>16490</v>
      </c>
      <c r="F7451" s="3" t="s">
        <v>16489</v>
      </c>
    </row>
    <row r="7452">
      <c r="A7452" s="3">
        <v>1819.0</v>
      </c>
      <c r="B7452" s="3" t="s">
        <v>11280</v>
      </c>
      <c r="C7452" s="3" t="s">
        <v>11281</v>
      </c>
      <c r="D7452" s="3" t="s">
        <v>3624</v>
      </c>
      <c r="E7452" s="3" t="s">
        <v>3623</v>
      </c>
      <c r="F7452" s="3" t="s">
        <v>3624</v>
      </c>
    </row>
    <row r="7453">
      <c r="A7453" s="3">
        <v>1820.0</v>
      </c>
      <c r="B7453" s="3" t="s">
        <v>11280</v>
      </c>
      <c r="C7453" s="3" t="s">
        <v>11281</v>
      </c>
      <c r="D7453" s="3" t="s">
        <v>7340</v>
      </c>
      <c r="E7453" s="3" t="s">
        <v>7341</v>
      </c>
      <c r="F7453" s="3" t="s">
        <v>7340</v>
      </c>
    </row>
    <row r="7454">
      <c r="A7454" s="3">
        <v>1821.0</v>
      </c>
      <c r="B7454" s="3" t="s">
        <v>11280</v>
      </c>
      <c r="C7454" s="3" t="s">
        <v>11281</v>
      </c>
      <c r="D7454" s="3" t="s">
        <v>16491</v>
      </c>
      <c r="E7454" s="3" t="s">
        <v>7365</v>
      </c>
      <c r="F7454" s="3" t="s">
        <v>7363</v>
      </c>
      <c r="G7454" s="3"/>
      <c r="H7454" s="3" t="s">
        <v>16492</v>
      </c>
      <c r="I7454" s="3" t="s">
        <v>16493</v>
      </c>
      <c r="J7454" s="3" t="s">
        <v>16494</v>
      </c>
      <c r="K7454" s="3" t="s">
        <v>16495</v>
      </c>
      <c r="L7454" s="3" t="s">
        <v>16496</v>
      </c>
      <c r="M7454" s="3" t="s">
        <v>16497</v>
      </c>
      <c r="N7454" s="3" t="s">
        <v>16498</v>
      </c>
      <c r="O7454" s="3" t="s">
        <v>16499</v>
      </c>
      <c r="P7454" s="3" t="s">
        <v>16500</v>
      </c>
      <c r="Q7454" s="3" t="s">
        <v>16501</v>
      </c>
      <c r="R7454" s="3" t="s">
        <v>16502</v>
      </c>
      <c r="S7454" s="3" t="s">
        <v>10776</v>
      </c>
      <c r="T7454" s="3" t="s">
        <v>16503</v>
      </c>
      <c r="U7454" s="3" t="s">
        <v>16504</v>
      </c>
    </row>
    <row r="7455">
      <c r="A7455" s="3">
        <v>1822.0</v>
      </c>
      <c r="B7455" s="3" t="s">
        <v>11280</v>
      </c>
      <c r="C7455" s="3" t="s">
        <v>11281</v>
      </c>
      <c r="D7455" s="3" t="s">
        <v>16505</v>
      </c>
      <c r="E7455" s="3" t="s">
        <v>16506</v>
      </c>
      <c r="F7455" s="3" t="s">
        <v>16507</v>
      </c>
    </row>
    <row r="7456">
      <c r="A7456" s="3">
        <v>1823.0</v>
      </c>
      <c r="B7456" s="3" t="s">
        <v>11280</v>
      </c>
      <c r="C7456" s="3" t="s">
        <v>11281</v>
      </c>
      <c r="D7456" s="3" t="s">
        <v>16508</v>
      </c>
      <c r="E7456" s="3" t="s">
        <v>16509</v>
      </c>
      <c r="F7456" s="3" t="s">
        <v>16510</v>
      </c>
    </row>
    <row r="7457">
      <c r="A7457" s="3">
        <v>1824.0</v>
      </c>
      <c r="B7457" s="3" t="s">
        <v>11280</v>
      </c>
      <c r="C7457" s="3" t="s">
        <v>11281</v>
      </c>
      <c r="D7457" s="3" t="s">
        <v>16511</v>
      </c>
      <c r="E7457" s="3" t="s">
        <v>16512</v>
      </c>
      <c r="F7457" s="3" t="s">
        <v>16513</v>
      </c>
    </row>
    <row r="7458">
      <c r="A7458" s="3">
        <v>1825.0</v>
      </c>
      <c r="B7458" s="3" t="s">
        <v>11280</v>
      </c>
      <c r="C7458" s="3" t="s">
        <v>11281</v>
      </c>
      <c r="D7458" s="3" t="s">
        <v>16514</v>
      </c>
      <c r="E7458" s="3" t="s">
        <v>16515</v>
      </c>
      <c r="F7458" s="3" t="s">
        <v>16516</v>
      </c>
    </row>
    <row r="7459">
      <c r="A7459" s="3">
        <v>1826.0</v>
      </c>
      <c r="B7459" s="3" t="s">
        <v>11280</v>
      </c>
      <c r="C7459" s="3" t="s">
        <v>11281</v>
      </c>
      <c r="D7459" s="3" t="s">
        <v>16517</v>
      </c>
      <c r="E7459" s="3" t="s">
        <v>16518</v>
      </c>
      <c r="F7459" s="3" t="s">
        <v>16519</v>
      </c>
    </row>
    <row r="7460">
      <c r="A7460" s="3">
        <v>1827.0</v>
      </c>
      <c r="B7460" s="3" t="s">
        <v>11280</v>
      </c>
      <c r="C7460" s="3" t="s">
        <v>11281</v>
      </c>
      <c r="D7460" s="3" t="s">
        <v>16520</v>
      </c>
      <c r="E7460" s="3" t="s">
        <v>16521</v>
      </c>
      <c r="F7460" s="3" t="s">
        <v>16522</v>
      </c>
    </row>
    <row r="7461">
      <c r="A7461" s="3">
        <v>1828.0</v>
      </c>
      <c r="B7461" s="3" t="s">
        <v>11280</v>
      </c>
      <c r="C7461" s="3" t="s">
        <v>11281</v>
      </c>
      <c r="D7461" s="3" t="s">
        <v>16523</v>
      </c>
      <c r="E7461" s="3" t="s">
        <v>16524</v>
      </c>
      <c r="F7461" s="3" t="s">
        <v>16525</v>
      </c>
    </row>
    <row r="7462">
      <c r="A7462" s="3">
        <v>1829.0</v>
      </c>
      <c r="B7462" s="3" t="s">
        <v>11280</v>
      </c>
      <c r="C7462" s="3" t="s">
        <v>11281</v>
      </c>
      <c r="D7462" s="3" t="s">
        <v>16526</v>
      </c>
      <c r="E7462" s="3" t="s">
        <v>16527</v>
      </c>
      <c r="F7462" s="3" t="s">
        <v>16526</v>
      </c>
    </row>
    <row r="7463">
      <c r="A7463" s="3">
        <v>1830.0</v>
      </c>
      <c r="B7463" s="3" t="s">
        <v>11280</v>
      </c>
      <c r="C7463" s="3" t="s">
        <v>11281</v>
      </c>
      <c r="D7463" s="3" t="s">
        <v>16528</v>
      </c>
      <c r="E7463" s="3" t="s">
        <v>16529</v>
      </c>
      <c r="F7463" s="3" t="s">
        <v>16528</v>
      </c>
    </row>
    <row r="7464">
      <c r="A7464" s="3">
        <v>1831.0</v>
      </c>
      <c r="B7464" s="3" t="s">
        <v>11280</v>
      </c>
      <c r="C7464" s="3" t="s">
        <v>11281</v>
      </c>
      <c r="D7464" s="3" t="s">
        <v>16530</v>
      </c>
      <c r="E7464" s="3" t="s">
        <v>16531</v>
      </c>
      <c r="F7464" s="3" t="s">
        <v>16530</v>
      </c>
    </row>
    <row r="7465">
      <c r="A7465" s="3">
        <v>1832.0</v>
      </c>
      <c r="B7465" s="3" t="s">
        <v>11280</v>
      </c>
      <c r="C7465" s="3" t="s">
        <v>11281</v>
      </c>
      <c r="D7465" s="3" t="s">
        <v>16532</v>
      </c>
      <c r="E7465" s="3" t="s">
        <v>16533</v>
      </c>
      <c r="F7465" s="3" t="s">
        <v>16532</v>
      </c>
    </row>
    <row r="7466">
      <c r="A7466" s="3">
        <v>1833.0</v>
      </c>
      <c r="B7466" s="3" t="s">
        <v>11280</v>
      </c>
      <c r="C7466" s="3" t="s">
        <v>11281</v>
      </c>
      <c r="D7466" s="3" t="s">
        <v>16534</v>
      </c>
      <c r="E7466" s="3" t="s">
        <v>3538</v>
      </c>
      <c r="F7466" s="3" t="s">
        <v>3539</v>
      </c>
    </row>
    <row r="7467">
      <c r="A7467" s="3">
        <v>1834.0</v>
      </c>
      <c r="B7467" s="3" t="s">
        <v>11280</v>
      </c>
      <c r="C7467" s="3" t="s">
        <v>11281</v>
      </c>
      <c r="D7467" s="3" t="s">
        <v>16535</v>
      </c>
      <c r="E7467" s="3" t="s">
        <v>16452</v>
      </c>
      <c r="F7467" s="3" t="s">
        <v>16451</v>
      </c>
    </row>
    <row r="7468">
      <c r="A7468" s="3">
        <v>1835.0</v>
      </c>
      <c r="B7468" s="3" t="s">
        <v>11280</v>
      </c>
      <c r="C7468" s="3" t="s">
        <v>11281</v>
      </c>
      <c r="D7468" s="3" t="s">
        <v>16536</v>
      </c>
      <c r="E7468" s="3" t="s">
        <v>16454</v>
      </c>
      <c r="F7468" s="3" t="s">
        <v>16453</v>
      </c>
    </row>
    <row r="7469">
      <c r="A7469" s="3">
        <v>1836.0</v>
      </c>
      <c r="B7469" s="3" t="s">
        <v>11280</v>
      </c>
      <c r="C7469" s="3" t="s">
        <v>11281</v>
      </c>
      <c r="D7469" s="3" t="s">
        <v>16537</v>
      </c>
      <c r="E7469" s="3" t="s">
        <v>8765</v>
      </c>
      <c r="F7469" s="3" t="s">
        <v>8766</v>
      </c>
    </row>
    <row r="7470">
      <c r="A7470" s="3">
        <v>1837.0</v>
      </c>
      <c r="B7470" s="3" t="s">
        <v>11280</v>
      </c>
      <c r="C7470" s="3" t="s">
        <v>11281</v>
      </c>
      <c r="D7470" s="3" t="s">
        <v>16538</v>
      </c>
      <c r="E7470" s="3" t="s">
        <v>16456</v>
      </c>
      <c r="F7470" s="3" t="s">
        <v>16455</v>
      </c>
    </row>
    <row r="7471">
      <c r="A7471" s="3">
        <v>1838.0</v>
      </c>
      <c r="B7471" s="3" t="s">
        <v>11280</v>
      </c>
      <c r="C7471" s="3" t="s">
        <v>11281</v>
      </c>
      <c r="D7471" s="3" t="s">
        <v>16539</v>
      </c>
      <c r="E7471" s="3" t="s">
        <v>16458</v>
      </c>
      <c r="F7471" s="3" t="s">
        <v>16457</v>
      </c>
    </row>
    <row r="7472">
      <c r="A7472" s="3">
        <v>1839.0</v>
      </c>
      <c r="B7472" s="3" t="s">
        <v>11280</v>
      </c>
      <c r="C7472" s="3" t="s">
        <v>11281</v>
      </c>
      <c r="D7472" s="3" t="s">
        <v>16540</v>
      </c>
      <c r="E7472" s="3" t="s">
        <v>3547</v>
      </c>
      <c r="F7472" s="3" t="s">
        <v>3548</v>
      </c>
    </row>
    <row r="7473">
      <c r="A7473" s="3">
        <v>1840.0</v>
      </c>
      <c r="B7473" s="3" t="s">
        <v>11280</v>
      </c>
      <c r="C7473" s="3" t="s">
        <v>11281</v>
      </c>
      <c r="D7473" s="3" t="s">
        <v>149</v>
      </c>
      <c r="E7473" s="3" t="s">
        <v>150</v>
      </c>
      <c r="F7473" s="3" t="s">
        <v>149</v>
      </c>
    </row>
    <row r="7474">
      <c r="A7474" s="3">
        <v>1841.0</v>
      </c>
      <c r="B7474" s="3" t="s">
        <v>11280</v>
      </c>
      <c r="C7474" s="3" t="s">
        <v>11281</v>
      </c>
      <c r="D7474" s="3" t="s">
        <v>7372</v>
      </c>
      <c r="E7474" s="3" t="s">
        <v>7373</v>
      </c>
      <c r="F7474" s="3" t="s">
        <v>7374</v>
      </c>
      <c r="G7474" s="3"/>
      <c r="H7474" s="3" t="s">
        <v>7372</v>
      </c>
      <c r="I7474" s="3" t="s">
        <v>7375</v>
      </c>
    </row>
    <row r="7475">
      <c r="A7475" s="3">
        <v>1842.0</v>
      </c>
      <c r="B7475" s="3" t="s">
        <v>11280</v>
      </c>
      <c r="C7475" s="3" t="s">
        <v>11281</v>
      </c>
      <c r="D7475" s="3" t="s">
        <v>16541</v>
      </c>
      <c r="E7475" s="3" t="s">
        <v>16542</v>
      </c>
      <c r="F7475" s="3" t="s">
        <v>16543</v>
      </c>
    </row>
    <row r="7476">
      <c r="A7476" s="3">
        <v>1843.0</v>
      </c>
      <c r="B7476" s="3" t="s">
        <v>11280</v>
      </c>
      <c r="C7476" s="3" t="s">
        <v>11281</v>
      </c>
      <c r="D7476" s="3" t="s">
        <v>16544</v>
      </c>
      <c r="E7476" s="3" t="s">
        <v>16545</v>
      </c>
      <c r="F7476" s="3" t="s">
        <v>16546</v>
      </c>
    </row>
    <row r="7477">
      <c r="A7477" s="3">
        <v>1844.0</v>
      </c>
      <c r="B7477" s="3" t="s">
        <v>11280</v>
      </c>
      <c r="C7477" s="3" t="s">
        <v>11281</v>
      </c>
      <c r="D7477" s="3" t="s">
        <v>7376</v>
      </c>
      <c r="E7477" s="3" t="s">
        <v>16547</v>
      </c>
      <c r="F7477" s="3" t="s">
        <v>16548</v>
      </c>
    </row>
    <row r="7478">
      <c r="A7478" s="3">
        <v>1845.0</v>
      </c>
      <c r="B7478" s="3" t="s">
        <v>11280</v>
      </c>
      <c r="C7478" s="3" t="s">
        <v>11281</v>
      </c>
      <c r="D7478" s="3" t="s">
        <v>16549</v>
      </c>
      <c r="E7478" s="3" t="s">
        <v>16550</v>
      </c>
      <c r="F7478" s="3" t="s">
        <v>7374</v>
      </c>
    </row>
    <row r="7479">
      <c r="A7479" s="3">
        <v>1846.0</v>
      </c>
      <c r="B7479" s="3" t="s">
        <v>11280</v>
      </c>
      <c r="C7479" s="3" t="s">
        <v>11281</v>
      </c>
      <c r="D7479" s="3" t="s">
        <v>16551</v>
      </c>
      <c r="E7479" s="3" t="s">
        <v>16552</v>
      </c>
      <c r="F7479" s="3" t="s">
        <v>16553</v>
      </c>
    </row>
    <row r="7480">
      <c r="A7480" s="3">
        <v>1847.0</v>
      </c>
      <c r="B7480" s="3" t="s">
        <v>11280</v>
      </c>
      <c r="C7480" s="3" t="s">
        <v>11281</v>
      </c>
      <c r="D7480" s="3" t="s">
        <v>16554</v>
      </c>
      <c r="E7480" s="3" t="s">
        <v>16555</v>
      </c>
      <c r="F7480" s="3" t="s">
        <v>16556</v>
      </c>
    </row>
    <row r="7481">
      <c r="A7481" s="3">
        <v>1848.0</v>
      </c>
      <c r="B7481" s="3" t="s">
        <v>11280</v>
      </c>
      <c r="C7481" s="3" t="s">
        <v>11281</v>
      </c>
      <c r="D7481" s="3" t="s">
        <v>16557</v>
      </c>
      <c r="E7481" s="3" t="s">
        <v>16558</v>
      </c>
      <c r="F7481" s="3" t="s">
        <v>16559</v>
      </c>
    </row>
    <row r="7482">
      <c r="A7482" s="3">
        <v>1849.0</v>
      </c>
      <c r="B7482" s="3" t="s">
        <v>11280</v>
      </c>
      <c r="C7482" s="3" t="s">
        <v>11281</v>
      </c>
      <c r="D7482" s="3" t="s">
        <v>16560</v>
      </c>
      <c r="E7482" s="3" t="s">
        <v>16561</v>
      </c>
      <c r="F7482" s="3" t="s">
        <v>16562</v>
      </c>
    </row>
    <row r="7483">
      <c r="A7483" s="3">
        <v>1850.0</v>
      </c>
      <c r="B7483" s="3" t="s">
        <v>11280</v>
      </c>
      <c r="C7483" s="3" t="s">
        <v>11281</v>
      </c>
      <c r="D7483" s="3" t="s">
        <v>16563</v>
      </c>
      <c r="E7483" s="3" t="s">
        <v>16564</v>
      </c>
      <c r="F7483" s="3" t="s">
        <v>16565</v>
      </c>
    </row>
    <row r="7484">
      <c r="A7484" s="3">
        <v>1851.0</v>
      </c>
      <c r="B7484" s="3" t="s">
        <v>11280</v>
      </c>
      <c r="C7484" s="3" t="s">
        <v>11281</v>
      </c>
      <c r="D7484" s="3" t="s">
        <v>16566</v>
      </c>
      <c r="E7484" s="3" t="s">
        <v>16567</v>
      </c>
      <c r="F7484" s="3" t="s">
        <v>16568</v>
      </c>
    </row>
    <row r="7485">
      <c r="A7485" s="3">
        <v>1852.0</v>
      </c>
      <c r="B7485" s="3" t="s">
        <v>11280</v>
      </c>
      <c r="C7485" s="3" t="s">
        <v>11281</v>
      </c>
      <c r="D7485" s="3" t="s">
        <v>16569</v>
      </c>
      <c r="E7485" s="3" t="s">
        <v>16570</v>
      </c>
      <c r="F7485" s="3" t="s">
        <v>16571</v>
      </c>
    </row>
    <row r="7486">
      <c r="A7486" s="3">
        <v>1853.0</v>
      </c>
      <c r="B7486" s="3" t="s">
        <v>11280</v>
      </c>
      <c r="C7486" s="3" t="s">
        <v>11281</v>
      </c>
      <c r="D7486" s="3" t="s">
        <v>16572</v>
      </c>
      <c r="E7486" s="3" t="s">
        <v>16573</v>
      </c>
      <c r="F7486" s="3" t="s">
        <v>16548</v>
      </c>
    </row>
    <row r="7487">
      <c r="A7487" s="3">
        <v>1854.0</v>
      </c>
      <c r="B7487" s="3" t="s">
        <v>11280</v>
      </c>
      <c r="C7487" s="3" t="s">
        <v>11281</v>
      </c>
      <c r="D7487" s="3" t="s">
        <v>159</v>
      </c>
      <c r="E7487" s="3" t="s">
        <v>7378</v>
      </c>
      <c r="F7487" s="3" t="s">
        <v>159</v>
      </c>
      <c r="G7487" s="3"/>
      <c r="H7487" s="3" t="s">
        <v>159</v>
      </c>
      <c r="I7487" s="3" t="s">
        <v>3744</v>
      </c>
      <c r="J7487" s="3" t="s">
        <v>3745</v>
      </c>
      <c r="K7487" s="3">
        <v>1000.0</v>
      </c>
      <c r="L7487" s="3" t="s">
        <v>3131</v>
      </c>
      <c r="M7487" s="3" t="s">
        <v>3750</v>
      </c>
      <c r="N7487" s="3" t="s">
        <v>3751</v>
      </c>
      <c r="O7487" s="3" t="s">
        <v>3752</v>
      </c>
      <c r="P7487" s="3" t="s">
        <v>369</v>
      </c>
      <c r="Q7487" s="3" t="s">
        <v>3753</v>
      </c>
      <c r="R7487" s="3" t="s">
        <v>3754</v>
      </c>
    </row>
    <row r="7488">
      <c r="A7488" s="3">
        <v>1855.0</v>
      </c>
      <c r="B7488" s="3" t="s">
        <v>11280</v>
      </c>
      <c r="C7488" s="3" t="s">
        <v>11281</v>
      </c>
      <c r="D7488" s="3" t="s">
        <v>3731</v>
      </c>
      <c r="E7488" s="3" t="s">
        <v>7380</v>
      </c>
      <c r="F7488" s="3" t="s">
        <v>3731</v>
      </c>
    </row>
    <row r="7489">
      <c r="A7489" s="3">
        <v>1856.0</v>
      </c>
      <c r="B7489" s="3" t="s">
        <v>11280</v>
      </c>
      <c r="C7489" s="3" t="s">
        <v>11281</v>
      </c>
      <c r="D7489" s="3" t="s">
        <v>16574</v>
      </c>
      <c r="E7489" s="3" t="s">
        <v>16575</v>
      </c>
      <c r="F7489" s="3" t="s">
        <v>16574</v>
      </c>
    </row>
    <row r="7490">
      <c r="A7490" s="3">
        <v>1857.0</v>
      </c>
      <c r="B7490" s="3" t="s">
        <v>11280</v>
      </c>
      <c r="C7490" s="3" t="s">
        <v>11281</v>
      </c>
      <c r="D7490" s="3" t="s">
        <v>16576</v>
      </c>
      <c r="E7490" s="3" t="s">
        <v>16577</v>
      </c>
      <c r="F7490" s="3" t="s">
        <v>16576</v>
      </c>
      <c r="G7490" s="3"/>
      <c r="H7490" s="3" t="s">
        <v>16578</v>
      </c>
      <c r="I7490" s="3" t="s">
        <v>16578</v>
      </c>
      <c r="J7490" s="3" t="s">
        <v>16578</v>
      </c>
      <c r="K7490" s="3" t="s">
        <v>16579</v>
      </c>
      <c r="L7490" s="3" t="s">
        <v>16580</v>
      </c>
      <c r="M7490" s="3" t="s">
        <v>16581</v>
      </c>
      <c r="N7490" s="3" t="s">
        <v>3282</v>
      </c>
      <c r="O7490" s="3" t="s">
        <v>16582</v>
      </c>
    </row>
    <row r="7491">
      <c r="A7491" s="3">
        <v>1858.0</v>
      </c>
      <c r="B7491" s="3" t="s">
        <v>11280</v>
      </c>
      <c r="C7491" s="3" t="s">
        <v>11281</v>
      </c>
      <c r="D7491" s="3" t="s">
        <v>16583</v>
      </c>
      <c r="E7491" s="3" t="s">
        <v>16584</v>
      </c>
      <c r="F7491" s="3" t="s">
        <v>16583</v>
      </c>
    </row>
    <row r="7492">
      <c r="A7492" s="3">
        <v>1859.0</v>
      </c>
      <c r="B7492" s="3" t="s">
        <v>11280</v>
      </c>
      <c r="C7492" s="3" t="s">
        <v>11281</v>
      </c>
      <c r="D7492" s="3" t="s">
        <v>16585</v>
      </c>
      <c r="E7492" s="3" t="s">
        <v>16586</v>
      </c>
      <c r="F7492" s="3" t="s">
        <v>16585</v>
      </c>
    </row>
    <row r="7493">
      <c r="A7493" s="3">
        <v>1860.0</v>
      </c>
      <c r="B7493" s="3" t="s">
        <v>11280</v>
      </c>
      <c r="C7493" s="3" t="s">
        <v>11281</v>
      </c>
      <c r="D7493" s="3" t="s">
        <v>16587</v>
      </c>
      <c r="E7493" s="3" t="s">
        <v>16588</v>
      </c>
      <c r="F7493" s="3" t="s">
        <v>16587</v>
      </c>
    </row>
    <row r="7494">
      <c r="A7494" s="3">
        <v>1861.0</v>
      </c>
      <c r="B7494" s="3" t="s">
        <v>11280</v>
      </c>
      <c r="C7494" s="3" t="s">
        <v>11281</v>
      </c>
      <c r="D7494" s="3" t="s">
        <v>16589</v>
      </c>
      <c r="E7494" s="3" t="s">
        <v>16590</v>
      </c>
      <c r="F7494" s="3" t="s">
        <v>16591</v>
      </c>
    </row>
    <row r="7495">
      <c r="A7495" s="3">
        <v>1862.0</v>
      </c>
      <c r="B7495" s="3" t="s">
        <v>11280</v>
      </c>
      <c r="C7495" s="3" t="s">
        <v>11281</v>
      </c>
      <c r="D7495" s="3" t="s">
        <v>16592</v>
      </c>
      <c r="E7495" s="3" t="s">
        <v>16593</v>
      </c>
      <c r="F7495" s="3" t="s">
        <v>16594</v>
      </c>
    </row>
    <row r="7496">
      <c r="A7496" s="3">
        <v>1863.0</v>
      </c>
      <c r="B7496" s="3" t="s">
        <v>11280</v>
      </c>
      <c r="C7496" s="3" t="s">
        <v>11281</v>
      </c>
      <c r="D7496" s="3" t="s">
        <v>16595</v>
      </c>
      <c r="E7496" s="3" t="s">
        <v>16596</v>
      </c>
      <c r="F7496" s="3" t="s">
        <v>16597</v>
      </c>
    </row>
    <row r="7497">
      <c r="A7497" s="3">
        <v>1864.0</v>
      </c>
      <c r="B7497" s="3" t="s">
        <v>11280</v>
      </c>
      <c r="C7497" s="3" t="s">
        <v>11281</v>
      </c>
      <c r="D7497" s="3" t="s">
        <v>16598</v>
      </c>
      <c r="E7497" s="3" t="s">
        <v>16599</v>
      </c>
      <c r="F7497" s="3" t="s">
        <v>16600</v>
      </c>
    </row>
    <row r="7498">
      <c r="A7498" s="3">
        <v>1865.0</v>
      </c>
      <c r="B7498" s="3" t="s">
        <v>11280</v>
      </c>
      <c r="C7498" s="3" t="s">
        <v>11281</v>
      </c>
      <c r="D7498" s="3" t="s">
        <v>16601</v>
      </c>
      <c r="E7498" s="3" t="s">
        <v>16602</v>
      </c>
      <c r="F7498" s="3" t="s">
        <v>16603</v>
      </c>
    </row>
    <row r="7499">
      <c r="A7499" s="3">
        <v>1866.0</v>
      </c>
      <c r="B7499" s="3" t="s">
        <v>11280</v>
      </c>
      <c r="C7499" s="3" t="s">
        <v>11281</v>
      </c>
      <c r="D7499" s="3" t="s">
        <v>16604</v>
      </c>
      <c r="E7499" s="3" t="s">
        <v>16605</v>
      </c>
      <c r="F7499" s="3" t="s">
        <v>16606</v>
      </c>
    </row>
    <row r="7500">
      <c r="A7500" s="3">
        <v>1867.0</v>
      </c>
      <c r="B7500" s="3" t="s">
        <v>11280</v>
      </c>
      <c r="C7500" s="3" t="s">
        <v>11281</v>
      </c>
      <c r="D7500" s="3" t="s">
        <v>16607</v>
      </c>
      <c r="E7500" s="3" t="s">
        <v>16608</v>
      </c>
      <c r="F7500" s="3" t="s">
        <v>16609</v>
      </c>
    </row>
    <row r="7501">
      <c r="A7501" s="3">
        <v>1868.0</v>
      </c>
      <c r="B7501" s="3" t="s">
        <v>11280</v>
      </c>
      <c r="C7501" s="3" t="s">
        <v>11281</v>
      </c>
      <c r="D7501" s="3" t="s">
        <v>3740</v>
      </c>
      <c r="E7501" s="3" t="s">
        <v>7382</v>
      </c>
      <c r="F7501" s="3" t="s">
        <v>3740</v>
      </c>
    </row>
    <row r="7502">
      <c r="A7502" s="3">
        <v>1869.0</v>
      </c>
      <c r="B7502" s="3" t="s">
        <v>11280</v>
      </c>
      <c r="C7502" s="3" t="s">
        <v>11281</v>
      </c>
      <c r="D7502" s="3" t="s">
        <v>16610</v>
      </c>
      <c r="E7502" s="3" t="s">
        <v>16611</v>
      </c>
      <c r="F7502" s="3" t="s">
        <v>16610</v>
      </c>
    </row>
    <row r="7503">
      <c r="A7503" s="3">
        <v>1870.0</v>
      </c>
      <c r="B7503" s="3" t="s">
        <v>11280</v>
      </c>
      <c r="C7503" s="3" t="s">
        <v>11281</v>
      </c>
      <c r="D7503" s="3" t="s">
        <v>16612</v>
      </c>
      <c r="E7503" s="3" t="s">
        <v>16613</v>
      </c>
      <c r="F7503" s="3" t="s">
        <v>16614</v>
      </c>
    </row>
    <row r="7504">
      <c r="A7504" s="3">
        <v>1871.0</v>
      </c>
      <c r="B7504" s="3" t="s">
        <v>11280</v>
      </c>
      <c r="C7504" s="3" t="s">
        <v>11281</v>
      </c>
      <c r="D7504" s="3" t="s">
        <v>16615</v>
      </c>
      <c r="E7504" s="3" t="s">
        <v>16616</v>
      </c>
      <c r="F7504" s="3" t="s">
        <v>16617</v>
      </c>
    </row>
    <row r="7505">
      <c r="A7505" s="3">
        <v>1872.0</v>
      </c>
      <c r="B7505" s="3" t="s">
        <v>11280</v>
      </c>
      <c r="C7505" s="3" t="s">
        <v>11281</v>
      </c>
      <c r="D7505" s="3" t="s">
        <v>16618</v>
      </c>
      <c r="E7505" s="3" t="s">
        <v>16619</v>
      </c>
      <c r="F7505" s="3" t="s">
        <v>16618</v>
      </c>
      <c r="G7505" s="3"/>
      <c r="H7505" s="3" t="s">
        <v>3744</v>
      </c>
      <c r="I7505" s="3" t="s">
        <v>3745</v>
      </c>
      <c r="J7505" s="3">
        <v>1000.0</v>
      </c>
      <c r="K7505" s="3" t="s">
        <v>3131</v>
      </c>
      <c r="L7505" s="3" t="s">
        <v>3750</v>
      </c>
      <c r="M7505" s="3" t="s">
        <v>3751</v>
      </c>
      <c r="N7505" s="3" t="s">
        <v>3752</v>
      </c>
      <c r="O7505" s="3" t="s">
        <v>369</v>
      </c>
      <c r="P7505" s="3" t="s">
        <v>3753</v>
      </c>
      <c r="Q7505" s="3" t="s">
        <v>3754</v>
      </c>
    </row>
    <row r="7506">
      <c r="A7506" s="3">
        <v>1873.0</v>
      </c>
      <c r="B7506" s="3" t="s">
        <v>11280</v>
      </c>
      <c r="C7506" s="3" t="s">
        <v>11281</v>
      </c>
      <c r="D7506" s="3" t="s">
        <v>16620</v>
      </c>
      <c r="E7506" s="3" t="s">
        <v>16621</v>
      </c>
      <c r="F7506" s="3" t="s">
        <v>16620</v>
      </c>
      <c r="G7506" s="3"/>
      <c r="H7506" s="3" t="s">
        <v>16622</v>
      </c>
    </row>
    <row r="7507">
      <c r="A7507" s="3">
        <v>1874.0</v>
      </c>
      <c r="B7507" s="3" t="s">
        <v>11280</v>
      </c>
      <c r="C7507" s="3" t="s">
        <v>11281</v>
      </c>
      <c r="D7507" s="3" t="s">
        <v>3765</v>
      </c>
      <c r="E7507" s="3" t="s">
        <v>7384</v>
      </c>
      <c r="F7507" s="3" t="s">
        <v>3765</v>
      </c>
    </row>
    <row r="7508">
      <c r="A7508" s="3">
        <v>1875.0</v>
      </c>
      <c r="B7508" s="3" t="s">
        <v>11280</v>
      </c>
      <c r="C7508" s="3" t="s">
        <v>11281</v>
      </c>
      <c r="D7508" s="3" t="s">
        <v>16623</v>
      </c>
      <c r="E7508" s="3" t="s">
        <v>16624</v>
      </c>
      <c r="F7508" s="3" t="s">
        <v>16623</v>
      </c>
    </row>
    <row r="7509">
      <c r="A7509" s="3">
        <v>1876.0</v>
      </c>
      <c r="B7509" s="3" t="s">
        <v>11280</v>
      </c>
      <c r="C7509" s="3" t="s">
        <v>11281</v>
      </c>
      <c r="D7509" s="3" t="s">
        <v>16625</v>
      </c>
      <c r="E7509" s="3" t="s">
        <v>16626</v>
      </c>
      <c r="F7509" s="3" t="s">
        <v>16625</v>
      </c>
      <c r="G7509" s="3"/>
      <c r="H7509" s="3" t="s">
        <v>16627</v>
      </c>
      <c r="I7509" s="3" t="s">
        <v>16628</v>
      </c>
      <c r="J7509" s="3" t="s">
        <v>16629</v>
      </c>
      <c r="K7509" s="3" t="s">
        <v>3335</v>
      </c>
      <c r="L7509" s="3" t="s">
        <v>16630</v>
      </c>
    </row>
    <row r="7510">
      <c r="A7510" s="3">
        <v>1877.0</v>
      </c>
      <c r="B7510" s="3" t="s">
        <v>11280</v>
      </c>
      <c r="C7510" s="3" t="s">
        <v>11281</v>
      </c>
      <c r="D7510" s="3" t="s">
        <v>16631</v>
      </c>
      <c r="E7510" s="3" t="s">
        <v>16632</v>
      </c>
      <c r="F7510" s="3" t="s">
        <v>16631</v>
      </c>
    </row>
    <row r="7511">
      <c r="A7511" s="3">
        <v>1878.0</v>
      </c>
      <c r="B7511" s="3" t="s">
        <v>11280</v>
      </c>
      <c r="C7511" s="3" t="s">
        <v>11281</v>
      </c>
      <c r="D7511" s="3" t="s">
        <v>16633</v>
      </c>
      <c r="E7511" s="3" t="s">
        <v>16634</v>
      </c>
      <c r="F7511" s="3" t="s">
        <v>16633</v>
      </c>
    </row>
    <row r="7512">
      <c r="A7512" s="3">
        <v>1879.0</v>
      </c>
      <c r="B7512" s="3" t="s">
        <v>11280</v>
      </c>
      <c r="C7512" s="3" t="s">
        <v>11281</v>
      </c>
      <c r="D7512" s="3" t="s">
        <v>16635</v>
      </c>
      <c r="E7512" s="3" t="s">
        <v>16636</v>
      </c>
      <c r="F7512" s="3" t="s">
        <v>16635</v>
      </c>
    </row>
    <row r="7513">
      <c r="A7513" s="3">
        <v>1880.0</v>
      </c>
      <c r="B7513" s="3" t="s">
        <v>11280</v>
      </c>
      <c r="C7513" s="3" t="s">
        <v>11281</v>
      </c>
      <c r="D7513" s="3" t="s">
        <v>3774</v>
      </c>
      <c r="E7513" s="3" t="s">
        <v>7386</v>
      </c>
      <c r="F7513" s="3" t="s">
        <v>3774</v>
      </c>
    </row>
    <row r="7514">
      <c r="A7514" s="3">
        <v>1881.0</v>
      </c>
      <c r="B7514" s="3" t="s">
        <v>11280</v>
      </c>
      <c r="C7514" s="3" t="s">
        <v>11281</v>
      </c>
      <c r="D7514" s="3" t="s">
        <v>3799</v>
      </c>
      <c r="E7514" s="3" t="s">
        <v>7391</v>
      </c>
      <c r="F7514" s="3" t="s">
        <v>3799</v>
      </c>
      <c r="G7514" s="3"/>
      <c r="H7514" s="3" t="s">
        <v>2681</v>
      </c>
      <c r="I7514" s="3" t="s">
        <v>16637</v>
      </c>
      <c r="J7514" s="3" t="s">
        <v>3811</v>
      </c>
      <c r="K7514" s="3" t="s">
        <v>3811</v>
      </c>
      <c r="L7514" s="3" t="s">
        <v>16638</v>
      </c>
    </row>
    <row r="7515">
      <c r="A7515" s="3">
        <v>1882.0</v>
      </c>
      <c r="B7515" s="3" t="s">
        <v>11280</v>
      </c>
      <c r="C7515" s="3" t="s">
        <v>11281</v>
      </c>
      <c r="D7515" s="3" t="s">
        <v>16639</v>
      </c>
      <c r="E7515" s="3" t="s">
        <v>16640</v>
      </c>
      <c r="F7515" s="3" t="s">
        <v>16639</v>
      </c>
    </row>
    <row r="7516">
      <c r="A7516" s="3">
        <v>1883.0</v>
      </c>
      <c r="B7516" s="3" t="s">
        <v>11280</v>
      </c>
      <c r="C7516" s="3" t="s">
        <v>11281</v>
      </c>
      <c r="D7516" s="3" t="s">
        <v>16641</v>
      </c>
      <c r="E7516" s="3" t="s">
        <v>16642</v>
      </c>
      <c r="F7516" s="3" t="s">
        <v>16641</v>
      </c>
    </row>
    <row r="7517">
      <c r="A7517" s="3">
        <v>1884.0</v>
      </c>
      <c r="B7517" s="3" t="s">
        <v>11280</v>
      </c>
      <c r="C7517" s="3" t="s">
        <v>11281</v>
      </c>
      <c r="D7517" s="3" t="s">
        <v>16643</v>
      </c>
      <c r="E7517" s="3" t="s">
        <v>16644</v>
      </c>
      <c r="F7517" s="3" t="s">
        <v>16643</v>
      </c>
      <c r="G7517" s="3"/>
      <c r="H7517" s="3" t="s">
        <v>3811</v>
      </c>
      <c r="I7517" s="3" t="s">
        <v>16645</v>
      </c>
      <c r="J7517" s="3" t="s">
        <v>16646</v>
      </c>
    </row>
    <row r="7518">
      <c r="A7518" s="3">
        <v>1885.0</v>
      </c>
      <c r="B7518" s="3" t="s">
        <v>11280</v>
      </c>
      <c r="C7518" s="3" t="s">
        <v>11281</v>
      </c>
      <c r="D7518" s="3" t="s">
        <v>16647</v>
      </c>
      <c r="E7518" s="3" t="s">
        <v>16648</v>
      </c>
      <c r="F7518" s="3" t="s">
        <v>16647</v>
      </c>
    </row>
    <row r="7519">
      <c r="A7519" s="3">
        <v>1886.0</v>
      </c>
      <c r="B7519" s="3" t="s">
        <v>11280</v>
      </c>
      <c r="C7519" s="3" t="s">
        <v>11281</v>
      </c>
      <c r="D7519" s="3" t="s">
        <v>16649</v>
      </c>
      <c r="E7519" s="3" t="s">
        <v>16650</v>
      </c>
      <c r="F7519" s="3" t="s">
        <v>16649</v>
      </c>
    </row>
    <row r="7520">
      <c r="A7520" s="3">
        <v>1887.0</v>
      </c>
      <c r="B7520" s="3" t="s">
        <v>11280</v>
      </c>
      <c r="C7520" s="3" t="s">
        <v>11281</v>
      </c>
      <c r="D7520" s="3" t="s">
        <v>16651</v>
      </c>
      <c r="E7520" s="3" t="s">
        <v>16652</v>
      </c>
      <c r="F7520" s="3" t="s">
        <v>16651</v>
      </c>
    </row>
    <row r="7521">
      <c r="A7521" s="3">
        <v>1888.0</v>
      </c>
      <c r="B7521" s="3" t="s">
        <v>11280</v>
      </c>
      <c r="C7521" s="3" t="s">
        <v>11281</v>
      </c>
      <c r="D7521" s="3" t="s">
        <v>3808</v>
      </c>
      <c r="E7521" s="3" t="s">
        <v>7393</v>
      </c>
      <c r="F7521" s="3" t="s">
        <v>3808</v>
      </c>
    </row>
    <row r="7522">
      <c r="A7522" s="3">
        <v>1889.0</v>
      </c>
      <c r="B7522" s="3" t="s">
        <v>11280</v>
      </c>
      <c r="C7522" s="3" t="s">
        <v>11281</v>
      </c>
      <c r="D7522" s="3" t="s">
        <v>16653</v>
      </c>
      <c r="E7522" s="3" t="s">
        <v>16654</v>
      </c>
      <c r="F7522" s="3" t="s">
        <v>16655</v>
      </c>
    </row>
    <row r="7523">
      <c r="A7523" s="3">
        <v>1890.0</v>
      </c>
      <c r="B7523" s="3" t="s">
        <v>11280</v>
      </c>
      <c r="C7523" s="3" t="s">
        <v>11281</v>
      </c>
      <c r="D7523" s="3" t="s">
        <v>16656</v>
      </c>
      <c r="E7523" s="3" t="s">
        <v>16657</v>
      </c>
      <c r="F7523" s="3" t="s">
        <v>16658</v>
      </c>
    </row>
    <row r="7524">
      <c r="A7524" s="3">
        <v>1891.0</v>
      </c>
      <c r="B7524" s="3" t="s">
        <v>11280</v>
      </c>
      <c r="C7524" s="3" t="s">
        <v>11281</v>
      </c>
      <c r="D7524" s="3" t="s">
        <v>16659</v>
      </c>
      <c r="E7524" s="3" t="s">
        <v>16660</v>
      </c>
      <c r="F7524" s="3" t="s">
        <v>16661</v>
      </c>
    </row>
    <row r="7525">
      <c r="A7525" s="3">
        <v>1892.0</v>
      </c>
      <c r="B7525" s="3" t="s">
        <v>11280</v>
      </c>
      <c r="C7525" s="3" t="s">
        <v>11281</v>
      </c>
      <c r="D7525" s="3" t="s">
        <v>16662</v>
      </c>
      <c r="E7525" s="3" t="s">
        <v>16663</v>
      </c>
      <c r="F7525" s="3" t="s">
        <v>16664</v>
      </c>
    </row>
    <row r="7526">
      <c r="A7526" s="3">
        <v>1893.0</v>
      </c>
      <c r="B7526" s="3" t="s">
        <v>11280</v>
      </c>
      <c r="C7526" s="3" t="s">
        <v>11281</v>
      </c>
      <c r="D7526" s="3" t="s">
        <v>16665</v>
      </c>
      <c r="E7526" s="3" t="s">
        <v>16666</v>
      </c>
      <c r="F7526" s="3" t="s">
        <v>16667</v>
      </c>
    </row>
    <row r="7527">
      <c r="A7527" s="3">
        <v>1894.0</v>
      </c>
      <c r="B7527" s="3" t="s">
        <v>11280</v>
      </c>
      <c r="C7527" s="3" t="s">
        <v>11281</v>
      </c>
      <c r="D7527" s="3" t="s">
        <v>16668</v>
      </c>
      <c r="E7527" s="3" t="s">
        <v>16669</v>
      </c>
      <c r="F7527" s="3" t="s">
        <v>16670</v>
      </c>
    </row>
    <row r="7528">
      <c r="A7528" s="3">
        <v>1895.0</v>
      </c>
      <c r="B7528" s="3" t="s">
        <v>11280</v>
      </c>
      <c r="C7528" s="3" t="s">
        <v>11281</v>
      </c>
      <c r="D7528" s="3" t="s">
        <v>16671</v>
      </c>
      <c r="E7528" s="3" t="s">
        <v>16672</v>
      </c>
      <c r="F7528" s="3" t="s">
        <v>16673</v>
      </c>
    </row>
    <row r="7529">
      <c r="A7529" s="3">
        <v>1896.0</v>
      </c>
      <c r="B7529" s="3" t="s">
        <v>11280</v>
      </c>
      <c r="C7529" s="3" t="s">
        <v>11281</v>
      </c>
      <c r="D7529" s="3" t="s">
        <v>16674</v>
      </c>
      <c r="E7529" s="3" t="s">
        <v>16675</v>
      </c>
      <c r="F7529" s="3" t="s">
        <v>16674</v>
      </c>
    </row>
    <row r="7530">
      <c r="A7530" s="3">
        <v>1897.0</v>
      </c>
      <c r="B7530" s="3" t="s">
        <v>11280</v>
      </c>
      <c r="C7530" s="3" t="s">
        <v>11281</v>
      </c>
      <c r="D7530" s="3" t="s">
        <v>16676</v>
      </c>
      <c r="E7530" s="3" t="s">
        <v>16677</v>
      </c>
      <c r="F7530" s="3" t="s">
        <v>16676</v>
      </c>
    </row>
    <row r="7531">
      <c r="A7531" s="3">
        <v>1898.0</v>
      </c>
      <c r="B7531" s="3" t="s">
        <v>11280</v>
      </c>
      <c r="C7531" s="3" t="s">
        <v>11281</v>
      </c>
      <c r="D7531" s="3" t="s">
        <v>16678</v>
      </c>
      <c r="E7531" s="3" t="s">
        <v>16679</v>
      </c>
      <c r="F7531" s="3" t="s">
        <v>16678</v>
      </c>
    </row>
    <row r="7532">
      <c r="A7532" s="3">
        <v>1899.0</v>
      </c>
      <c r="B7532" s="3" t="s">
        <v>11280</v>
      </c>
      <c r="C7532" s="3" t="s">
        <v>11281</v>
      </c>
      <c r="D7532" s="3" t="s">
        <v>16680</v>
      </c>
      <c r="E7532" s="3" t="s">
        <v>16681</v>
      </c>
      <c r="F7532" s="3" t="s">
        <v>16680</v>
      </c>
    </row>
    <row r="7533">
      <c r="A7533" s="3">
        <v>1900.0</v>
      </c>
      <c r="B7533" s="3" t="s">
        <v>11280</v>
      </c>
      <c r="C7533" s="3" t="s">
        <v>11281</v>
      </c>
      <c r="D7533" s="3" t="s">
        <v>16682</v>
      </c>
      <c r="E7533" s="3" t="s">
        <v>16683</v>
      </c>
      <c r="F7533" s="3" t="s">
        <v>16682</v>
      </c>
    </row>
    <row r="7534">
      <c r="A7534" s="3">
        <v>1901.0</v>
      </c>
      <c r="B7534" s="3" t="s">
        <v>11280</v>
      </c>
      <c r="C7534" s="3" t="s">
        <v>11281</v>
      </c>
      <c r="D7534" s="3" t="s">
        <v>16684</v>
      </c>
      <c r="E7534" s="3" t="s">
        <v>16685</v>
      </c>
      <c r="F7534" s="3" t="s">
        <v>16684</v>
      </c>
    </row>
    <row r="7535">
      <c r="A7535" s="3">
        <v>1902.0</v>
      </c>
      <c r="B7535" s="3" t="s">
        <v>11280</v>
      </c>
      <c r="C7535" s="3" t="s">
        <v>11281</v>
      </c>
      <c r="D7535" s="3" t="s">
        <v>16686</v>
      </c>
      <c r="E7535" s="3" t="s">
        <v>16687</v>
      </c>
      <c r="F7535" s="3" t="s">
        <v>16686</v>
      </c>
    </row>
    <row r="7536">
      <c r="A7536" s="3">
        <v>1903.0</v>
      </c>
      <c r="B7536" s="3" t="s">
        <v>11280</v>
      </c>
      <c r="C7536" s="3" t="s">
        <v>11281</v>
      </c>
      <c r="D7536" s="3" t="s">
        <v>16688</v>
      </c>
      <c r="E7536" s="3" t="s">
        <v>16689</v>
      </c>
      <c r="F7536" s="3" t="s">
        <v>16688</v>
      </c>
    </row>
    <row r="7537">
      <c r="A7537" s="3">
        <v>1904.0</v>
      </c>
      <c r="B7537" s="3" t="s">
        <v>11280</v>
      </c>
      <c r="C7537" s="3" t="s">
        <v>11281</v>
      </c>
      <c r="D7537" s="3" t="s">
        <v>16690</v>
      </c>
      <c r="E7537" s="3" t="s">
        <v>16691</v>
      </c>
      <c r="F7537" s="3" t="s">
        <v>16690</v>
      </c>
      <c r="G7537" s="3"/>
      <c r="H7537" s="3" t="s">
        <v>16692</v>
      </c>
      <c r="I7537" s="3" t="s">
        <v>16693</v>
      </c>
      <c r="J7537" s="3" t="s">
        <v>16694</v>
      </c>
    </row>
    <row r="7538">
      <c r="A7538" s="3">
        <v>1905.0</v>
      </c>
      <c r="B7538" s="3" t="s">
        <v>11280</v>
      </c>
      <c r="C7538" s="3" t="s">
        <v>11281</v>
      </c>
      <c r="D7538" s="3" t="s">
        <v>16695</v>
      </c>
      <c r="E7538" s="3" t="s">
        <v>16696</v>
      </c>
      <c r="F7538" s="3" t="s">
        <v>16697</v>
      </c>
    </row>
    <row r="7539">
      <c r="A7539" s="3">
        <v>1906.0</v>
      </c>
      <c r="B7539" s="3" t="s">
        <v>11280</v>
      </c>
      <c r="C7539" s="3" t="s">
        <v>11281</v>
      </c>
      <c r="D7539" s="3" t="s">
        <v>16698</v>
      </c>
      <c r="E7539" s="3" t="s">
        <v>16699</v>
      </c>
      <c r="F7539" s="3" t="s">
        <v>16698</v>
      </c>
    </row>
    <row r="7540">
      <c r="A7540" s="3">
        <v>1907.0</v>
      </c>
      <c r="B7540" s="3" t="s">
        <v>11280</v>
      </c>
      <c r="C7540" s="3" t="s">
        <v>11281</v>
      </c>
      <c r="D7540" s="3" t="s">
        <v>16700</v>
      </c>
      <c r="E7540" s="3" t="s">
        <v>16701</v>
      </c>
      <c r="F7540" s="3" t="s">
        <v>16700</v>
      </c>
    </row>
    <row r="7541">
      <c r="A7541" s="3">
        <v>1908.0</v>
      </c>
      <c r="B7541" s="3" t="s">
        <v>11280</v>
      </c>
      <c r="C7541" s="3" t="s">
        <v>11281</v>
      </c>
      <c r="D7541" s="3" t="s">
        <v>16702</v>
      </c>
      <c r="E7541" s="3" t="s">
        <v>16703</v>
      </c>
      <c r="F7541" s="3" t="s">
        <v>16702</v>
      </c>
      <c r="G7541" s="3"/>
      <c r="H7541" s="3" t="s">
        <v>9633</v>
      </c>
      <c r="I7541" s="3" t="s">
        <v>16704</v>
      </c>
      <c r="J7541" s="3" t="s">
        <v>5748</v>
      </c>
      <c r="K7541" s="3" t="s">
        <v>16705</v>
      </c>
      <c r="L7541" s="3" t="s">
        <v>16706</v>
      </c>
      <c r="M7541" s="3" t="s">
        <v>3036</v>
      </c>
      <c r="N7541" s="3" t="s">
        <v>12310</v>
      </c>
      <c r="O7541" s="3" t="s">
        <v>16707</v>
      </c>
      <c r="P7541" s="3" t="s">
        <v>9633</v>
      </c>
      <c r="Q7541" s="3" t="s">
        <v>9633</v>
      </c>
      <c r="R7541" s="3" t="s">
        <v>1619</v>
      </c>
      <c r="S7541" s="3" t="s">
        <v>3036</v>
      </c>
      <c r="T7541" s="3" t="s">
        <v>6973</v>
      </c>
      <c r="U7541" s="3" t="s">
        <v>16708</v>
      </c>
    </row>
    <row r="7542">
      <c r="A7542" s="3">
        <v>1909.0</v>
      </c>
      <c r="B7542" s="3" t="s">
        <v>11280</v>
      </c>
      <c r="C7542" s="3" t="s">
        <v>11281</v>
      </c>
      <c r="D7542" s="3" t="s">
        <v>16709</v>
      </c>
      <c r="E7542" s="3" t="s">
        <v>16710</v>
      </c>
      <c r="F7542" s="3" t="s">
        <v>16709</v>
      </c>
    </row>
    <row r="7543">
      <c r="A7543" s="3">
        <v>1910.0</v>
      </c>
      <c r="B7543" s="3" t="s">
        <v>11280</v>
      </c>
      <c r="C7543" s="3" t="s">
        <v>11281</v>
      </c>
      <c r="D7543" s="3" t="s">
        <v>16711</v>
      </c>
      <c r="E7543" s="3" t="s">
        <v>16712</v>
      </c>
      <c r="F7543" s="3" t="s">
        <v>16711</v>
      </c>
    </row>
    <row r="7544">
      <c r="A7544" s="3">
        <v>1911.0</v>
      </c>
      <c r="B7544" s="3" t="s">
        <v>11280</v>
      </c>
      <c r="C7544" s="3" t="s">
        <v>11281</v>
      </c>
      <c r="D7544" s="3" t="s">
        <v>16713</v>
      </c>
      <c r="E7544" s="3" t="s">
        <v>16714</v>
      </c>
      <c r="F7544" s="3" t="s">
        <v>16713</v>
      </c>
    </row>
    <row r="7545">
      <c r="A7545" s="3">
        <v>1912.0</v>
      </c>
      <c r="B7545" s="3" t="s">
        <v>11280</v>
      </c>
      <c r="C7545" s="3" t="s">
        <v>11281</v>
      </c>
      <c r="D7545" s="3" t="s">
        <v>16715</v>
      </c>
      <c r="E7545" s="3" t="s">
        <v>16716</v>
      </c>
      <c r="F7545" s="3" t="s">
        <v>16715</v>
      </c>
    </row>
    <row r="7546">
      <c r="A7546" s="3">
        <v>1913.0</v>
      </c>
      <c r="B7546" s="3" t="s">
        <v>11280</v>
      </c>
      <c r="C7546" s="3" t="s">
        <v>11281</v>
      </c>
      <c r="D7546" s="3" t="s">
        <v>16717</v>
      </c>
      <c r="E7546" s="3" t="s">
        <v>16718</v>
      </c>
      <c r="F7546" s="3" t="s">
        <v>16717</v>
      </c>
      <c r="G7546" s="3"/>
      <c r="H7546" s="3" t="s">
        <v>16719</v>
      </c>
    </row>
    <row r="7547">
      <c r="A7547" s="3">
        <v>1914.0</v>
      </c>
      <c r="B7547" s="3" t="s">
        <v>11280</v>
      </c>
      <c r="C7547" s="3" t="s">
        <v>11281</v>
      </c>
      <c r="D7547" s="3" t="s">
        <v>16720</v>
      </c>
      <c r="E7547" s="3" t="s">
        <v>16721</v>
      </c>
      <c r="F7547" s="3" t="s">
        <v>16720</v>
      </c>
    </row>
    <row r="7548">
      <c r="A7548" s="3">
        <v>1915.0</v>
      </c>
      <c r="B7548" s="3" t="s">
        <v>11280</v>
      </c>
      <c r="C7548" s="3" t="s">
        <v>11281</v>
      </c>
      <c r="D7548" s="3" t="s">
        <v>3900</v>
      </c>
      <c r="E7548" s="3" t="s">
        <v>7400</v>
      </c>
      <c r="F7548" s="3" t="s">
        <v>3900</v>
      </c>
    </row>
    <row r="7549">
      <c r="A7549" s="3">
        <v>1916.0</v>
      </c>
      <c r="B7549" s="3" t="s">
        <v>11280</v>
      </c>
      <c r="C7549" s="3" t="s">
        <v>11281</v>
      </c>
      <c r="D7549" s="3" t="s">
        <v>8807</v>
      </c>
      <c r="E7549" s="3" t="s">
        <v>8806</v>
      </c>
      <c r="F7549" s="3" t="s">
        <v>8807</v>
      </c>
      <c r="G7549" s="3"/>
      <c r="H7549" s="3" t="s">
        <v>3694</v>
      </c>
      <c r="I7549" s="3" t="s">
        <v>3694</v>
      </c>
    </row>
    <row r="7550">
      <c r="A7550" s="3">
        <v>1917.0</v>
      </c>
      <c r="B7550" s="3" t="s">
        <v>11280</v>
      </c>
      <c r="C7550" s="3" t="s">
        <v>11281</v>
      </c>
      <c r="D7550" s="3" t="s">
        <v>3906</v>
      </c>
      <c r="E7550" s="3" t="s">
        <v>16722</v>
      </c>
      <c r="F7550" s="3" t="s">
        <v>3906</v>
      </c>
    </row>
    <row r="7551">
      <c r="A7551" s="3">
        <v>1918.0</v>
      </c>
      <c r="B7551" s="3" t="s">
        <v>11280</v>
      </c>
      <c r="C7551" s="3" t="s">
        <v>11281</v>
      </c>
      <c r="D7551" s="3" t="s">
        <v>4110</v>
      </c>
      <c r="E7551" s="3" t="s">
        <v>16723</v>
      </c>
      <c r="F7551" s="3" t="s">
        <v>4110</v>
      </c>
    </row>
    <row r="7552">
      <c r="A7552" s="3">
        <v>1919.0</v>
      </c>
      <c r="B7552" s="3" t="s">
        <v>11280</v>
      </c>
      <c r="C7552" s="3" t="s">
        <v>11281</v>
      </c>
      <c r="D7552" s="3" t="s">
        <v>16724</v>
      </c>
      <c r="E7552" s="3" t="s">
        <v>16725</v>
      </c>
      <c r="F7552" s="3" t="s">
        <v>16724</v>
      </c>
    </row>
    <row r="7553">
      <c r="A7553" s="3">
        <v>1920.0</v>
      </c>
      <c r="B7553" s="3" t="s">
        <v>11280</v>
      </c>
      <c r="C7553" s="3" t="s">
        <v>11281</v>
      </c>
      <c r="D7553" s="3" t="s">
        <v>16726</v>
      </c>
      <c r="E7553" s="3" t="s">
        <v>16727</v>
      </c>
      <c r="F7553" s="3" t="s">
        <v>16726</v>
      </c>
    </row>
    <row r="7554">
      <c r="A7554" s="3">
        <v>1921.0</v>
      </c>
      <c r="B7554" s="3" t="s">
        <v>11280</v>
      </c>
      <c r="C7554" s="3" t="s">
        <v>11281</v>
      </c>
      <c r="D7554" s="3" t="s">
        <v>16728</v>
      </c>
      <c r="E7554" s="3" t="s">
        <v>16729</v>
      </c>
      <c r="F7554" s="3" t="s">
        <v>16728</v>
      </c>
    </row>
    <row r="7555">
      <c r="A7555" s="3">
        <v>1922.0</v>
      </c>
      <c r="B7555" s="3" t="s">
        <v>11280</v>
      </c>
      <c r="C7555" s="3" t="s">
        <v>11281</v>
      </c>
      <c r="D7555" s="3" t="s">
        <v>16730</v>
      </c>
      <c r="E7555" s="3" t="s">
        <v>16731</v>
      </c>
      <c r="F7555" s="3" t="s">
        <v>16730</v>
      </c>
    </row>
    <row r="7556">
      <c r="A7556" s="3">
        <v>1923.0</v>
      </c>
      <c r="B7556" s="3" t="s">
        <v>11280</v>
      </c>
      <c r="C7556" s="3" t="s">
        <v>11281</v>
      </c>
      <c r="D7556" s="3" t="s">
        <v>16732</v>
      </c>
      <c r="E7556" s="3" t="s">
        <v>16733</v>
      </c>
      <c r="F7556" s="3" t="s">
        <v>16732</v>
      </c>
    </row>
    <row r="7557">
      <c r="A7557" s="3">
        <v>1924.0</v>
      </c>
      <c r="B7557" s="3" t="s">
        <v>11280</v>
      </c>
      <c r="C7557" s="3" t="s">
        <v>11281</v>
      </c>
      <c r="D7557" s="3" t="s">
        <v>3913</v>
      </c>
      <c r="E7557" s="3" t="s">
        <v>7401</v>
      </c>
      <c r="F7557" s="3" t="s">
        <v>3913</v>
      </c>
    </row>
    <row r="7558">
      <c r="A7558" s="3">
        <v>1925.0</v>
      </c>
      <c r="B7558" s="3" t="s">
        <v>11280</v>
      </c>
      <c r="C7558" s="3" t="s">
        <v>11281</v>
      </c>
      <c r="D7558" s="3" t="s">
        <v>3929</v>
      </c>
      <c r="E7558" s="3" t="s">
        <v>7403</v>
      </c>
      <c r="F7558" s="3" t="s">
        <v>3929</v>
      </c>
    </row>
    <row r="7559">
      <c r="A7559" s="3">
        <v>1926.0</v>
      </c>
      <c r="B7559" s="3" t="s">
        <v>11280</v>
      </c>
      <c r="C7559" s="3" t="s">
        <v>11281</v>
      </c>
      <c r="D7559" s="3" t="s">
        <v>3943</v>
      </c>
      <c r="E7559" s="3" t="s">
        <v>7405</v>
      </c>
      <c r="F7559" s="3" t="s">
        <v>3943</v>
      </c>
    </row>
    <row r="7560">
      <c r="A7560" s="3">
        <v>1927.0</v>
      </c>
      <c r="B7560" s="3" t="s">
        <v>11280</v>
      </c>
      <c r="C7560" s="3" t="s">
        <v>11281</v>
      </c>
      <c r="D7560" s="3" t="s">
        <v>16734</v>
      </c>
      <c r="E7560" s="3" t="s">
        <v>16735</v>
      </c>
      <c r="F7560" s="3" t="s">
        <v>16736</v>
      </c>
    </row>
    <row r="7561">
      <c r="A7561" s="3">
        <v>1928.0</v>
      </c>
      <c r="B7561" s="3" t="s">
        <v>11280</v>
      </c>
      <c r="C7561" s="3" t="s">
        <v>11281</v>
      </c>
      <c r="D7561" s="3" t="s">
        <v>16737</v>
      </c>
      <c r="E7561" s="3" t="s">
        <v>16738</v>
      </c>
      <c r="F7561" s="3" t="s">
        <v>16739</v>
      </c>
    </row>
    <row r="7562">
      <c r="A7562" s="3">
        <v>1929.0</v>
      </c>
      <c r="B7562" s="3" t="s">
        <v>11280</v>
      </c>
      <c r="C7562" s="3" t="s">
        <v>11281</v>
      </c>
      <c r="D7562" s="3" t="s">
        <v>16740</v>
      </c>
      <c r="E7562" s="3" t="s">
        <v>16741</v>
      </c>
      <c r="F7562" s="3" t="s">
        <v>16742</v>
      </c>
    </row>
    <row r="7563">
      <c r="A7563" s="3">
        <v>1930.0</v>
      </c>
      <c r="B7563" s="3" t="s">
        <v>11280</v>
      </c>
      <c r="C7563" s="3" t="s">
        <v>11281</v>
      </c>
      <c r="D7563" s="3" t="s">
        <v>16743</v>
      </c>
      <c r="E7563" s="3" t="s">
        <v>16744</v>
      </c>
      <c r="F7563" s="3" t="s">
        <v>16745</v>
      </c>
    </row>
    <row r="7564">
      <c r="A7564" s="3">
        <v>1931.0</v>
      </c>
      <c r="B7564" s="3" t="s">
        <v>11280</v>
      </c>
      <c r="C7564" s="3" t="s">
        <v>11281</v>
      </c>
      <c r="D7564" s="3" t="s">
        <v>16746</v>
      </c>
      <c r="E7564" s="3" t="s">
        <v>16747</v>
      </c>
      <c r="F7564" s="3" t="s">
        <v>16748</v>
      </c>
    </row>
    <row r="7565">
      <c r="A7565" s="3">
        <v>1932.0</v>
      </c>
      <c r="B7565" s="3" t="s">
        <v>11280</v>
      </c>
      <c r="C7565" s="3" t="s">
        <v>11281</v>
      </c>
      <c r="D7565" s="3" t="s">
        <v>16749</v>
      </c>
      <c r="E7565" s="3" t="s">
        <v>16750</v>
      </c>
      <c r="F7565" s="3" t="s">
        <v>16751</v>
      </c>
    </row>
    <row r="7566">
      <c r="A7566" s="3">
        <v>1933.0</v>
      </c>
      <c r="B7566" s="3" t="s">
        <v>11280</v>
      </c>
      <c r="C7566" s="3" t="s">
        <v>11281</v>
      </c>
      <c r="D7566" s="3" t="s">
        <v>16752</v>
      </c>
      <c r="E7566" s="3" t="s">
        <v>16753</v>
      </c>
      <c r="F7566" s="3" t="s">
        <v>16754</v>
      </c>
    </row>
    <row r="7567">
      <c r="A7567" s="3">
        <v>1934.0</v>
      </c>
      <c r="B7567" s="3" t="s">
        <v>11280</v>
      </c>
      <c r="C7567" s="3" t="s">
        <v>11281</v>
      </c>
      <c r="D7567" s="3" t="s">
        <v>16755</v>
      </c>
      <c r="E7567" s="3" t="s">
        <v>16756</v>
      </c>
      <c r="F7567" s="3" t="s">
        <v>16755</v>
      </c>
    </row>
    <row r="7568">
      <c r="A7568" s="3">
        <v>1935.0</v>
      </c>
      <c r="B7568" s="3" t="s">
        <v>11280</v>
      </c>
      <c r="C7568" s="3" t="s">
        <v>11281</v>
      </c>
      <c r="D7568" s="3" t="s">
        <v>16757</v>
      </c>
      <c r="E7568" s="3" t="s">
        <v>7400</v>
      </c>
      <c r="F7568" s="3" t="s">
        <v>3900</v>
      </c>
    </row>
    <row r="7569">
      <c r="A7569" s="3">
        <v>1936.0</v>
      </c>
      <c r="B7569" s="3" t="s">
        <v>11280</v>
      </c>
      <c r="C7569" s="3" t="s">
        <v>11281</v>
      </c>
      <c r="D7569" s="3" t="s">
        <v>16758</v>
      </c>
      <c r="E7569" s="3" t="s">
        <v>8806</v>
      </c>
      <c r="F7569" s="3" t="s">
        <v>8807</v>
      </c>
    </row>
    <row r="7570">
      <c r="A7570" s="3">
        <v>1937.0</v>
      </c>
      <c r="B7570" s="3" t="s">
        <v>11280</v>
      </c>
      <c r="C7570" s="3" t="s">
        <v>11281</v>
      </c>
      <c r="D7570" s="3" t="s">
        <v>16759</v>
      </c>
      <c r="E7570" s="3" t="s">
        <v>16733</v>
      </c>
      <c r="F7570" s="3" t="s">
        <v>16732</v>
      </c>
    </row>
    <row r="7571">
      <c r="A7571" s="3">
        <v>1938.0</v>
      </c>
      <c r="B7571" s="3" t="s">
        <v>11280</v>
      </c>
      <c r="C7571" s="3" t="s">
        <v>11281</v>
      </c>
      <c r="D7571" s="3" t="s">
        <v>16760</v>
      </c>
      <c r="E7571" s="3" t="s">
        <v>16761</v>
      </c>
      <c r="F7571" s="3" t="s">
        <v>16762</v>
      </c>
    </row>
    <row r="7572">
      <c r="A7572" s="3">
        <v>1939.0</v>
      </c>
      <c r="B7572" s="3" t="s">
        <v>11280</v>
      </c>
      <c r="C7572" s="3" t="s">
        <v>11281</v>
      </c>
      <c r="D7572" s="3" t="s">
        <v>16763</v>
      </c>
      <c r="E7572" s="3" t="s">
        <v>16764</v>
      </c>
      <c r="F7572" s="3" t="s">
        <v>16765</v>
      </c>
    </row>
    <row r="7573">
      <c r="A7573" s="3">
        <v>1940.0</v>
      </c>
      <c r="B7573" s="3" t="s">
        <v>11280</v>
      </c>
      <c r="C7573" s="3" t="s">
        <v>11281</v>
      </c>
      <c r="D7573" s="3" t="s">
        <v>16766</v>
      </c>
      <c r="E7573" s="3" t="s">
        <v>16767</v>
      </c>
      <c r="F7573" s="3" t="s">
        <v>16768</v>
      </c>
    </row>
    <row r="7574">
      <c r="A7574" s="3">
        <v>1941.0</v>
      </c>
      <c r="B7574" s="3" t="s">
        <v>11280</v>
      </c>
      <c r="C7574" s="3" t="s">
        <v>11281</v>
      </c>
      <c r="D7574" s="3" t="s">
        <v>16769</v>
      </c>
      <c r="E7574" s="3" t="s">
        <v>16770</v>
      </c>
      <c r="F7574" s="3" t="s">
        <v>16771</v>
      </c>
    </row>
    <row r="7575">
      <c r="A7575" s="3">
        <v>1942.0</v>
      </c>
      <c r="B7575" s="3" t="s">
        <v>11280</v>
      </c>
      <c r="C7575" s="3" t="s">
        <v>11281</v>
      </c>
      <c r="D7575" s="3" t="s">
        <v>16772</v>
      </c>
      <c r="E7575" s="3" t="s">
        <v>16773</v>
      </c>
      <c r="F7575" s="3" t="s">
        <v>16774</v>
      </c>
    </row>
    <row r="7576">
      <c r="A7576" s="3">
        <v>1943.0</v>
      </c>
      <c r="B7576" s="3" t="s">
        <v>11280</v>
      </c>
      <c r="C7576" s="3" t="s">
        <v>11281</v>
      </c>
      <c r="D7576" s="3" t="s">
        <v>16775</v>
      </c>
      <c r="E7576" s="3" t="s">
        <v>16776</v>
      </c>
      <c r="F7576" s="3" t="s">
        <v>16777</v>
      </c>
    </row>
    <row r="7577">
      <c r="A7577" s="3">
        <v>1944.0</v>
      </c>
      <c r="B7577" s="3" t="s">
        <v>11280</v>
      </c>
      <c r="C7577" s="3" t="s">
        <v>11281</v>
      </c>
      <c r="D7577" s="3" t="s">
        <v>16778</v>
      </c>
      <c r="E7577" s="3" t="s">
        <v>16779</v>
      </c>
      <c r="F7577" s="3" t="s">
        <v>16780</v>
      </c>
    </row>
    <row r="7578">
      <c r="A7578" s="3">
        <v>1945.0</v>
      </c>
      <c r="B7578" s="3" t="s">
        <v>11280</v>
      </c>
      <c r="C7578" s="3" t="s">
        <v>11281</v>
      </c>
      <c r="D7578" s="3" t="s">
        <v>16781</v>
      </c>
      <c r="E7578" s="3" t="s">
        <v>16782</v>
      </c>
      <c r="F7578" s="3" t="s">
        <v>16783</v>
      </c>
    </row>
    <row r="7579">
      <c r="A7579" s="3">
        <v>1946.0</v>
      </c>
      <c r="B7579" s="3" t="s">
        <v>11280</v>
      </c>
      <c r="C7579" s="3" t="s">
        <v>11281</v>
      </c>
      <c r="D7579" s="3" t="s">
        <v>16784</v>
      </c>
      <c r="E7579" s="3" t="s">
        <v>16785</v>
      </c>
      <c r="F7579" s="3" t="s">
        <v>16786</v>
      </c>
    </row>
    <row r="7580">
      <c r="A7580" s="3">
        <v>1947.0</v>
      </c>
      <c r="B7580" s="3" t="s">
        <v>11280</v>
      </c>
      <c r="C7580" s="3" t="s">
        <v>11281</v>
      </c>
      <c r="D7580" s="3" t="s">
        <v>16787</v>
      </c>
      <c r="E7580" s="3" t="s">
        <v>16788</v>
      </c>
      <c r="F7580" s="3" t="s">
        <v>16789</v>
      </c>
    </row>
    <row r="7581">
      <c r="A7581" s="3">
        <v>1948.0</v>
      </c>
      <c r="B7581" s="3" t="s">
        <v>11280</v>
      </c>
      <c r="C7581" s="3" t="s">
        <v>11281</v>
      </c>
      <c r="D7581" s="3" t="s">
        <v>16790</v>
      </c>
      <c r="E7581" s="3" t="s">
        <v>16791</v>
      </c>
      <c r="F7581" s="3" t="s">
        <v>16792</v>
      </c>
    </row>
    <row r="7582">
      <c r="A7582" s="3">
        <v>1949.0</v>
      </c>
      <c r="B7582" s="3" t="s">
        <v>11280</v>
      </c>
      <c r="C7582" s="3" t="s">
        <v>11281</v>
      </c>
      <c r="D7582" s="3" t="s">
        <v>16793</v>
      </c>
      <c r="E7582" s="3" t="s">
        <v>16794</v>
      </c>
      <c r="F7582" s="3" t="s">
        <v>16795</v>
      </c>
    </row>
    <row r="7583">
      <c r="A7583" s="3">
        <v>1950.0</v>
      </c>
      <c r="B7583" s="3" t="s">
        <v>11280</v>
      </c>
      <c r="C7583" s="3" t="s">
        <v>11281</v>
      </c>
      <c r="D7583" s="3" t="s">
        <v>4021</v>
      </c>
      <c r="E7583" s="3" t="s">
        <v>7422</v>
      </c>
      <c r="F7583" s="3" t="s">
        <v>4021</v>
      </c>
      <c r="G7583" s="3"/>
      <c r="H7583" s="3" t="s">
        <v>16796</v>
      </c>
      <c r="I7583" s="3" t="s">
        <v>16797</v>
      </c>
    </row>
    <row r="7584">
      <c r="A7584" s="3">
        <v>1951.0</v>
      </c>
      <c r="B7584" s="3" t="s">
        <v>11280</v>
      </c>
      <c r="C7584" s="3" t="s">
        <v>11281</v>
      </c>
      <c r="D7584" s="3" t="s">
        <v>16798</v>
      </c>
      <c r="E7584" s="3" t="s">
        <v>16799</v>
      </c>
      <c r="F7584" s="3" t="s">
        <v>16798</v>
      </c>
    </row>
    <row r="7585">
      <c r="A7585" s="3">
        <v>1952.0</v>
      </c>
      <c r="B7585" s="3" t="s">
        <v>11280</v>
      </c>
      <c r="C7585" s="3" t="s">
        <v>11281</v>
      </c>
      <c r="D7585" s="3" t="s">
        <v>4030</v>
      </c>
      <c r="E7585" s="3" t="s">
        <v>7425</v>
      </c>
      <c r="F7585" s="3" t="s">
        <v>4030</v>
      </c>
    </row>
    <row r="7586">
      <c r="A7586" s="3">
        <v>1953.0</v>
      </c>
      <c r="B7586" s="3" t="s">
        <v>11280</v>
      </c>
      <c r="C7586" s="3" t="s">
        <v>11281</v>
      </c>
      <c r="D7586" s="3" t="s">
        <v>16800</v>
      </c>
      <c r="E7586" s="3" t="s">
        <v>16801</v>
      </c>
      <c r="F7586" s="3" t="s">
        <v>16800</v>
      </c>
    </row>
    <row r="7587">
      <c r="A7587" s="3">
        <v>1954.0</v>
      </c>
      <c r="B7587" s="3" t="s">
        <v>11280</v>
      </c>
      <c r="C7587" s="3" t="s">
        <v>11281</v>
      </c>
      <c r="D7587" s="3" t="s">
        <v>16802</v>
      </c>
      <c r="E7587" s="3" t="s">
        <v>16803</v>
      </c>
      <c r="F7587" s="3" t="s">
        <v>16802</v>
      </c>
    </row>
    <row r="7588">
      <c r="A7588" s="3">
        <v>1955.0</v>
      </c>
      <c r="B7588" s="3" t="s">
        <v>11280</v>
      </c>
      <c r="C7588" s="3" t="s">
        <v>11281</v>
      </c>
      <c r="D7588" s="3" t="s">
        <v>16804</v>
      </c>
      <c r="E7588" s="3" t="s">
        <v>16805</v>
      </c>
      <c r="F7588" s="3" t="s">
        <v>16806</v>
      </c>
    </row>
    <row r="7589">
      <c r="A7589" s="3">
        <v>1956.0</v>
      </c>
      <c r="B7589" s="3" t="s">
        <v>11280</v>
      </c>
      <c r="C7589" s="3" t="s">
        <v>11281</v>
      </c>
      <c r="D7589" s="3" t="s">
        <v>16807</v>
      </c>
      <c r="E7589" s="3" t="s">
        <v>16808</v>
      </c>
      <c r="F7589" s="3" t="s">
        <v>16809</v>
      </c>
    </row>
    <row r="7590">
      <c r="A7590" s="3">
        <v>1957.0</v>
      </c>
      <c r="B7590" s="3" t="s">
        <v>11280</v>
      </c>
      <c r="C7590" s="3" t="s">
        <v>11281</v>
      </c>
      <c r="D7590" s="3" t="s">
        <v>16810</v>
      </c>
      <c r="E7590" s="3" t="s">
        <v>16811</v>
      </c>
      <c r="F7590" s="3" t="s">
        <v>16812</v>
      </c>
    </row>
    <row r="7591">
      <c r="A7591" s="3">
        <v>1958.0</v>
      </c>
      <c r="B7591" s="3" t="s">
        <v>11280</v>
      </c>
      <c r="C7591" s="3" t="s">
        <v>11281</v>
      </c>
      <c r="D7591" s="3" t="s">
        <v>16813</v>
      </c>
      <c r="E7591" s="3" t="s">
        <v>16814</v>
      </c>
      <c r="F7591" s="3" t="s">
        <v>16815</v>
      </c>
    </row>
    <row r="7592">
      <c r="A7592" s="3">
        <v>1959.0</v>
      </c>
      <c r="B7592" s="3" t="s">
        <v>11280</v>
      </c>
      <c r="C7592" s="3" t="s">
        <v>11281</v>
      </c>
      <c r="D7592" s="3" t="s">
        <v>16816</v>
      </c>
      <c r="E7592" s="3" t="s">
        <v>16817</v>
      </c>
      <c r="F7592" s="3" t="s">
        <v>16818</v>
      </c>
    </row>
    <row r="7593">
      <c r="A7593" s="3">
        <v>1960.0</v>
      </c>
      <c r="B7593" s="3" t="s">
        <v>11280</v>
      </c>
      <c r="C7593" s="3" t="s">
        <v>11281</v>
      </c>
      <c r="D7593" s="3" t="s">
        <v>16819</v>
      </c>
      <c r="E7593" s="3" t="s">
        <v>16820</v>
      </c>
      <c r="F7593" s="3" t="s">
        <v>16821</v>
      </c>
    </row>
    <row r="7594">
      <c r="A7594" s="3">
        <v>1961.0</v>
      </c>
      <c r="B7594" s="3" t="s">
        <v>11280</v>
      </c>
      <c r="C7594" s="3" t="s">
        <v>11281</v>
      </c>
      <c r="D7594" s="3" t="s">
        <v>16822</v>
      </c>
      <c r="E7594" s="3" t="s">
        <v>16823</v>
      </c>
      <c r="F7594" s="3" t="s">
        <v>16824</v>
      </c>
    </row>
    <row r="7595">
      <c r="A7595" s="3">
        <v>1962.0</v>
      </c>
      <c r="B7595" s="3" t="s">
        <v>11280</v>
      </c>
      <c r="C7595" s="3" t="s">
        <v>11281</v>
      </c>
      <c r="D7595" s="3" t="s">
        <v>16825</v>
      </c>
      <c r="E7595" s="3" t="s">
        <v>16826</v>
      </c>
      <c r="F7595" s="3" t="s">
        <v>16825</v>
      </c>
    </row>
    <row r="7596">
      <c r="A7596" s="3">
        <v>1963.0</v>
      </c>
      <c r="B7596" s="3" t="s">
        <v>11280</v>
      </c>
      <c r="C7596" s="3" t="s">
        <v>11281</v>
      </c>
      <c r="D7596" s="3" t="s">
        <v>16827</v>
      </c>
      <c r="E7596" s="3" t="s">
        <v>16828</v>
      </c>
      <c r="F7596" s="3" t="s">
        <v>16827</v>
      </c>
    </row>
    <row r="7597">
      <c r="A7597" s="3">
        <v>1964.0</v>
      </c>
      <c r="B7597" s="3" t="s">
        <v>11280</v>
      </c>
      <c r="C7597" s="3" t="s">
        <v>11281</v>
      </c>
      <c r="D7597" s="3" t="s">
        <v>16829</v>
      </c>
      <c r="E7597" s="3" t="s">
        <v>16830</v>
      </c>
      <c r="F7597" s="3" t="s">
        <v>16829</v>
      </c>
    </row>
    <row r="7598">
      <c r="A7598" s="3">
        <v>1965.0</v>
      </c>
      <c r="B7598" s="3" t="s">
        <v>11280</v>
      </c>
      <c r="C7598" s="3" t="s">
        <v>11281</v>
      </c>
      <c r="D7598" s="3" t="s">
        <v>16831</v>
      </c>
      <c r="E7598" s="3" t="s">
        <v>16832</v>
      </c>
      <c r="F7598" s="3" t="s">
        <v>16831</v>
      </c>
    </row>
    <row r="7599">
      <c r="A7599" s="3">
        <v>1966.0</v>
      </c>
      <c r="B7599" s="3" t="s">
        <v>11280</v>
      </c>
      <c r="C7599" s="3" t="s">
        <v>11281</v>
      </c>
      <c r="D7599" s="3" t="s">
        <v>16833</v>
      </c>
      <c r="E7599" s="3" t="s">
        <v>16834</v>
      </c>
      <c r="F7599" s="3" t="s">
        <v>16833</v>
      </c>
    </row>
    <row r="7600">
      <c r="A7600" s="3">
        <v>1967.0</v>
      </c>
      <c r="B7600" s="3" t="s">
        <v>11280</v>
      </c>
      <c r="C7600" s="3" t="s">
        <v>11281</v>
      </c>
      <c r="D7600" s="3" t="s">
        <v>16835</v>
      </c>
      <c r="E7600" s="3" t="s">
        <v>16836</v>
      </c>
      <c r="F7600" s="3" t="s">
        <v>16837</v>
      </c>
    </row>
    <row r="7601">
      <c r="A7601" s="3">
        <v>1968.0</v>
      </c>
      <c r="B7601" s="3" t="s">
        <v>11280</v>
      </c>
      <c r="C7601" s="3" t="s">
        <v>11281</v>
      </c>
      <c r="D7601" s="3" t="s">
        <v>16838</v>
      </c>
      <c r="E7601" s="3" t="s">
        <v>16839</v>
      </c>
      <c r="F7601" s="3" t="s">
        <v>16840</v>
      </c>
    </row>
    <row r="7602">
      <c r="A7602" s="3">
        <v>1969.0</v>
      </c>
      <c r="B7602" s="3" t="s">
        <v>11280</v>
      </c>
      <c r="C7602" s="3" t="s">
        <v>11281</v>
      </c>
      <c r="D7602" s="3" t="s">
        <v>16841</v>
      </c>
      <c r="E7602" s="3" t="s">
        <v>16842</v>
      </c>
      <c r="F7602" s="3" t="s">
        <v>16843</v>
      </c>
    </row>
    <row r="7603">
      <c r="A7603" s="3">
        <v>1970.0</v>
      </c>
      <c r="B7603" s="3" t="s">
        <v>11280</v>
      </c>
      <c r="C7603" s="3" t="s">
        <v>11281</v>
      </c>
      <c r="D7603" s="3" t="s">
        <v>16844</v>
      </c>
      <c r="E7603" s="3" t="s">
        <v>16845</v>
      </c>
      <c r="F7603" s="3" t="s">
        <v>16846</v>
      </c>
    </row>
    <row r="7604">
      <c r="A7604" s="3">
        <v>1971.0</v>
      </c>
      <c r="B7604" s="3" t="s">
        <v>11280</v>
      </c>
      <c r="C7604" s="3" t="s">
        <v>11281</v>
      </c>
      <c r="D7604" s="3" t="s">
        <v>16847</v>
      </c>
      <c r="E7604" s="3" t="s">
        <v>16848</v>
      </c>
      <c r="F7604" s="3" t="s">
        <v>16849</v>
      </c>
    </row>
    <row r="7605">
      <c r="A7605" s="3">
        <v>1972.0</v>
      </c>
      <c r="B7605" s="3" t="s">
        <v>11280</v>
      </c>
      <c r="C7605" s="3" t="s">
        <v>11281</v>
      </c>
      <c r="D7605" s="3" t="s">
        <v>16850</v>
      </c>
      <c r="E7605" s="3" t="s">
        <v>16851</v>
      </c>
      <c r="F7605" s="3" t="s">
        <v>16852</v>
      </c>
    </row>
    <row r="7606">
      <c r="A7606" s="3">
        <v>1973.0</v>
      </c>
      <c r="B7606" s="3" t="s">
        <v>11280</v>
      </c>
      <c r="C7606" s="3" t="s">
        <v>11281</v>
      </c>
      <c r="D7606" s="3" t="s">
        <v>16853</v>
      </c>
      <c r="E7606" s="3" t="s">
        <v>16854</v>
      </c>
      <c r="F7606" s="3" t="s">
        <v>16855</v>
      </c>
    </row>
    <row r="7607">
      <c r="A7607" s="3">
        <v>1974.0</v>
      </c>
      <c r="B7607" s="3" t="s">
        <v>11280</v>
      </c>
      <c r="C7607" s="3" t="s">
        <v>11281</v>
      </c>
      <c r="D7607" s="3" t="s">
        <v>16856</v>
      </c>
      <c r="E7607" s="3" t="s">
        <v>16857</v>
      </c>
      <c r="F7607" s="3" t="s">
        <v>16856</v>
      </c>
      <c r="G7607" s="3"/>
      <c r="H7607" s="3" t="s">
        <v>11725</v>
      </c>
      <c r="I7607" s="3" t="s">
        <v>11726</v>
      </c>
      <c r="J7607" s="3" t="s">
        <v>11727</v>
      </c>
    </row>
    <row r="7608">
      <c r="A7608" s="3">
        <v>1975.0</v>
      </c>
      <c r="B7608" s="3" t="s">
        <v>11280</v>
      </c>
      <c r="C7608" s="3" t="s">
        <v>11281</v>
      </c>
      <c r="D7608" s="3" t="s">
        <v>16858</v>
      </c>
      <c r="E7608" s="3" t="s">
        <v>16859</v>
      </c>
      <c r="F7608" s="3" t="s">
        <v>16860</v>
      </c>
      <c r="G7608" s="3"/>
      <c r="H7608" s="3" t="s">
        <v>16858</v>
      </c>
      <c r="I7608" s="3" t="s">
        <v>16858</v>
      </c>
    </row>
    <row r="7609">
      <c r="A7609" s="3">
        <v>1976.0</v>
      </c>
      <c r="B7609" s="3" t="s">
        <v>11280</v>
      </c>
      <c r="C7609" s="3" t="s">
        <v>11281</v>
      </c>
      <c r="D7609" s="3" t="s">
        <v>16861</v>
      </c>
      <c r="E7609" s="3" t="s">
        <v>16862</v>
      </c>
      <c r="F7609" s="3" t="s">
        <v>16863</v>
      </c>
    </row>
    <row r="7610">
      <c r="A7610" s="3">
        <v>1977.0</v>
      </c>
      <c r="B7610" s="3" t="s">
        <v>11280</v>
      </c>
      <c r="C7610" s="3" t="s">
        <v>11281</v>
      </c>
      <c r="D7610" s="3" t="s">
        <v>16864</v>
      </c>
      <c r="E7610" s="3" t="s">
        <v>16865</v>
      </c>
      <c r="F7610" s="3" t="s">
        <v>16866</v>
      </c>
    </row>
    <row r="7611">
      <c r="A7611" s="3">
        <v>1978.0</v>
      </c>
      <c r="B7611" s="3" t="s">
        <v>11280</v>
      </c>
      <c r="C7611" s="3" t="s">
        <v>11281</v>
      </c>
      <c r="D7611" s="3" t="s">
        <v>16867</v>
      </c>
      <c r="E7611" s="3" t="s">
        <v>16868</v>
      </c>
      <c r="F7611" s="3" t="s">
        <v>16869</v>
      </c>
    </row>
    <row r="7612">
      <c r="A7612" s="3">
        <v>1979.0</v>
      </c>
      <c r="B7612" s="3" t="s">
        <v>11280</v>
      </c>
      <c r="C7612" s="3" t="s">
        <v>11281</v>
      </c>
      <c r="D7612" s="3" t="s">
        <v>16870</v>
      </c>
      <c r="E7612" s="3" t="s">
        <v>16871</v>
      </c>
      <c r="F7612" s="3" t="s">
        <v>16872</v>
      </c>
    </row>
    <row r="7613">
      <c r="A7613" s="3">
        <v>1980.0</v>
      </c>
      <c r="B7613" s="3" t="s">
        <v>11280</v>
      </c>
      <c r="C7613" s="3" t="s">
        <v>11281</v>
      </c>
      <c r="D7613" s="3" t="s">
        <v>16873</v>
      </c>
      <c r="E7613" s="3" t="s">
        <v>16874</v>
      </c>
      <c r="F7613" s="3" t="s">
        <v>16875</v>
      </c>
    </row>
    <row r="7614">
      <c r="A7614" s="3">
        <v>1981.0</v>
      </c>
      <c r="B7614" s="3" t="s">
        <v>11280</v>
      </c>
      <c r="C7614" s="3" t="s">
        <v>11281</v>
      </c>
      <c r="D7614" s="3" t="s">
        <v>16876</v>
      </c>
      <c r="E7614" s="3" t="s">
        <v>16877</v>
      </c>
      <c r="F7614" s="3" t="s">
        <v>16878</v>
      </c>
    </row>
    <row r="7615">
      <c r="A7615" s="3">
        <v>1982.0</v>
      </c>
      <c r="B7615" s="3" t="s">
        <v>11280</v>
      </c>
      <c r="C7615" s="3" t="s">
        <v>11281</v>
      </c>
      <c r="D7615" s="3" t="s">
        <v>16879</v>
      </c>
      <c r="E7615" s="3" t="s">
        <v>16880</v>
      </c>
      <c r="F7615" s="3" t="s">
        <v>16881</v>
      </c>
    </row>
    <row r="7616">
      <c r="A7616" s="3">
        <v>1983.0</v>
      </c>
      <c r="B7616" s="3" t="s">
        <v>11280</v>
      </c>
      <c r="C7616" s="3" t="s">
        <v>11281</v>
      </c>
      <c r="D7616" s="3" t="s">
        <v>16882</v>
      </c>
      <c r="E7616" s="3" t="s">
        <v>16883</v>
      </c>
      <c r="F7616" s="3" t="s">
        <v>16882</v>
      </c>
    </row>
    <row r="7617">
      <c r="A7617" s="3">
        <v>1984.0</v>
      </c>
      <c r="B7617" s="3" t="s">
        <v>11280</v>
      </c>
      <c r="C7617" s="3" t="s">
        <v>11281</v>
      </c>
      <c r="D7617" s="3" t="s">
        <v>16884</v>
      </c>
      <c r="E7617" s="3" t="s">
        <v>16885</v>
      </c>
      <c r="F7617" s="3" t="s">
        <v>16884</v>
      </c>
    </row>
    <row r="7618">
      <c r="A7618" s="3">
        <v>1985.0</v>
      </c>
      <c r="B7618" s="3" t="s">
        <v>11280</v>
      </c>
      <c r="C7618" s="3" t="s">
        <v>11281</v>
      </c>
      <c r="D7618" s="3" t="s">
        <v>16886</v>
      </c>
      <c r="E7618" s="3" t="s">
        <v>16887</v>
      </c>
      <c r="F7618" s="3" t="s">
        <v>16886</v>
      </c>
      <c r="G7618" s="3"/>
      <c r="H7618" s="3" t="s">
        <v>16886</v>
      </c>
    </row>
    <row r="7619">
      <c r="A7619" s="3">
        <v>1986.0</v>
      </c>
      <c r="B7619" s="3" t="s">
        <v>11280</v>
      </c>
      <c r="C7619" s="3" t="s">
        <v>11281</v>
      </c>
      <c r="D7619" s="3" t="s">
        <v>16888</v>
      </c>
      <c r="E7619" s="3" t="s">
        <v>16889</v>
      </c>
      <c r="F7619" s="3" t="s">
        <v>16888</v>
      </c>
      <c r="G7619" s="3"/>
      <c r="H7619" s="3" t="s">
        <v>16890</v>
      </c>
      <c r="I7619" s="3" t="s">
        <v>419</v>
      </c>
      <c r="J7619" s="3" t="s">
        <v>9229</v>
      </c>
      <c r="K7619" s="3" t="s">
        <v>9229</v>
      </c>
    </row>
    <row r="7620">
      <c r="A7620" s="3">
        <v>1987.0</v>
      </c>
      <c r="B7620" s="3" t="s">
        <v>11280</v>
      </c>
      <c r="C7620" s="3" t="s">
        <v>11281</v>
      </c>
      <c r="D7620" s="3" t="s">
        <v>16891</v>
      </c>
      <c r="E7620" s="3" t="s">
        <v>16892</v>
      </c>
      <c r="F7620" s="3" t="s">
        <v>16891</v>
      </c>
    </row>
    <row r="7621">
      <c r="A7621" s="3">
        <v>1988.0</v>
      </c>
      <c r="B7621" s="3" t="s">
        <v>11280</v>
      </c>
      <c r="C7621" s="3" t="s">
        <v>11281</v>
      </c>
      <c r="D7621" s="3" t="s">
        <v>16893</v>
      </c>
      <c r="E7621" s="3" t="s">
        <v>16894</v>
      </c>
      <c r="F7621" s="3" t="s">
        <v>16893</v>
      </c>
    </row>
    <row r="7622">
      <c r="A7622" s="3">
        <v>1989.0</v>
      </c>
      <c r="B7622" s="3" t="s">
        <v>11280</v>
      </c>
      <c r="C7622" s="3" t="s">
        <v>11281</v>
      </c>
      <c r="D7622" s="3" t="s">
        <v>16895</v>
      </c>
      <c r="E7622" s="3" t="s">
        <v>16896</v>
      </c>
      <c r="F7622" s="3" t="s">
        <v>16895</v>
      </c>
    </row>
    <row r="7623">
      <c r="A7623" s="3">
        <v>1990.0</v>
      </c>
      <c r="B7623" s="3" t="s">
        <v>11280</v>
      </c>
      <c r="C7623" s="3" t="s">
        <v>11281</v>
      </c>
      <c r="D7623" s="3" t="s">
        <v>16897</v>
      </c>
      <c r="E7623" s="3" t="s">
        <v>16898</v>
      </c>
      <c r="F7623" s="3" t="s">
        <v>16897</v>
      </c>
    </row>
    <row r="7624">
      <c r="A7624" s="3">
        <v>1991.0</v>
      </c>
      <c r="B7624" s="3" t="s">
        <v>11280</v>
      </c>
      <c r="C7624" s="3" t="s">
        <v>11281</v>
      </c>
      <c r="D7624" s="3" t="s">
        <v>16899</v>
      </c>
      <c r="E7624" s="3" t="s">
        <v>16900</v>
      </c>
      <c r="F7624" s="3" t="s">
        <v>16899</v>
      </c>
    </row>
    <row r="7625">
      <c r="A7625" s="3">
        <v>1992.0</v>
      </c>
      <c r="B7625" s="3" t="s">
        <v>11280</v>
      </c>
      <c r="C7625" s="3" t="s">
        <v>11281</v>
      </c>
      <c r="D7625" s="3" t="s">
        <v>16901</v>
      </c>
      <c r="E7625" s="3" t="s">
        <v>16902</v>
      </c>
      <c r="F7625" s="3" t="s">
        <v>16901</v>
      </c>
    </row>
    <row r="7626">
      <c r="A7626" s="3">
        <v>1993.0</v>
      </c>
      <c r="B7626" s="3" t="s">
        <v>11280</v>
      </c>
      <c r="C7626" s="3" t="s">
        <v>11281</v>
      </c>
      <c r="D7626" s="3" t="s">
        <v>16903</v>
      </c>
      <c r="E7626" s="3" t="s">
        <v>16904</v>
      </c>
      <c r="F7626" s="3" t="s">
        <v>16903</v>
      </c>
    </row>
    <row r="7627">
      <c r="A7627" s="3">
        <v>1994.0</v>
      </c>
      <c r="B7627" s="3" t="s">
        <v>11280</v>
      </c>
      <c r="C7627" s="3" t="s">
        <v>11281</v>
      </c>
      <c r="D7627" s="3" t="s">
        <v>4086</v>
      </c>
      <c r="E7627" s="3" t="s">
        <v>7444</v>
      </c>
      <c r="F7627" s="3" t="s">
        <v>4086</v>
      </c>
      <c r="G7627" s="3"/>
      <c r="H7627" s="3" t="s">
        <v>16905</v>
      </c>
    </row>
    <row r="7628">
      <c r="A7628" s="3">
        <v>1995.0</v>
      </c>
      <c r="B7628" s="3" t="s">
        <v>11280</v>
      </c>
      <c r="C7628" s="3" t="s">
        <v>11281</v>
      </c>
      <c r="D7628" s="3" t="s">
        <v>4072</v>
      </c>
      <c r="E7628" s="3" t="s">
        <v>7436</v>
      </c>
      <c r="F7628" s="3" t="s">
        <v>4072</v>
      </c>
      <c r="G7628" s="3"/>
      <c r="H7628" s="3" t="s">
        <v>16906</v>
      </c>
      <c r="I7628" s="3" t="s">
        <v>16907</v>
      </c>
    </row>
    <row r="7629">
      <c r="A7629" s="3">
        <v>1996.0</v>
      </c>
      <c r="B7629" s="3" t="s">
        <v>11280</v>
      </c>
      <c r="C7629" s="3" t="s">
        <v>11281</v>
      </c>
      <c r="D7629" s="3" t="s">
        <v>16908</v>
      </c>
      <c r="E7629" s="3" t="s">
        <v>16909</v>
      </c>
      <c r="F7629" s="3" t="s">
        <v>16908</v>
      </c>
    </row>
    <row r="7630">
      <c r="A7630" s="3">
        <v>1997.0</v>
      </c>
      <c r="B7630" s="3" t="s">
        <v>11280</v>
      </c>
      <c r="C7630" s="3" t="s">
        <v>11281</v>
      </c>
      <c r="D7630" s="3" t="s">
        <v>16910</v>
      </c>
      <c r="E7630" s="3" t="s">
        <v>16911</v>
      </c>
      <c r="F7630" s="3" t="s">
        <v>16910</v>
      </c>
    </row>
    <row r="7631">
      <c r="A7631" s="3">
        <v>1998.0</v>
      </c>
      <c r="B7631" s="3" t="s">
        <v>11280</v>
      </c>
      <c r="C7631" s="3" t="s">
        <v>11281</v>
      </c>
      <c r="D7631" s="3" t="s">
        <v>16912</v>
      </c>
      <c r="E7631" s="3" t="s">
        <v>16913</v>
      </c>
      <c r="F7631" s="3" t="s">
        <v>16912</v>
      </c>
    </row>
    <row r="7632">
      <c r="A7632" s="3">
        <v>1999.0</v>
      </c>
      <c r="B7632" s="3" t="s">
        <v>11280</v>
      </c>
      <c r="C7632" s="3" t="s">
        <v>11281</v>
      </c>
      <c r="D7632" s="3" t="s">
        <v>4081</v>
      </c>
      <c r="E7632" s="3" t="s">
        <v>7442</v>
      </c>
      <c r="F7632" s="3" t="s">
        <v>4081</v>
      </c>
    </row>
    <row r="7633">
      <c r="A7633" s="3">
        <v>2000.0</v>
      </c>
      <c r="B7633" s="3" t="s">
        <v>11280</v>
      </c>
      <c r="C7633" s="3" t="s">
        <v>11281</v>
      </c>
      <c r="D7633" s="3" t="s">
        <v>16914</v>
      </c>
      <c r="E7633" s="3" t="s">
        <v>16915</v>
      </c>
      <c r="F7633" s="3" t="s">
        <v>16916</v>
      </c>
      <c r="G7633" s="3"/>
      <c r="H7633" s="3" t="s">
        <v>16914</v>
      </c>
      <c r="I7633" s="3" t="s">
        <v>16914</v>
      </c>
      <c r="J7633" s="3" t="s">
        <v>16917</v>
      </c>
    </row>
    <row r="7634">
      <c r="A7634" s="3">
        <v>2001.0</v>
      </c>
      <c r="B7634" s="3" t="s">
        <v>11280</v>
      </c>
      <c r="C7634" s="3" t="s">
        <v>11281</v>
      </c>
      <c r="D7634" s="3" t="s">
        <v>16918</v>
      </c>
      <c r="E7634" s="3" t="s">
        <v>16919</v>
      </c>
      <c r="F7634" s="3" t="s">
        <v>16918</v>
      </c>
    </row>
    <row r="7635">
      <c r="A7635" s="3">
        <v>2002.0</v>
      </c>
      <c r="B7635" s="3" t="s">
        <v>11280</v>
      </c>
      <c r="C7635" s="3" t="s">
        <v>11281</v>
      </c>
      <c r="D7635" s="3" t="s">
        <v>16920</v>
      </c>
      <c r="E7635" s="3" t="s">
        <v>16921</v>
      </c>
      <c r="F7635" s="3" t="s">
        <v>16920</v>
      </c>
    </row>
    <row r="7636">
      <c r="A7636" s="3">
        <v>2003.0</v>
      </c>
      <c r="B7636" s="3" t="s">
        <v>11280</v>
      </c>
      <c r="C7636" s="3" t="s">
        <v>11281</v>
      </c>
      <c r="D7636" s="3" t="s">
        <v>16922</v>
      </c>
      <c r="E7636" s="3" t="s">
        <v>16923</v>
      </c>
      <c r="F7636" s="3" t="s">
        <v>16922</v>
      </c>
    </row>
    <row r="7637">
      <c r="A7637" s="3">
        <v>2004.0</v>
      </c>
      <c r="B7637" s="3" t="s">
        <v>11280</v>
      </c>
      <c r="C7637" s="3" t="s">
        <v>11281</v>
      </c>
      <c r="D7637" s="3" t="s">
        <v>16924</v>
      </c>
      <c r="E7637" s="3" t="s">
        <v>16925</v>
      </c>
      <c r="F7637" s="3" t="s">
        <v>16924</v>
      </c>
      <c r="G7637" s="3"/>
      <c r="H7637" s="3" t="s">
        <v>16926</v>
      </c>
      <c r="I7637" s="3" t="s">
        <v>16927</v>
      </c>
      <c r="J7637" s="3" t="s">
        <v>16928</v>
      </c>
      <c r="K7637" s="3" t="s">
        <v>16929</v>
      </c>
    </row>
    <row r="7638">
      <c r="A7638" s="3">
        <v>2005.0</v>
      </c>
      <c r="B7638" s="3" t="s">
        <v>11280</v>
      </c>
      <c r="C7638" s="3" t="s">
        <v>11281</v>
      </c>
      <c r="D7638" s="3" t="s">
        <v>16930</v>
      </c>
      <c r="E7638" s="3" t="s">
        <v>16931</v>
      </c>
      <c r="F7638" s="3" t="s">
        <v>16930</v>
      </c>
    </row>
    <row r="7639">
      <c r="A7639" s="3">
        <v>2006.0</v>
      </c>
      <c r="B7639" s="3" t="s">
        <v>11280</v>
      </c>
      <c r="C7639" s="3" t="s">
        <v>11281</v>
      </c>
      <c r="D7639" s="3" t="s">
        <v>16932</v>
      </c>
      <c r="E7639" s="3" t="s">
        <v>16933</v>
      </c>
      <c r="F7639" s="3" t="s">
        <v>16932</v>
      </c>
    </row>
    <row r="7640">
      <c r="A7640" s="3">
        <v>2007.0</v>
      </c>
      <c r="B7640" s="3" t="s">
        <v>11280</v>
      </c>
      <c r="C7640" s="3" t="s">
        <v>11281</v>
      </c>
      <c r="D7640" s="3" t="s">
        <v>16934</v>
      </c>
      <c r="E7640" s="3" t="s">
        <v>16935</v>
      </c>
      <c r="F7640" s="3" t="s">
        <v>16934</v>
      </c>
    </row>
    <row r="7641">
      <c r="A7641" s="3">
        <v>2008.0</v>
      </c>
      <c r="B7641" s="3" t="s">
        <v>11280</v>
      </c>
      <c r="C7641" s="3" t="s">
        <v>11281</v>
      </c>
      <c r="D7641" s="3" t="s">
        <v>16936</v>
      </c>
      <c r="E7641" s="3" t="s">
        <v>16937</v>
      </c>
      <c r="F7641" s="3" t="s">
        <v>16936</v>
      </c>
    </row>
    <row r="7642">
      <c r="A7642" s="3">
        <v>2009.0</v>
      </c>
      <c r="B7642" s="3" t="s">
        <v>11280</v>
      </c>
      <c r="C7642" s="3" t="s">
        <v>11281</v>
      </c>
      <c r="D7642" s="3" t="s">
        <v>16938</v>
      </c>
      <c r="E7642" s="3" t="s">
        <v>16939</v>
      </c>
      <c r="F7642" s="3" t="s">
        <v>16938</v>
      </c>
    </row>
    <row r="7643">
      <c r="A7643" s="3">
        <v>2010.0</v>
      </c>
      <c r="B7643" s="3" t="s">
        <v>11280</v>
      </c>
      <c r="C7643" s="3" t="s">
        <v>11281</v>
      </c>
      <c r="D7643" s="3" t="s">
        <v>16940</v>
      </c>
      <c r="E7643" s="3" t="s">
        <v>16941</v>
      </c>
      <c r="F7643" s="3" t="s">
        <v>16940</v>
      </c>
    </row>
    <row r="7644">
      <c r="A7644" s="3">
        <v>2011.0</v>
      </c>
      <c r="B7644" s="3" t="s">
        <v>11280</v>
      </c>
      <c r="C7644" s="3" t="s">
        <v>11281</v>
      </c>
      <c r="D7644" s="3" t="s">
        <v>16942</v>
      </c>
      <c r="E7644" s="3" t="s">
        <v>16943</v>
      </c>
      <c r="F7644" s="3" t="s">
        <v>16942</v>
      </c>
    </row>
    <row r="7645">
      <c r="A7645" s="3">
        <v>2012.0</v>
      </c>
      <c r="B7645" s="3" t="s">
        <v>11280</v>
      </c>
      <c r="C7645" s="3" t="s">
        <v>11281</v>
      </c>
      <c r="D7645" s="3" t="s">
        <v>16944</v>
      </c>
      <c r="E7645" s="3" t="s">
        <v>16945</v>
      </c>
      <c r="F7645" s="3" t="s">
        <v>16944</v>
      </c>
    </row>
    <row r="7646">
      <c r="A7646" s="3">
        <v>2013.0</v>
      </c>
      <c r="B7646" s="3" t="s">
        <v>11280</v>
      </c>
      <c r="C7646" s="3" t="s">
        <v>11281</v>
      </c>
      <c r="D7646" s="3" t="s">
        <v>16946</v>
      </c>
      <c r="E7646" s="3" t="s">
        <v>16947</v>
      </c>
      <c r="F7646" s="3" t="s">
        <v>16946</v>
      </c>
    </row>
    <row r="7647">
      <c r="A7647" s="3">
        <v>2014.0</v>
      </c>
      <c r="B7647" s="3" t="s">
        <v>11280</v>
      </c>
      <c r="C7647" s="3" t="s">
        <v>11281</v>
      </c>
      <c r="D7647" s="3" t="s">
        <v>16948</v>
      </c>
      <c r="E7647" s="3" t="s">
        <v>16949</v>
      </c>
      <c r="F7647" s="3" t="s">
        <v>16948</v>
      </c>
    </row>
    <row r="7648">
      <c r="A7648" s="3">
        <v>2015.0</v>
      </c>
      <c r="B7648" s="3" t="s">
        <v>11280</v>
      </c>
      <c r="C7648" s="3" t="s">
        <v>11281</v>
      </c>
      <c r="D7648" s="3" t="s">
        <v>16950</v>
      </c>
      <c r="E7648" s="3" t="s">
        <v>16951</v>
      </c>
      <c r="F7648" s="3" t="s">
        <v>16950</v>
      </c>
    </row>
    <row r="7649">
      <c r="A7649" s="3">
        <v>2016.0</v>
      </c>
      <c r="B7649" s="3" t="s">
        <v>11280</v>
      </c>
      <c r="C7649" s="3" t="s">
        <v>11281</v>
      </c>
      <c r="D7649" s="3" t="s">
        <v>16952</v>
      </c>
      <c r="E7649" s="3" t="s">
        <v>16953</v>
      </c>
      <c r="F7649" s="3" t="s">
        <v>16952</v>
      </c>
    </row>
    <row r="7650">
      <c r="A7650" s="3">
        <v>2017.0</v>
      </c>
      <c r="B7650" s="3" t="s">
        <v>11280</v>
      </c>
      <c r="C7650" s="3" t="s">
        <v>11281</v>
      </c>
      <c r="D7650" s="3" t="s">
        <v>16954</v>
      </c>
      <c r="E7650" s="3" t="s">
        <v>16955</v>
      </c>
      <c r="F7650" s="3" t="s">
        <v>16954</v>
      </c>
    </row>
    <row r="7651">
      <c r="A7651" s="3">
        <v>2018.0</v>
      </c>
      <c r="B7651" s="3" t="s">
        <v>11280</v>
      </c>
      <c r="C7651" s="3" t="s">
        <v>11281</v>
      </c>
      <c r="D7651" s="3" t="s">
        <v>16956</v>
      </c>
      <c r="E7651" s="3" t="s">
        <v>16957</v>
      </c>
      <c r="F7651" s="3" t="s">
        <v>16956</v>
      </c>
    </row>
    <row r="7652">
      <c r="A7652" s="3">
        <v>2019.0</v>
      </c>
      <c r="B7652" s="3" t="s">
        <v>11280</v>
      </c>
      <c r="C7652" s="3" t="s">
        <v>11281</v>
      </c>
      <c r="D7652" s="3" t="s">
        <v>16958</v>
      </c>
      <c r="E7652" s="3" t="s">
        <v>16959</v>
      </c>
      <c r="F7652" s="3" t="s">
        <v>16958</v>
      </c>
      <c r="G7652" s="3"/>
      <c r="H7652" s="3" t="s">
        <v>13729</v>
      </c>
      <c r="I7652" s="3" t="s">
        <v>13730</v>
      </c>
      <c r="J7652" s="3" t="s">
        <v>13731</v>
      </c>
      <c r="K7652" s="3" t="s">
        <v>13732</v>
      </c>
      <c r="L7652" s="3" t="s">
        <v>13733</v>
      </c>
      <c r="M7652" s="3" t="s">
        <v>13734</v>
      </c>
      <c r="N7652" s="3" t="s">
        <v>13735</v>
      </c>
      <c r="O7652" s="3" t="s">
        <v>6845</v>
      </c>
      <c r="P7652" s="3" t="s">
        <v>6846</v>
      </c>
      <c r="Q7652" s="3" t="s">
        <v>6841</v>
      </c>
    </row>
    <row r="7653">
      <c r="A7653" s="3">
        <v>2020.0</v>
      </c>
      <c r="B7653" s="3" t="s">
        <v>11280</v>
      </c>
      <c r="C7653" s="3" t="s">
        <v>11281</v>
      </c>
      <c r="D7653" s="3" t="s">
        <v>16960</v>
      </c>
      <c r="E7653" s="3" t="s">
        <v>16961</v>
      </c>
      <c r="F7653" s="3" t="s">
        <v>16960</v>
      </c>
    </row>
    <row r="7654">
      <c r="A7654" s="3">
        <v>2021.0</v>
      </c>
      <c r="B7654" s="3" t="s">
        <v>11280</v>
      </c>
      <c r="C7654" s="3" t="s">
        <v>11281</v>
      </c>
      <c r="D7654" s="3" t="s">
        <v>16962</v>
      </c>
      <c r="E7654" s="3" t="s">
        <v>16963</v>
      </c>
      <c r="F7654" s="3" t="s">
        <v>16962</v>
      </c>
    </row>
    <row r="7655">
      <c r="A7655" s="3">
        <v>2022.0</v>
      </c>
      <c r="B7655" s="3" t="s">
        <v>11280</v>
      </c>
      <c r="C7655" s="3" t="s">
        <v>11281</v>
      </c>
      <c r="D7655" s="3" t="s">
        <v>16964</v>
      </c>
      <c r="E7655" s="3" t="s">
        <v>16965</v>
      </c>
      <c r="F7655" s="3" t="s">
        <v>16964</v>
      </c>
    </row>
    <row r="7656">
      <c r="A7656" s="3">
        <v>2023.0</v>
      </c>
      <c r="B7656" s="3" t="s">
        <v>11280</v>
      </c>
      <c r="C7656" s="3" t="s">
        <v>11281</v>
      </c>
      <c r="D7656" s="3" t="s">
        <v>16966</v>
      </c>
      <c r="E7656" s="3" t="s">
        <v>16967</v>
      </c>
      <c r="F7656" s="3" t="s">
        <v>16966</v>
      </c>
    </row>
    <row r="7657">
      <c r="A7657" s="3">
        <v>2024.0</v>
      </c>
      <c r="B7657" s="3" t="s">
        <v>11280</v>
      </c>
      <c r="C7657" s="3" t="s">
        <v>11281</v>
      </c>
      <c r="D7657" s="3" t="s">
        <v>16968</v>
      </c>
      <c r="E7657" s="3" t="s">
        <v>16969</v>
      </c>
      <c r="F7657" s="3" t="s">
        <v>16968</v>
      </c>
    </row>
    <row r="7658">
      <c r="A7658" s="3">
        <v>2025.0</v>
      </c>
      <c r="B7658" s="3" t="s">
        <v>11280</v>
      </c>
      <c r="C7658" s="3" t="s">
        <v>11281</v>
      </c>
      <c r="D7658" s="3" t="s">
        <v>16970</v>
      </c>
      <c r="E7658" s="3" t="s">
        <v>7444</v>
      </c>
      <c r="F7658" s="3" t="s">
        <v>4086</v>
      </c>
    </row>
    <row r="7659">
      <c r="A7659" s="3">
        <v>2026.0</v>
      </c>
      <c r="B7659" s="3" t="s">
        <v>11280</v>
      </c>
      <c r="C7659" s="3" t="s">
        <v>11281</v>
      </c>
      <c r="D7659" s="3" t="s">
        <v>7454</v>
      </c>
      <c r="E7659" s="3" t="s">
        <v>7455</v>
      </c>
      <c r="F7659" s="3" t="s">
        <v>7454</v>
      </c>
    </row>
    <row r="7660">
      <c r="A7660" s="3">
        <v>2027.0</v>
      </c>
      <c r="B7660" s="3" t="s">
        <v>11280</v>
      </c>
      <c r="C7660" s="3" t="s">
        <v>11281</v>
      </c>
      <c r="D7660" s="3" t="s">
        <v>16971</v>
      </c>
      <c r="E7660" s="3" t="s">
        <v>16972</v>
      </c>
      <c r="F7660" s="3" t="s">
        <v>16973</v>
      </c>
    </row>
    <row r="7661">
      <c r="A7661" s="3">
        <v>2028.0</v>
      </c>
      <c r="B7661" s="3" t="s">
        <v>11280</v>
      </c>
      <c r="C7661" s="3" t="s">
        <v>11281</v>
      </c>
      <c r="D7661" s="3" t="s">
        <v>16974</v>
      </c>
      <c r="E7661" s="3" t="s">
        <v>16975</v>
      </c>
      <c r="F7661" s="3" t="s">
        <v>16976</v>
      </c>
    </row>
    <row r="7662">
      <c r="A7662" s="3">
        <v>2029.0</v>
      </c>
      <c r="B7662" s="3" t="s">
        <v>11280</v>
      </c>
      <c r="C7662" s="3" t="s">
        <v>11281</v>
      </c>
      <c r="D7662" s="3" t="s">
        <v>16977</v>
      </c>
      <c r="E7662" s="3" t="s">
        <v>16978</v>
      </c>
      <c r="F7662" s="3" t="s">
        <v>16979</v>
      </c>
    </row>
    <row r="7663">
      <c r="A7663" s="3">
        <v>2030.0</v>
      </c>
      <c r="B7663" s="3" t="s">
        <v>11280</v>
      </c>
      <c r="C7663" s="3" t="s">
        <v>11281</v>
      </c>
      <c r="D7663" s="3" t="s">
        <v>16980</v>
      </c>
      <c r="E7663" s="3" t="s">
        <v>16981</v>
      </c>
      <c r="F7663" s="3" t="s">
        <v>16982</v>
      </c>
      <c r="G7663" s="3"/>
      <c r="H7663" s="3" t="s">
        <v>16983</v>
      </c>
      <c r="I7663" s="3" t="s">
        <v>16984</v>
      </c>
    </row>
    <row r="7664">
      <c r="A7664" s="3">
        <v>2031.0</v>
      </c>
      <c r="B7664" s="3" t="s">
        <v>11280</v>
      </c>
      <c r="C7664" s="3" t="s">
        <v>11281</v>
      </c>
      <c r="D7664" s="3" t="s">
        <v>16985</v>
      </c>
      <c r="E7664" s="3" t="s">
        <v>16986</v>
      </c>
      <c r="F7664" s="3" t="s">
        <v>16987</v>
      </c>
    </row>
    <row r="7665">
      <c r="A7665" s="3">
        <v>2032.0</v>
      </c>
      <c r="B7665" s="3" t="s">
        <v>11280</v>
      </c>
      <c r="C7665" s="3" t="s">
        <v>11281</v>
      </c>
      <c r="D7665" s="3" t="s">
        <v>16988</v>
      </c>
      <c r="E7665" s="3" t="s">
        <v>16989</v>
      </c>
      <c r="F7665" s="3" t="s">
        <v>16988</v>
      </c>
    </row>
    <row r="7666">
      <c r="A7666" s="3">
        <v>2033.0</v>
      </c>
      <c r="B7666" s="3" t="s">
        <v>11280</v>
      </c>
      <c r="C7666" s="3" t="s">
        <v>11281</v>
      </c>
      <c r="D7666" s="3" t="s">
        <v>16990</v>
      </c>
      <c r="E7666" s="3" t="s">
        <v>16991</v>
      </c>
      <c r="F7666" s="3" t="s">
        <v>16990</v>
      </c>
    </row>
    <row r="7667">
      <c r="A7667" s="3">
        <v>2034.0</v>
      </c>
      <c r="B7667" s="3" t="s">
        <v>11280</v>
      </c>
      <c r="C7667" s="3" t="s">
        <v>11281</v>
      </c>
      <c r="D7667" s="3" t="s">
        <v>4142</v>
      </c>
      <c r="E7667" s="3" t="s">
        <v>4141</v>
      </c>
      <c r="F7667" s="3" t="s">
        <v>4142</v>
      </c>
    </row>
    <row r="7668">
      <c r="A7668" s="3">
        <v>2035.0</v>
      </c>
      <c r="B7668" s="3" t="s">
        <v>11280</v>
      </c>
      <c r="C7668" s="3" t="s">
        <v>11281</v>
      </c>
      <c r="D7668" s="3" t="s">
        <v>4151</v>
      </c>
      <c r="E7668" s="3" t="s">
        <v>4150</v>
      </c>
      <c r="F7668" s="3" t="s">
        <v>4151</v>
      </c>
    </row>
    <row r="7669">
      <c r="A7669" s="3">
        <v>2036.0</v>
      </c>
      <c r="B7669" s="3" t="s">
        <v>11280</v>
      </c>
      <c r="C7669" s="3" t="s">
        <v>11281</v>
      </c>
      <c r="D7669" s="3" t="s">
        <v>16992</v>
      </c>
      <c r="E7669" s="3" t="s">
        <v>16993</v>
      </c>
      <c r="F7669" s="3" t="s">
        <v>16994</v>
      </c>
    </row>
    <row r="7670">
      <c r="A7670" s="3">
        <v>2037.0</v>
      </c>
      <c r="B7670" s="3" t="s">
        <v>11280</v>
      </c>
      <c r="C7670" s="3" t="s">
        <v>11281</v>
      </c>
      <c r="D7670" s="3" t="s">
        <v>16995</v>
      </c>
      <c r="E7670" s="3" t="s">
        <v>16996</v>
      </c>
      <c r="F7670" s="3" t="s">
        <v>16997</v>
      </c>
    </row>
    <row r="7671">
      <c r="A7671" s="3">
        <v>2038.0</v>
      </c>
      <c r="B7671" s="3" t="s">
        <v>11280</v>
      </c>
      <c r="C7671" s="3" t="s">
        <v>11281</v>
      </c>
      <c r="D7671" s="3" t="s">
        <v>16998</v>
      </c>
      <c r="E7671" s="3" t="s">
        <v>16999</v>
      </c>
      <c r="F7671" s="3" t="s">
        <v>17000</v>
      </c>
      <c r="G7671" s="3"/>
      <c r="H7671" s="3" t="s">
        <v>10666</v>
      </c>
      <c r="I7671" s="3" t="s">
        <v>10667</v>
      </c>
      <c r="J7671" s="3" t="s">
        <v>10666</v>
      </c>
      <c r="K7671" s="3" t="s">
        <v>10666</v>
      </c>
    </row>
    <row r="7672">
      <c r="A7672" s="3">
        <v>2039.0</v>
      </c>
      <c r="B7672" s="3" t="s">
        <v>11280</v>
      </c>
      <c r="C7672" s="3" t="s">
        <v>11281</v>
      </c>
      <c r="D7672" s="3" t="s">
        <v>4162</v>
      </c>
      <c r="E7672" s="3" t="s">
        <v>4161</v>
      </c>
      <c r="F7672" s="3" t="s">
        <v>4162</v>
      </c>
    </row>
    <row r="7673">
      <c r="A7673" s="3">
        <v>2040.0</v>
      </c>
      <c r="B7673" s="3" t="s">
        <v>11280</v>
      </c>
      <c r="C7673" s="3" t="s">
        <v>11281</v>
      </c>
      <c r="D7673" s="3" t="s">
        <v>8152</v>
      </c>
      <c r="E7673" s="3" t="s">
        <v>8151</v>
      </c>
      <c r="F7673" s="3" t="s">
        <v>8152</v>
      </c>
      <c r="G7673" s="3"/>
      <c r="H7673" s="3" t="s">
        <v>17001</v>
      </c>
      <c r="I7673" s="3" t="s">
        <v>17002</v>
      </c>
    </row>
    <row r="7674">
      <c r="A7674" s="3">
        <v>2041.0</v>
      </c>
      <c r="B7674" s="3" t="s">
        <v>11280</v>
      </c>
      <c r="C7674" s="3" t="s">
        <v>11281</v>
      </c>
      <c r="D7674" s="3" t="s">
        <v>4119</v>
      </c>
      <c r="E7674" s="3" t="s">
        <v>4118</v>
      </c>
      <c r="F7674" s="3" t="s">
        <v>4119</v>
      </c>
      <c r="G7674" s="3"/>
      <c r="H7674" s="3" t="s">
        <v>17003</v>
      </c>
      <c r="I7674" s="3" t="s">
        <v>4119</v>
      </c>
      <c r="J7674" s="3" t="s">
        <v>17004</v>
      </c>
    </row>
    <row r="7675">
      <c r="A7675" s="3">
        <v>2042.0</v>
      </c>
      <c r="B7675" s="3" t="s">
        <v>11280</v>
      </c>
      <c r="C7675" s="3" t="s">
        <v>11281</v>
      </c>
      <c r="D7675" s="3" t="s">
        <v>17005</v>
      </c>
      <c r="E7675" s="3" t="s">
        <v>17006</v>
      </c>
      <c r="F7675" s="3" t="s">
        <v>17007</v>
      </c>
    </row>
    <row r="7676">
      <c r="A7676" s="3">
        <v>2043.0</v>
      </c>
      <c r="B7676" s="3" t="s">
        <v>11280</v>
      </c>
      <c r="C7676" s="3" t="s">
        <v>11281</v>
      </c>
      <c r="D7676" s="3" t="s">
        <v>17008</v>
      </c>
      <c r="E7676" s="3" t="s">
        <v>17009</v>
      </c>
      <c r="F7676" s="3" t="s">
        <v>17010</v>
      </c>
    </row>
    <row r="7677">
      <c r="A7677" s="3">
        <v>2044.0</v>
      </c>
      <c r="B7677" s="3" t="s">
        <v>11280</v>
      </c>
      <c r="C7677" s="3" t="s">
        <v>11281</v>
      </c>
      <c r="D7677" s="3" t="s">
        <v>17011</v>
      </c>
      <c r="E7677" s="3" t="s">
        <v>17012</v>
      </c>
      <c r="F7677" s="3" t="s">
        <v>17013</v>
      </c>
    </row>
    <row r="7678">
      <c r="A7678" s="3">
        <v>2045.0</v>
      </c>
      <c r="B7678" s="3" t="s">
        <v>11280</v>
      </c>
      <c r="C7678" s="3" t="s">
        <v>11281</v>
      </c>
      <c r="D7678" s="3" t="s">
        <v>17014</v>
      </c>
      <c r="E7678" s="3" t="s">
        <v>17015</v>
      </c>
      <c r="F7678" s="3" t="s">
        <v>17016</v>
      </c>
    </row>
    <row r="7679">
      <c r="A7679" s="3">
        <v>2046.0</v>
      </c>
      <c r="B7679" s="3" t="s">
        <v>11280</v>
      </c>
      <c r="C7679" s="3" t="s">
        <v>11281</v>
      </c>
      <c r="D7679" s="3" t="s">
        <v>17017</v>
      </c>
      <c r="E7679" s="3" t="s">
        <v>17018</v>
      </c>
      <c r="F7679" s="3" t="s">
        <v>17019</v>
      </c>
    </row>
    <row r="7680">
      <c r="A7680" s="3">
        <v>2047.0</v>
      </c>
      <c r="B7680" s="3" t="s">
        <v>11280</v>
      </c>
      <c r="C7680" s="3" t="s">
        <v>11281</v>
      </c>
      <c r="D7680" s="3" t="s">
        <v>17020</v>
      </c>
      <c r="E7680" s="3" t="s">
        <v>17021</v>
      </c>
      <c r="F7680" s="3" t="s">
        <v>17022</v>
      </c>
    </row>
    <row r="7681">
      <c r="A7681" s="3">
        <v>2048.0</v>
      </c>
      <c r="B7681" s="3" t="s">
        <v>11280</v>
      </c>
      <c r="C7681" s="3" t="s">
        <v>11281</v>
      </c>
      <c r="D7681" s="3" t="s">
        <v>17023</v>
      </c>
      <c r="E7681" s="3" t="s">
        <v>17024</v>
      </c>
      <c r="F7681" s="3" t="s">
        <v>17025</v>
      </c>
    </row>
    <row r="7682">
      <c r="A7682" s="3">
        <v>2049.0</v>
      </c>
      <c r="B7682" s="3" t="s">
        <v>11280</v>
      </c>
      <c r="C7682" s="3" t="s">
        <v>11281</v>
      </c>
      <c r="D7682" s="3" t="s">
        <v>17026</v>
      </c>
      <c r="E7682" s="3" t="s">
        <v>17027</v>
      </c>
      <c r="F7682" s="3" t="s">
        <v>17026</v>
      </c>
    </row>
    <row r="7683">
      <c r="A7683" s="3">
        <v>2050.0</v>
      </c>
      <c r="B7683" s="3" t="s">
        <v>11280</v>
      </c>
      <c r="C7683" s="3" t="s">
        <v>11281</v>
      </c>
      <c r="D7683" s="3" t="s">
        <v>4175</v>
      </c>
      <c r="E7683" s="3" t="s">
        <v>4174</v>
      </c>
      <c r="F7683" s="3" t="s">
        <v>4175</v>
      </c>
    </row>
    <row r="7684">
      <c r="A7684" s="3">
        <v>2051.0</v>
      </c>
      <c r="B7684" s="3" t="s">
        <v>11280</v>
      </c>
      <c r="C7684" s="3" t="s">
        <v>11281</v>
      </c>
      <c r="D7684" s="3" t="s">
        <v>4164</v>
      </c>
      <c r="E7684" s="3" t="s">
        <v>4165</v>
      </c>
      <c r="F7684" s="3" t="s">
        <v>4164</v>
      </c>
      <c r="G7684" s="3"/>
      <c r="H7684" s="3" t="s">
        <v>17028</v>
      </c>
      <c r="I7684" s="3" t="s">
        <v>17029</v>
      </c>
    </row>
    <row r="7685">
      <c r="A7685" s="3">
        <v>2052.0</v>
      </c>
      <c r="B7685" s="3" t="s">
        <v>11280</v>
      </c>
      <c r="C7685" s="3" t="s">
        <v>11281</v>
      </c>
      <c r="D7685" s="3" t="s">
        <v>4184</v>
      </c>
      <c r="E7685" s="3" t="s">
        <v>4183</v>
      </c>
      <c r="F7685" s="3" t="s">
        <v>4184</v>
      </c>
    </row>
    <row r="7686">
      <c r="A7686" s="3">
        <v>2053.0</v>
      </c>
      <c r="B7686" s="3" t="s">
        <v>11280</v>
      </c>
      <c r="C7686" s="3" t="s">
        <v>11281</v>
      </c>
      <c r="D7686" s="3" t="s">
        <v>17030</v>
      </c>
      <c r="E7686" s="3" t="s">
        <v>17031</v>
      </c>
      <c r="F7686" s="3" t="s">
        <v>17030</v>
      </c>
      <c r="G7686" s="3"/>
      <c r="H7686" s="3" t="s">
        <v>17032</v>
      </c>
    </row>
    <row r="7687">
      <c r="A7687" s="3">
        <v>2054.0</v>
      </c>
      <c r="B7687" s="3" t="s">
        <v>11280</v>
      </c>
      <c r="C7687" s="3" t="s">
        <v>11281</v>
      </c>
      <c r="D7687" s="3" t="s">
        <v>17033</v>
      </c>
      <c r="E7687" s="3" t="s">
        <v>17034</v>
      </c>
      <c r="F7687" s="3" t="s">
        <v>17033</v>
      </c>
    </row>
    <row r="7688">
      <c r="A7688" s="3">
        <v>2055.0</v>
      </c>
      <c r="B7688" s="3" t="s">
        <v>11280</v>
      </c>
      <c r="C7688" s="3" t="s">
        <v>11281</v>
      </c>
      <c r="D7688" s="3" t="s">
        <v>17035</v>
      </c>
      <c r="E7688" s="3" t="s">
        <v>17036</v>
      </c>
      <c r="F7688" s="3" t="s">
        <v>17035</v>
      </c>
      <c r="G7688" s="3"/>
      <c r="H7688" s="3" t="s">
        <v>17037</v>
      </c>
      <c r="I7688" s="3" t="s">
        <v>17038</v>
      </c>
      <c r="J7688" s="3" t="s">
        <v>17035</v>
      </c>
      <c r="K7688" s="3" t="s">
        <v>17039</v>
      </c>
      <c r="L7688" s="3" t="s">
        <v>17040</v>
      </c>
      <c r="M7688" s="3" t="s">
        <v>17041</v>
      </c>
      <c r="N7688" s="3" t="s">
        <v>17042</v>
      </c>
      <c r="O7688" s="3" t="s">
        <v>17043</v>
      </c>
      <c r="P7688" s="3" t="s">
        <v>17044</v>
      </c>
      <c r="Q7688" s="3" t="s">
        <v>17045</v>
      </c>
      <c r="R7688" s="3" t="s">
        <v>17035</v>
      </c>
      <c r="S7688" s="3" t="s">
        <v>17035</v>
      </c>
      <c r="T7688" s="3" t="s">
        <v>17035</v>
      </c>
      <c r="U7688" s="3" t="s">
        <v>17035</v>
      </c>
      <c r="V7688" s="3" t="s">
        <v>17035</v>
      </c>
      <c r="W7688" s="3" t="s">
        <v>17035</v>
      </c>
      <c r="X7688" s="3" t="s">
        <v>17035</v>
      </c>
      <c r="Y7688" s="3" t="s">
        <v>17039</v>
      </c>
      <c r="Z7688" s="3" t="s">
        <v>17046</v>
      </c>
      <c r="AA7688" s="3" t="s">
        <v>17047</v>
      </c>
    </row>
    <row r="7689">
      <c r="A7689" s="3">
        <v>2056.0</v>
      </c>
      <c r="B7689" s="3" t="s">
        <v>11280</v>
      </c>
      <c r="C7689" s="3" t="s">
        <v>11281</v>
      </c>
      <c r="D7689" s="3" t="s">
        <v>17048</v>
      </c>
      <c r="E7689" s="3" t="s">
        <v>17049</v>
      </c>
      <c r="F7689" s="3" t="s">
        <v>17050</v>
      </c>
    </row>
    <row r="7690">
      <c r="A7690" s="3">
        <v>2057.0</v>
      </c>
      <c r="B7690" s="3" t="s">
        <v>11280</v>
      </c>
      <c r="C7690" s="3" t="s">
        <v>11281</v>
      </c>
      <c r="D7690" s="3" t="s">
        <v>17051</v>
      </c>
      <c r="E7690" s="3" t="s">
        <v>17052</v>
      </c>
      <c r="F7690" s="3" t="s">
        <v>17053</v>
      </c>
    </row>
    <row r="7691">
      <c r="A7691" s="3">
        <v>2058.0</v>
      </c>
      <c r="B7691" s="3" t="s">
        <v>11280</v>
      </c>
      <c r="C7691" s="3" t="s">
        <v>11281</v>
      </c>
      <c r="D7691" s="3" t="s">
        <v>17054</v>
      </c>
      <c r="E7691" s="3" t="s">
        <v>17055</v>
      </c>
      <c r="F7691" s="3" t="s">
        <v>17056</v>
      </c>
      <c r="G7691" s="3"/>
      <c r="H7691" s="3" t="s">
        <v>17057</v>
      </c>
      <c r="I7691" s="3" t="s">
        <v>17058</v>
      </c>
    </row>
    <row r="7692">
      <c r="A7692" s="3">
        <v>2059.0</v>
      </c>
      <c r="B7692" s="3" t="s">
        <v>11280</v>
      </c>
      <c r="C7692" s="3" t="s">
        <v>11281</v>
      </c>
      <c r="D7692" s="3" t="s">
        <v>17059</v>
      </c>
      <c r="E7692" s="3" t="s">
        <v>17060</v>
      </c>
      <c r="F7692" s="3" t="s">
        <v>17061</v>
      </c>
    </row>
    <row r="7693">
      <c r="A7693" s="3">
        <v>2060.0</v>
      </c>
      <c r="B7693" s="3" t="s">
        <v>11280</v>
      </c>
      <c r="C7693" s="3" t="s">
        <v>11281</v>
      </c>
      <c r="D7693" s="3" t="s">
        <v>17062</v>
      </c>
      <c r="E7693" s="3" t="s">
        <v>17063</v>
      </c>
      <c r="F7693" s="3" t="s">
        <v>17064</v>
      </c>
    </row>
    <row r="7694">
      <c r="A7694" s="3">
        <v>2061.0</v>
      </c>
      <c r="B7694" s="3" t="s">
        <v>11280</v>
      </c>
      <c r="C7694" s="3" t="s">
        <v>11281</v>
      </c>
      <c r="D7694" s="3" t="s">
        <v>17065</v>
      </c>
      <c r="E7694" s="3" t="s">
        <v>17066</v>
      </c>
      <c r="F7694" s="3" t="s">
        <v>17067</v>
      </c>
    </row>
    <row r="7695">
      <c r="A7695" s="3">
        <v>2062.0</v>
      </c>
      <c r="B7695" s="3" t="s">
        <v>11280</v>
      </c>
      <c r="C7695" s="3" t="s">
        <v>11281</v>
      </c>
      <c r="D7695" s="3" t="s">
        <v>17068</v>
      </c>
      <c r="E7695" s="3" t="s">
        <v>17069</v>
      </c>
      <c r="F7695" s="3" t="s">
        <v>17070</v>
      </c>
    </row>
    <row r="7696">
      <c r="A7696" s="3">
        <v>2063.0</v>
      </c>
      <c r="B7696" s="3" t="s">
        <v>11280</v>
      </c>
      <c r="C7696" s="3" t="s">
        <v>11281</v>
      </c>
      <c r="D7696" s="3" t="s">
        <v>17071</v>
      </c>
      <c r="E7696" s="3" t="s">
        <v>17072</v>
      </c>
      <c r="F7696" s="3" t="s">
        <v>17071</v>
      </c>
    </row>
    <row r="7697">
      <c r="A7697" s="3">
        <v>2064.0</v>
      </c>
      <c r="B7697" s="3" t="s">
        <v>11280</v>
      </c>
      <c r="C7697" s="3" t="s">
        <v>11281</v>
      </c>
      <c r="D7697" s="3" t="s">
        <v>17073</v>
      </c>
      <c r="E7697" s="3" t="s">
        <v>17074</v>
      </c>
      <c r="F7697" s="3" t="s">
        <v>17075</v>
      </c>
    </row>
    <row r="7698">
      <c r="A7698" s="3">
        <v>2065.0</v>
      </c>
      <c r="B7698" s="3" t="s">
        <v>11280</v>
      </c>
      <c r="C7698" s="3" t="s">
        <v>11281</v>
      </c>
      <c r="D7698" s="3" t="s">
        <v>17076</v>
      </c>
      <c r="E7698" s="3" t="s">
        <v>17077</v>
      </c>
      <c r="F7698" s="3" t="s">
        <v>17078</v>
      </c>
    </row>
    <row r="7699">
      <c r="A7699" s="3">
        <v>2066.0</v>
      </c>
      <c r="B7699" s="3" t="s">
        <v>11280</v>
      </c>
      <c r="C7699" s="3" t="s">
        <v>11281</v>
      </c>
      <c r="D7699" s="3" t="s">
        <v>4187</v>
      </c>
      <c r="E7699" s="3" t="s">
        <v>4188</v>
      </c>
      <c r="F7699" s="3" t="s">
        <v>4187</v>
      </c>
    </row>
    <row r="7700">
      <c r="A7700" s="3">
        <v>2067.0</v>
      </c>
      <c r="B7700" s="3" t="s">
        <v>11280</v>
      </c>
      <c r="C7700" s="3" t="s">
        <v>11281</v>
      </c>
      <c r="D7700" s="3" t="s">
        <v>17079</v>
      </c>
      <c r="E7700" s="3" t="s">
        <v>17080</v>
      </c>
      <c r="F7700" s="3" t="s">
        <v>17079</v>
      </c>
      <c r="G7700" s="3"/>
      <c r="H7700" s="3" t="s">
        <v>14623</v>
      </c>
      <c r="I7700" s="3" t="s">
        <v>8456</v>
      </c>
      <c r="J7700" s="3" t="s">
        <v>17081</v>
      </c>
      <c r="K7700" s="3" t="s">
        <v>8524</v>
      </c>
      <c r="L7700" s="3" t="s">
        <v>17082</v>
      </c>
      <c r="M7700" s="3" t="s">
        <v>8524</v>
      </c>
      <c r="N7700" s="3" t="s">
        <v>3901</v>
      </c>
      <c r="O7700" s="3" t="s">
        <v>17083</v>
      </c>
      <c r="P7700" s="3" t="s">
        <v>17084</v>
      </c>
      <c r="Q7700" s="3" t="s">
        <v>17085</v>
      </c>
      <c r="R7700" s="3" t="s">
        <v>17086</v>
      </c>
      <c r="S7700" s="3" t="s">
        <v>17087</v>
      </c>
      <c r="T7700" s="3" t="s">
        <v>17088</v>
      </c>
      <c r="U7700" s="3" t="s">
        <v>17089</v>
      </c>
      <c r="V7700" s="3" t="s">
        <v>17090</v>
      </c>
    </row>
    <row r="7701">
      <c r="A7701" s="3">
        <v>2068.0</v>
      </c>
      <c r="B7701" s="3" t="s">
        <v>11280</v>
      </c>
      <c r="C7701" s="3" t="s">
        <v>11281</v>
      </c>
      <c r="D7701" s="3" t="s">
        <v>17091</v>
      </c>
      <c r="E7701" s="3" t="s">
        <v>17092</v>
      </c>
      <c r="F7701" s="3" t="s">
        <v>17091</v>
      </c>
    </row>
    <row r="7702">
      <c r="A7702" s="3">
        <v>2069.0</v>
      </c>
      <c r="B7702" s="3" t="s">
        <v>11280</v>
      </c>
      <c r="C7702" s="3" t="s">
        <v>11281</v>
      </c>
      <c r="D7702" s="3" t="s">
        <v>4255</v>
      </c>
      <c r="E7702" s="3" t="s">
        <v>7484</v>
      </c>
      <c r="F7702" s="3" t="s">
        <v>4255</v>
      </c>
      <c r="G7702" s="3"/>
      <c r="H7702" s="3" t="s">
        <v>4255</v>
      </c>
    </row>
    <row r="7703">
      <c r="A7703" s="3">
        <v>2070.0</v>
      </c>
      <c r="B7703" s="3" t="s">
        <v>11280</v>
      </c>
      <c r="C7703" s="3" t="s">
        <v>11281</v>
      </c>
      <c r="D7703" s="3" t="s">
        <v>4264</v>
      </c>
      <c r="E7703" s="3" t="s">
        <v>7487</v>
      </c>
      <c r="F7703" s="3" t="s">
        <v>4264</v>
      </c>
    </row>
    <row r="7704">
      <c r="A7704" s="3">
        <v>2071.0</v>
      </c>
      <c r="B7704" s="3" t="s">
        <v>11280</v>
      </c>
      <c r="C7704" s="3" t="s">
        <v>11281</v>
      </c>
      <c r="D7704" s="3" t="s">
        <v>17093</v>
      </c>
      <c r="E7704" s="3" t="s">
        <v>17094</v>
      </c>
      <c r="F7704" s="3" t="s">
        <v>17095</v>
      </c>
      <c r="G7704" s="3"/>
      <c r="H7704" s="3" t="s">
        <v>2004</v>
      </c>
      <c r="I7704" s="3" t="s">
        <v>2005</v>
      </c>
      <c r="J7704" s="3" t="s">
        <v>2006</v>
      </c>
    </row>
    <row r="7705">
      <c r="A7705" s="3">
        <v>2072.0</v>
      </c>
      <c r="B7705" s="3" t="s">
        <v>11280</v>
      </c>
      <c r="C7705" s="3" t="s">
        <v>11281</v>
      </c>
      <c r="D7705" s="3" t="s">
        <v>17096</v>
      </c>
      <c r="E7705" s="3" t="s">
        <v>17097</v>
      </c>
      <c r="F7705" s="3" t="s">
        <v>17098</v>
      </c>
    </row>
    <row r="7706">
      <c r="A7706" s="3">
        <v>2073.0</v>
      </c>
      <c r="B7706" s="3" t="s">
        <v>11280</v>
      </c>
      <c r="C7706" s="3" t="s">
        <v>11281</v>
      </c>
      <c r="D7706" s="3" t="s">
        <v>17099</v>
      </c>
      <c r="E7706" s="3" t="s">
        <v>17100</v>
      </c>
      <c r="F7706" s="3" t="s">
        <v>17099</v>
      </c>
    </row>
    <row r="7707">
      <c r="A7707" s="3">
        <v>2074.0</v>
      </c>
      <c r="B7707" s="3" t="s">
        <v>11280</v>
      </c>
      <c r="C7707" s="3" t="s">
        <v>11281</v>
      </c>
      <c r="D7707" s="3" t="s">
        <v>17101</v>
      </c>
      <c r="E7707" s="3" t="s">
        <v>17102</v>
      </c>
      <c r="F7707" s="3" t="s">
        <v>17101</v>
      </c>
    </row>
    <row r="7708">
      <c r="A7708" s="3">
        <v>2075.0</v>
      </c>
      <c r="B7708" s="3" t="s">
        <v>11280</v>
      </c>
      <c r="C7708" s="3" t="s">
        <v>11281</v>
      </c>
      <c r="D7708" s="3" t="s">
        <v>17103</v>
      </c>
      <c r="E7708" s="3" t="s">
        <v>17104</v>
      </c>
      <c r="F7708" s="3" t="s">
        <v>17103</v>
      </c>
    </row>
    <row r="7709">
      <c r="A7709" s="3">
        <v>2076.0</v>
      </c>
      <c r="B7709" s="3" t="s">
        <v>11280</v>
      </c>
      <c r="C7709" s="3" t="s">
        <v>11281</v>
      </c>
      <c r="D7709" s="3" t="s">
        <v>17105</v>
      </c>
      <c r="E7709" s="3" t="s">
        <v>17106</v>
      </c>
      <c r="F7709" s="3" t="s">
        <v>17105</v>
      </c>
    </row>
    <row r="7710">
      <c r="A7710" s="3">
        <v>2077.0</v>
      </c>
      <c r="B7710" s="3" t="s">
        <v>11280</v>
      </c>
      <c r="C7710" s="3" t="s">
        <v>11281</v>
      </c>
      <c r="D7710" s="3" t="s">
        <v>17107</v>
      </c>
      <c r="E7710" s="3" t="s">
        <v>17108</v>
      </c>
      <c r="F7710" s="3" t="s">
        <v>17107</v>
      </c>
    </row>
    <row r="7711">
      <c r="A7711" s="3">
        <v>2078.0</v>
      </c>
      <c r="B7711" s="3" t="s">
        <v>11280</v>
      </c>
      <c r="C7711" s="3" t="s">
        <v>11281</v>
      </c>
      <c r="D7711" s="3" t="s">
        <v>17109</v>
      </c>
      <c r="E7711" s="3" t="s">
        <v>17110</v>
      </c>
      <c r="F7711" s="3" t="s">
        <v>17111</v>
      </c>
    </row>
    <row r="7712">
      <c r="A7712" s="3">
        <v>2079.0</v>
      </c>
      <c r="B7712" s="3" t="s">
        <v>11280</v>
      </c>
      <c r="C7712" s="3" t="s">
        <v>11281</v>
      </c>
      <c r="D7712" s="3" t="s">
        <v>17112</v>
      </c>
      <c r="E7712" s="3" t="s">
        <v>17113</v>
      </c>
      <c r="F7712" s="3" t="s">
        <v>17112</v>
      </c>
    </row>
    <row r="7713">
      <c r="A7713" s="3">
        <v>2080.0</v>
      </c>
      <c r="B7713" s="3" t="s">
        <v>11280</v>
      </c>
      <c r="C7713" s="3" t="s">
        <v>11281</v>
      </c>
      <c r="D7713" s="3" t="s">
        <v>17114</v>
      </c>
      <c r="E7713" s="3" t="s">
        <v>17115</v>
      </c>
      <c r="F7713" s="3" t="s">
        <v>17116</v>
      </c>
    </row>
    <row r="7714">
      <c r="A7714" s="3">
        <v>2081.0</v>
      </c>
      <c r="B7714" s="3" t="s">
        <v>11280</v>
      </c>
      <c r="C7714" s="3" t="s">
        <v>11281</v>
      </c>
      <c r="D7714" s="3" t="s">
        <v>17117</v>
      </c>
      <c r="E7714" s="3" t="s">
        <v>17118</v>
      </c>
      <c r="F7714" s="3" t="s">
        <v>17119</v>
      </c>
    </row>
    <row r="7715">
      <c r="A7715" s="3">
        <v>2082.0</v>
      </c>
      <c r="B7715" s="3" t="s">
        <v>11280</v>
      </c>
      <c r="C7715" s="3" t="s">
        <v>11281</v>
      </c>
      <c r="D7715" s="3" t="s">
        <v>17120</v>
      </c>
      <c r="E7715" s="3" t="s">
        <v>17121</v>
      </c>
      <c r="F7715" s="3" t="s">
        <v>17122</v>
      </c>
    </row>
    <row r="7716">
      <c r="A7716" s="3">
        <v>2083.0</v>
      </c>
      <c r="B7716" s="3" t="s">
        <v>11280</v>
      </c>
      <c r="C7716" s="3" t="s">
        <v>11281</v>
      </c>
      <c r="D7716" s="3" t="s">
        <v>17123</v>
      </c>
      <c r="E7716" s="3" t="s">
        <v>17124</v>
      </c>
      <c r="F7716" s="3" t="s">
        <v>17125</v>
      </c>
    </row>
    <row r="7717">
      <c r="A7717" s="3">
        <v>2084.0</v>
      </c>
      <c r="B7717" s="3" t="s">
        <v>11280</v>
      </c>
      <c r="C7717" s="3" t="s">
        <v>11281</v>
      </c>
      <c r="D7717" s="3" t="s">
        <v>17126</v>
      </c>
      <c r="E7717" s="3" t="s">
        <v>17127</v>
      </c>
      <c r="F7717" s="3" t="s">
        <v>4669</v>
      </c>
      <c r="G7717" s="3"/>
      <c r="H7717" s="3" t="s">
        <v>7746</v>
      </c>
      <c r="I7717" s="3" t="s">
        <v>4374</v>
      </c>
      <c r="J7717" s="3" t="s">
        <v>7747</v>
      </c>
      <c r="K7717" s="3" t="s">
        <v>7748</v>
      </c>
      <c r="L7717" s="3" t="s">
        <v>7749</v>
      </c>
    </row>
    <row r="7718">
      <c r="A7718" s="3">
        <v>2085.0</v>
      </c>
      <c r="B7718" s="3" t="s">
        <v>11280</v>
      </c>
      <c r="C7718" s="3" t="s">
        <v>11281</v>
      </c>
      <c r="D7718" s="3" t="s">
        <v>17128</v>
      </c>
      <c r="E7718" s="3" t="s">
        <v>17129</v>
      </c>
      <c r="F7718" s="3" t="s">
        <v>4330</v>
      </c>
    </row>
    <row r="7719">
      <c r="A7719" s="3">
        <v>2086.0</v>
      </c>
      <c r="B7719" s="3" t="s">
        <v>11280</v>
      </c>
      <c r="C7719" s="3" t="s">
        <v>11281</v>
      </c>
      <c r="D7719" s="3" t="s">
        <v>17130</v>
      </c>
      <c r="E7719" s="3" t="s">
        <v>17131</v>
      </c>
      <c r="F7719" s="3" t="s">
        <v>17132</v>
      </c>
    </row>
    <row r="7720">
      <c r="A7720" s="3">
        <v>2087.0</v>
      </c>
      <c r="B7720" s="3" t="s">
        <v>11280</v>
      </c>
      <c r="C7720" s="3" t="s">
        <v>11281</v>
      </c>
      <c r="D7720" s="3" t="s">
        <v>17133</v>
      </c>
      <c r="E7720" s="3" t="s">
        <v>17134</v>
      </c>
      <c r="F7720" s="3" t="s">
        <v>17135</v>
      </c>
    </row>
    <row r="7721">
      <c r="A7721" s="3">
        <v>2088.0</v>
      </c>
      <c r="B7721" s="3" t="s">
        <v>11280</v>
      </c>
      <c r="C7721" s="3" t="s">
        <v>11281</v>
      </c>
      <c r="D7721" s="3" t="s">
        <v>17136</v>
      </c>
      <c r="E7721" s="3" t="s">
        <v>17137</v>
      </c>
      <c r="F7721" s="3" t="s">
        <v>17138</v>
      </c>
    </row>
    <row r="7722">
      <c r="A7722" s="3">
        <v>2089.0</v>
      </c>
      <c r="B7722" s="3" t="s">
        <v>11280</v>
      </c>
      <c r="C7722" s="3" t="s">
        <v>11281</v>
      </c>
      <c r="D7722" s="3" t="s">
        <v>17139</v>
      </c>
      <c r="E7722" s="3" t="s">
        <v>17140</v>
      </c>
      <c r="F7722" s="3" t="s">
        <v>17141</v>
      </c>
    </row>
    <row r="7723">
      <c r="A7723" s="3">
        <v>2090.0</v>
      </c>
      <c r="B7723" s="3" t="s">
        <v>11280</v>
      </c>
      <c r="C7723" s="3" t="s">
        <v>11281</v>
      </c>
      <c r="D7723" s="3" t="s">
        <v>17142</v>
      </c>
      <c r="E7723" s="3" t="s">
        <v>17143</v>
      </c>
      <c r="F7723" s="3" t="s">
        <v>17144</v>
      </c>
    </row>
    <row r="7724">
      <c r="A7724" s="3">
        <v>2091.0</v>
      </c>
      <c r="B7724" s="3" t="s">
        <v>11280</v>
      </c>
      <c r="C7724" s="3" t="s">
        <v>11281</v>
      </c>
      <c r="D7724" s="3" t="s">
        <v>17145</v>
      </c>
      <c r="E7724" s="3" t="s">
        <v>17146</v>
      </c>
      <c r="F7724" s="3" t="s">
        <v>17147</v>
      </c>
    </row>
    <row r="7725">
      <c r="A7725" s="3">
        <v>2092.0</v>
      </c>
      <c r="B7725" s="3" t="s">
        <v>11280</v>
      </c>
      <c r="C7725" s="3" t="s">
        <v>11281</v>
      </c>
      <c r="D7725" s="3" t="s">
        <v>17148</v>
      </c>
      <c r="E7725" s="3" t="s">
        <v>17149</v>
      </c>
      <c r="F7725" s="3" t="s">
        <v>17150</v>
      </c>
    </row>
    <row r="7726">
      <c r="A7726" s="3">
        <v>2093.0</v>
      </c>
      <c r="B7726" s="3" t="s">
        <v>11280</v>
      </c>
      <c r="C7726" s="3" t="s">
        <v>11281</v>
      </c>
      <c r="D7726" s="3" t="s">
        <v>17151</v>
      </c>
      <c r="E7726" s="3" t="s">
        <v>17152</v>
      </c>
      <c r="F7726" s="3" t="s">
        <v>17153</v>
      </c>
      <c r="G7726" s="3"/>
      <c r="H7726" s="3" t="s">
        <v>17154</v>
      </c>
      <c r="I7726" s="3" t="s">
        <v>17155</v>
      </c>
      <c r="J7726" s="3" t="s">
        <v>17156</v>
      </c>
      <c r="K7726" s="3" t="s">
        <v>17157</v>
      </c>
      <c r="L7726" s="3" t="s">
        <v>17158</v>
      </c>
      <c r="M7726" s="3" t="s">
        <v>17159</v>
      </c>
      <c r="N7726" s="3" t="s">
        <v>13735</v>
      </c>
      <c r="O7726" s="3" t="s">
        <v>17160</v>
      </c>
      <c r="P7726" s="3" t="s">
        <v>17161</v>
      </c>
      <c r="Q7726" s="3" t="s">
        <v>17162</v>
      </c>
      <c r="R7726" s="3" t="s">
        <v>4374</v>
      </c>
      <c r="S7726" s="3" t="s">
        <v>17163</v>
      </c>
      <c r="T7726" s="3" t="s">
        <v>17164</v>
      </c>
      <c r="U7726" s="3" t="s">
        <v>4374</v>
      </c>
      <c r="V7726" s="3" t="s">
        <v>17165</v>
      </c>
      <c r="W7726" s="3" t="s">
        <v>17158</v>
      </c>
      <c r="X7726" s="3" t="s">
        <v>17166</v>
      </c>
      <c r="Y7726" s="3" t="s">
        <v>17167</v>
      </c>
      <c r="Z7726" s="3" t="s">
        <v>17168</v>
      </c>
      <c r="AA7726" s="3" t="s">
        <v>4374</v>
      </c>
      <c r="AB7726" s="3" t="s">
        <v>12876</v>
      </c>
      <c r="AC7726" s="3" t="s">
        <v>17169</v>
      </c>
      <c r="AD7726" s="3" t="s">
        <v>17170</v>
      </c>
      <c r="AE7726" s="3" t="s">
        <v>4374</v>
      </c>
      <c r="AF7726" s="3" t="s">
        <v>17171</v>
      </c>
      <c r="AG7726" s="3" t="s">
        <v>17172</v>
      </c>
      <c r="AH7726" s="3" t="s">
        <v>17173</v>
      </c>
      <c r="AI7726" s="3" t="s">
        <v>17174</v>
      </c>
    </row>
    <row r="7727">
      <c r="A7727" s="3">
        <v>2094.0</v>
      </c>
      <c r="B7727" s="3" t="s">
        <v>11280</v>
      </c>
      <c r="C7727" s="3" t="s">
        <v>11281</v>
      </c>
      <c r="D7727" s="3" t="s">
        <v>17175</v>
      </c>
      <c r="E7727" s="3" t="s">
        <v>17176</v>
      </c>
      <c r="F7727" s="3" t="s">
        <v>17177</v>
      </c>
    </row>
    <row r="7728">
      <c r="A7728" s="3">
        <v>2095.0</v>
      </c>
      <c r="B7728" s="3" t="s">
        <v>11280</v>
      </c>
      <c r="C7728" s="3" t="s">
        <v>11281</v>
      </c>
      <c r="D7728" s="3" t="s">
        <v>17178</v>
      </c>
      <c r="E7728" s="3" t="s">
        <v>17179</v>
      </c>
      <c r="F7728" s="3" t="s">
        <v>17180</v>
      </c>
    </row>
    <row r="7729">
      <c r="A7729" s="3">
        <v>2096.0</v>
      </c>
      <c r="B7729" s="3" t="s">
        <v>11280</v>
      </c>
      <c r="C7729" s="3" t="s">
        <v>11281</v>
      </c>
      <c r="D7729" s="3" t="s">
        <v>17181</v>
      </c>
      <c r="E7729" s="3" t="s">
        <v>17182</v>
      </c>
      <c r="F7729" s="3" t="s">
        <v>17183</v>
      </c>
    </row>
    <row r="7730">
      <c r="A7730" s="3">
        <v>2097.0</v>
      </c>
      <c r="B7730" s="3" t="s">
        <v>11280</v>
      </c>
      <c r="C7730" s="3" t="s">
        <v>11281</v>
      </c>
      <c r="D7730" s="3" t="s">
        <v>17184</v>
      </c>
      <c r="E7730" s="3" t="s">
        <v>17185</v>
      </c>
      <c r="F7730" s="3" t="s">
        <v>17186</v>
      </c>
    </row>
    <row r="7731">
      <c r="A7731" s="3">
        <v>2098.0</v>
      </c>
      <c r="B7731" s="3" t="s">
        <v>11280</v>
      </c>
      <c r="C7731" s="3" t="s">
        <v>11281</v>
      </c>
      <c r="D7731" s="3" t="s">
        <v>17187</v>
      </c>
      <c r="E7731" s="3" t="s">
        <v>17188</v>
      </c>
      <c r="F7731" s="3" t="s">
        <v>17189</v>
      </c>
    </row>
    <row r="7732">
      <c r="A7732" s="3">
        <v>2099.0</v>
      </c>
      <c r="B7732" s="3" t="s">
        <v>11280</v>
      </c>
      <c r="C7732" s="3" t="s">
        <v>11281</v>
      </c>
      <c r="D7732" s="3" t="s">
        <v>17190</v>
      </c>
      <c r="E7732" s="3" t="s">
        <v>17191</v>
      </c>
      <c r="F7732" s="3" t="s">
        <v>17192</v>
      </c>
    </row>
    <row r="7733">
      <c r="A7733" s="3">
        <v>2100.0</v>
      </c>
      <c r="B7733" s="3" t="s">
        <v>11280</v>
      </c>
      <c r="C7733" s="3" t="s">
        <v>11281</v>
      </c>
      <c r="D7733" s="3" t="s">
        <v>17193</v>
      </c>
      <c r="E7733" s="3" t="s">
        <v>17194</v>
      </c>
      <c r="F7733" s="3" t="s">
        <v>17195</v>
      </c>
    </row>
    <row r="7734">
      <c r="A7734" s="3">
        <v>2101.0</v>
      </c>
      <c r="B7734" s="3" t="s">
        <v>11280</v>
      </c>
      <c r="C7734" s="3" t="s">
        <v>11281</v>
      </c>
      <c r="D7734" s="3" t="s">
        <v>17196</v>
      </c>
      <c r="E7734" s="3" t="s">
        <v>17197</v>
      </c>
      <c r="F7734" s="3" t="s">
        <v>17198</v>
      </c>
    </row>
    <row r="7735">
      <c r="A7735" s="3">
        <v>2102.0</v>
      </c>
      <c r="B7735" s="3" t="s">
        <v>11280</v>
      </c>
      <c r="C7735" s="3" t="s">
        <v>11281</v>
      </c>
      <c r="D7735" s="3" t="s">
        <v>17199</v>
      </c>
      <c r="E7735" s="3" t="s">
        <v>17200</v>
      </c>
      <c r="F7735" s="3" t="s">
        <v>17201</v>
      </c>
    </row>
    <row r="7736">
      <c r="A7736" s="3">
        <v>2103.0</v>
      </c>
      <c r="B7736" s="3" t="s">
        <v>11280</v>
      </c>
      <c r="C7736" s="3" t="s">
        <v>11281</v>
      </c>
      <c r="D7736" s="3" t="s">
        <v>17202</v>
      </c>
      <c r="E7736" s="3" t="s">
        <v>17203</v>
      </c>
      <c r="F7736" s="3" t="s">
        <v>17204</v>
      </c>
    </row>
    <row r="7737">
      <c r="A7737" s="3">
        <v>2104.0</v>
      </c>
      <c r="B7737" s="3" t="s">
        <v>11280</v>
      </c>
      <c r="C7737" s="3" t="s">
        <v>11281</v>
      </c>
      <c r="D7737" s="3" t="s">
        <v>17205</v>
      </c>
      <c r="E7737" s="3" t="s">
        <v>17206</v>
      </c>
      <c r="F7737" s="3" t="s">
        <v>17207</v>
      </c>
    </row>
    <row r="7738">
      <c r="A7738" s="3">
        <v>2105.0</v>
      </c>
      <c r="B7738" s="3" t="s">
        <v>11280</v>
      </c>
      <c r="C7738" s="3" t="s">
        <v>11281</v>
      </c>
      <c r="D7738" s="3" t="s">
        <v>17208</v>
      </c>
      <c r="E7738" s="3" t="s">
        <v>17209</v>
      </c>
      <c r="F7738" s="3" t="s">
        <v>4669</v>
      </c>
      <c r="G7738" s="3"/>
      <c r="H7738" s="3" t="s">
        <v>17210</v>
      </c>
      <c r="I7738" s="3" t="s">
        <v>17211</v>
      </c>
      <c r="J7738" s="3" t="s">
        <v>17212</v>
      </c>
      <c r="K7738" s="3" t="s">
        <v>17213</v>
      </c>
      <c r="L7738" s="3" t="s">
        <v>17214</v>
      </c>
      <c r="M7738" s="3" t="s">
        <v>17215</v>
      </c>
      <c r="N7738" s="3" t="s">
        <v>17216</v>
      </c>
      <c r="O7738" s="3" t="s">
        <v>17217</v>
      </c>
      <c r="P7738" s="3" t="s">
        <v>17218</v>
      </c>
      <c r="Q7738" s="3" t="s">
        <v>17219</v>
      </c>
      <c r="R7738" s="3" t="s">
        <v>17220</v>
      </c>
      <c r="S7738" s="3" t="s">
        <v>17221</v>
      </c>
      <c r="T7738" s="3" t="s">
        <v>4381</v>
      </c>
      <c r="U7738" s="3" t="s">
        <v>4382</v>
      </c>
      <c r="V7738" s="3" t="s">
        <v>4383</v>
      </c>
      <c r="W7738" s="3" t="s">
        <v>4384</v>
      </c>
      <c r="X7738" s="3" t="s">
        <v>4375</v>
      </c>
      <c r="Y7738" s="3" t="s">
        <v>4385</v>
      </c>
      <c r="Z7738" s="3" t="s">
        <v>4375</v>
      </c>
      <c r="AA7738" s="3" t="s">
        <v>17222</v>
      </c>
    </row>
    <row r="7739">
      <c r="A7739" s="3">
        <v>2106.0</v>
      </c>
      <c r="B7739" s="3" t="s">
        <v>11280</v>
      </c>
      <c r="C7739" s="3" t="s">
        <v>11281</v>
      </c>
      <c r="D7739" s="3" t="s">
        <v>17223</v>
      </c>
      <c r="E7739" s="3" t="s">
        <v>17224</v>
      </c>
      <c r="F7739" s="3" t="s">
        <v>17153</v>
      </c>
      <c r="G7739" s="3"/>
      <c r="H7739" s="3" t="s">
        <v>17225</v>
      </c>
      <c r="I7739" s="3" t="s">
        <v>17226</v>
      </c>
      <c r="J7739" s="3" t="s">
        <v>17227</v>
      </c>
    </row>
    <row r="7740">
      <c r="A7740" s="3">
        <v>2107.0</v>
      </c>
      <c r="B7740" s="3" t="s">
        <v>11280</v>
      </c>
      <c r="C7740" s="3" t="s">
        <v>11281</v>
      </c>
      <c r="D7740" s="3" t="s">
        <v>17228</v>
      </c>
      <c r="E7740" s="3" t="s">
        <v>17229</v>
      </c>
      <c r="F7740" s="3" t="s">
        <v>17230</v>
      </c>
    </row>
    <row r="7741">
      <c r="A7741" s="3">
        <v>2108.0</v>
      </c>
      <c r="B7741" s="3" t="s">
        <v>11280</v>
      </c>
      <c r="C7741" s="3" t="s">
        <v>11281</v>
      </c>
      <c r="D7741" s="3" t="s">
        <v>17231</v>
      </c>
      <c r="E7741" s="3" t="s">
        <v>17232</v>
      </c>
      <c r="F7741" s="3" t="s">
        <v>17233</v>
      </c>
    </row>
    <row r="7742">
      <c r="A7742" s="3">
        <v>2109.0</v>
      </c>
      <c r="B7742" s="3" t="s">
        <v>11280</v>
      </c>
      <c r="C7742" s="3" t="s">
        <v>11281</v>
      </c>
      <c r="D7742" s="3" t="s">
        <v>17234</v>
      </c>
      <c r="E7742" s="3" t="s">
        <v>17235</v>
      </c>
      <c r="F7742" s="3" t="s">
        <v>17236</v>
      </c>
    </row>
    <row r="7743">
      <c r="A7743" s="3">
        <v>2110.0</v>
      </c>
      <c r="B7743" s="3" t="s">
        <v>11280</v>
      </c>
      <c r="C7743" s="3" t="s">
        <v>11281</v>
      </c>
      <c r="D7743" s="3" t="s">
        <v>17237</v>
      </c>
      <c r="E7743" s="3" t="s">
        <v>17238</v>
      </c>
      <c r="F7743" s="3" t="s">
        <v>17239</v>
      </c>
    </row>
    <row r="7744">
      <c r="A7744" s="3">
        <v>2111.0</v>
      </c>
      <c r="B7744" s="3" t="s">
        <v>11280</v>
      </c>
      <c r="C7744" s="3" t="s">
        <v>11281</v>
      </c>
      <c r="D7744" s="3" t="s">
        <v>17240</v>
      </c>
      <c r="E7744" s="3" t="s">
        <v>17241</v>
      </c>
      <c r="F7744" s="3" t="s">
        <v>17186</v>
      </c>
    </row>
    <row r="7745">
      <c r="A7745" s="3">
        <v>2112.0</v>
      </c>
      <c r="B7745" s="3" t="s">
        <v>11280</v>
      </c>
      <c r="C7745" s="3" t="s">
        <v>11281</v>
      </c>
      <c r="D7745" s="3" t="s">
        <v>17242</v>
      </c>
      <c r="E7745" s="3" t="s">
        <v>17243</v>
      </c>
      <c r="F7745" s="3" t="s">
        <v>17244</v>
      </c>
    </row>
    <row r="7746">
      <c r="A7746" s="3">
        <v>2113.0</v>
      </c>
      <c r="B7746" s="3" t="s">
        <v>11280</v>
      </c>
      <c r="C7746" s="3" t="s">
        <v>11281</v>
      </c>
      <c r="D7746" s="3" t="s">
        <v>17245</v>
      </c>
      <c r="E7746" s="3" t="s">
        <v>17246</v>
      </c>
      <c r="F7746" s="3" t="s">
        <v>17247</v>
      </c>
    </row>
    <row r="7747">
      <c r="A7747" s="3">
        <v>2114.0</v>
      </c>
      <c r="B7747" s="3" t="s">
        <v>11280</v>
      </c>
      <c r="C7747" s="3" t="s">
        <v>11281</v>
      </c>
      <c r="D7747" s="3" t="s">
        <v>17248</v>
      </c>
      <c r="E7747" s="3" t="s">
        <v>17249</v>
      </c>
      <c r="F7747" s="3" t="s">
        <v>17250</v>
      </c>
    </row>
    <row r="7748">
      <c r="A7748" s="3">
        <v>2115.0</v>
      </c>
      <c r="B7748" s="3" t="s">
        <v>11280</v>
      </c>
      <c r="C7748" s="3" t="s">
        <v>11281</v>
      </c>
      <c r="D7748" s="3" t="s">
        <v>17251</v>
      </c>
      <c r="E7748" s="3" t="s">
        <v>17252</v>
      </c>
      <c r="F7748" s="3" t="s">
        <v>17253</v>
      </c>
    </row>
    <row r="7749">
      <c r="A7749" s="3">
        <v>2116.0</v>
      </c>
      <c r="B7749" s="3" t="s">
        <v>11280</v>
      </c>
      <c r="C7749" s="3" t="s">
        <v>11281</v>
      </c>
      <c r="D7749" s="3" t="s">
        <v>17254</v>
      </c>
      <c r="E7749" s="3" t="s">
        <v>17255</v>
      </c>
      <c r="F7749" s="3" t="s">
        <v>17256</v>
      </c>
    </row>
    <row r="7750">
      <c r="A7750" s="3">
        <v>2117.0</v>
      </c>
      <c r="B7750" s="3" t="s">
        <v>11280</v>
      </c>
      <c r="C7750" s="3" t="s">
        <v>11281</v>
      </c>
      <c r="D7750" s="3" t="s">
        <v>4409</v>
      </c>
      <c r="E7750" s="3" t="s">
        <v>4408</v>
      </c>
      <c r="F7750" s="3" t="s">
        <v>4409</v>
      </c>
      <c r="G7750" s="3"/>
      <c r="H7750" s="3" t="s">
        <v>4422</v>
      </c>
      <c r="I7750" s="3" t="s">
        <v>17257</v>
      </c>
    </row>
    <row r="7751">
      <c r="A7751" s="3">
        <v>2118.0</v>
      </c>
      <c r="B7751" s="3" t="s">
        <v>11280</v>
      </c>
      <c r="C7751" s="3" t="s">
        <v>11281</v>
      </c>
      <c r="D7751" s="3" t="s">
        <v>4405</v>
      </c>
      <c r="E7751" s="3" t="s">
        <v>4404</v>
      </c>
      <c r="F7751" s="3" t="s">
        <v>4405</v>
      </c>
    </row>
    <row r="7752">
      <c r="A7752" s="3">
        <v>2119.0</v>
      </c>
      <c r="B7752" s="3" t="s">
        <v>11280</v>
      </c>
      <c r="C7752" s="3" t="s">
        <v>11281</v>
      </c>
      <c r="D7752" s="3" t="s">
        <v>17258</v>
      </c>
      <c r="E7752" s="3" t="s">
        <v>17259</v>
      </c>
      <c r="F7752" s="3" t="s">
        <v>17258</v>
      </c>
    </row>
    <row r="7753">
      <c r="A7753" s="3">
        <v>2120.0</v>
      </c>
      <c r="B7753" s="3" t="s">
        <v>11280</v>
      </c>
      <c r="C7753" s="3" t="s">
        <v>11281</v>
      </c>
      <c r="D7753" s="3" t="s">
        <v>17260</v>
      </c>
      <c r="E7753" s="3" t="s">
        <v>17261</v>
      </c>
      <c r="F7753" s="3" t="s">
        <v>17262</v>
      </c>
    </row>
    <row r="7754">
      <c r="A7754" s="3">
        <v>2121.0</v>
      </c>
      <c r="B7754" s="3" t="s">
        <v>11280</v>
      </c>
      <c r="C7754" s="3" t="s">
        <v>11281</v>
      </c>
      <c r="D7754" s="3" t="s">
        <v>17263</v>
      </c>
      <c r="E7754" s="3" t="s">
        <v>17264</v>
      </c>
      <c r="F7754" s="3" t="s">
        <v>17265</v>
      </c>
    </row>
    <row r="7755">
      <c r="A7755" s="3">
        <v>2122.0</v>
      </c>
      <c r="B7755" s="3" t="s">
        <v>11280</v>
      </c>
      <c r="C7755" s="3" t="s">
        <v>11281</v>
      </c>
      <c r="D7755" s="3" t="s">
        <v>17266</v>
      </c>
      <c r="E7755" s="3" t="s">
        <v>17267</v>
      </c>
      <c r="F7755" s="3" t="s">
        <v>17268</v>
      </c>
      <c r="G7755" s="3"/>
      <c r="H7755" s="3" t="s">
        <v>17269</v>
      </c>
      <c r="I7755" s="3" t="s">
        <v>17270</v>
      </c>
    </row>
    <row r="7756">
      <c r="A7756" s="3">
        <v>2123.0</v>
      </c>
      <c r="B7756" s="3" t="s">
        <v>11280</v>
      </c>
      <c r="C7756" s="3" t="s">
        <v>11281</v>
      </c>
      <c r="D7756" s="3" t="s">
        <v>17271</v>
      </c>
      <c r="E7756" s="3" t="s">
        <v>17272</v>
      </c>
      <c r="F7756" s="3" t="s">
        <v>17273</v>
      </c>
    </row>
    <row r="7757">
      <c r="A7757" s="3">
        <v>2124.0</v>
      </c>
      <c r="B7757" s="3" t="s">
        <v>11280</v>
      </c>
      <c r="C7757" s="3" t="s">
        <v>11281</v>
      </c>
      <c r="D7757" s="3" t="s">
        <v>17274</v>
      </c>
      <c r="E7757" s="3" t="s">
        <v>17275</v>
      </c>
      <c r="F7757" s="3" t="s">
        <v>17276</v>
      </c>
    </row>
    <row r="7758">
      <c r="A7758" s="3">
        <v>2125.0</v>
      </c>
      <c r="B7758" s="3" t="s">
        <v>11280</v>
      </c>
      <c r="C7758" s="3" t="s">
        <v>11281</v>
      </c>
      <c r="D7758" s="3" t="s">
        <v>17277</v>
      </c>
      <c r="E7758" s="3" t="s">
        <v>17278</v>
      </c>
      <c r="F7758" s="3" t="s">
        <v>17279</v>
      </c>
    </row>
    <row r="7759">
      <c r="A7759" s="3">
        <v>2126.0</v>
      </c>
      <c r="B7759" s="3" t="s">
        <v>11280</v>
      </c>
      <c r="C7759" s="3" t="s">
        <v>11281</v>
      </c>
      <c r="D7759" s="3" t="s">
        <v>17280</v>
      </c>
      <c r="E7759" s="3" t="s">
        <v>17281</v>
      </c>
      <c r="F7759" s="3" t="s">
        <v>17282</v>
      </c>
    </row>
    <row r="7760">
      <c r="A7760" s="3">
        <v>2127.0</v>
      </c>
      <c r="B7760" s="3" t="s">
        <v>11280</v>
      </c>
      <c r="C7760" s="3" t="s">
        <v>11281</v>
      </c>
      <c r="D7760" s="3" t="s">
        <v>7551</v>
      </c>
      <c r="E7760" s="3" t="s">
        <v>7550</v>
      </c>
      <c r="F7760" s="3" t="s">
        <v>7551</v>
      </c>
    </row>
    <row r="7761">
      <c r="A7761" s="3">
        <v>2128.0</v>
      </c>
      <c r="B7761" s="3" t="s">
        <v>11280</v>
      </c>
      <c r="C7761" s="3" t="s">
        <v>11281</v>
      </c>
      <c r="D7761" s="3" t="s">
        <v>17283</v>
      </c>
      <c r="E7761" s="3" t="s">
        <v>17284</v>
      </c>
      <c r="F7761" s="3" t="s">
        <v>17283</v>
      </c>
    </row>
    <row r="7762">
      <c r="A7762" s="3">
        <v>2129.0</v>
      </c>
      <c r="B7762" s="3" t="s">
        <v>11280</v>
      </c>
      <c r="C7762" s="3" t="s">
        <v>11281</v>
      </c>
      <c r="D7762" s="3" t="s">
        <v>17285</v>
      </c>
      <c r="E7762" s="3" t="s">
        <v>17286</v>
      </c>
      <c r="F7762" s="3" t="s">
        <v>4448</v>
      </c>
      <c r="G7762" s="3"/>
      <c r="H7762" s="3" t="s">
        <v>2130</v>
      </c>
      <c r="I7762" s="3" t="s">
        <v>2131</v>
      </c>
      <c r="J7762" s="3" t="s">
        <v>2132</v>
      </c>
      <c r="K7762" s="3" t="s">
        <v>2133</v>
      </c>
      <c r="L7762" s="3" t="s">
        <v>2134</v>
      </c>
      <c r="M7762" s="3" t="s">
        <v>2135</v>
      </c>
      <c r="N7762" s="3" t="s">
        <v>17287</v>
      </c>
      <c r="O7762" s="3" t="s">
        <v>17288</v>
      </c>
      <c r="P7762" s="3" t="s">
        <v>17289</v>
      </c>
      <c r="Q7762" s="3" t="s">
        <v>17290</v>
      </c>
      <c r="R7762" s="3" t="s">
        <v>2582</v>
      </c>
      <c r="S7762" s="3" t="s">
        <v>17291</v>
      </c>
      <c r="T7762" s="3" t="s">
        <v>17292</v>
      </c>
      <c r="U7762" s="3" t="s">
        <v>17288</v>
      </c>
      <c r="V7762" s="3" t="s">
        <v>17293</v>
      </c>
      <c r="W7762" s="3" t="s">
        <v>17294</v>
      </c>
      <c r="X7762" s="3" t="s">
        <v>17290</v>
      </c>
      <c r="Y7762" s="3" t="s">
        <v>3531</v>
      </c>
      <c r="Z7762" s="3" t="s">
        <v>17291</v>
      </c>
      <c r="AA7762" s="3" t="s">
        <v>17295</v>
      </c>
    </row>
    <row r="7763">
      <c r="A7763" s="3">
        <v>2130.0</v>
      </c>
      <c r="B7763" s="3" t="s">
        <v>11280</v>
      </c>
      <c r="C7763" s="3" t="s">
        <v>11281</v>
      </c>
      <c r="D7763" s="3" t="s">
        <v>17296</v>
      </c>
      <c r="E7763" s="3" t="s">
        <v>17297</v>
      </c>
      <c r="F7763" s="3" t="s">
        <v>17298</v>
      </c>
    </row>
    <row r="7764">
      <c r="A7764" s="3">
        <v>2131.0</v>
      </c>
      <c r="B7764" s="3" t="s">
        <v>11280</v>
      </c>
      <c r="C7764" s="3" t="s">
        <v>11281</v>
      </c>
      <c r="D7764" s="3" t="s">
        <v>17299</v>
      </c>
      <c r="E7764" s="3" t="s">
        <v>17300</v>
      </c>
      <c r="F7764" s="3" t="s">
        <v>17299</v>
      </c>
    </row>
    <row r="7765">
      <c r="A7765" s="3">
        <v>2132.0</v>
      </c>
      <c r="B7765" s="3" t="s">
        <v>11280</v>
      </c>
      <c r="C7765" s="3" t="s">
        <v>11281</v>
      </c>
      <c r="D7765" s="3" t="s">
        <v>4523</v>
      </c>
      <c r="E7765" s="3" t="s">
        <v>4522</v>
      </c>
      <c r="F7765" s="3" t="s">
        <v>4523</v>
      </c>
      <c r="G7765" s="3"/>
      <c r="H7765" s="3" t="s">
        <v>17301</v>
      </c>
      <c r="I7765" s="3" t="s">
        <v>17302</v>
      </c>
      <c r="J7765" s="3" t="s">
        <v>17303</v>
      </c>
      <c r="K7765" s="3" t="s">
        <v>17304</v>
      </c>
      <c r="L7765" s="3" t="s">
        <v>17305</v>
      </c>
      <c r="M7765" s="3" t="s">
        <v>17306</v>
      </c>
      <c r="N7765" s="3" t="s">
        <v>17307</v>
      </c>
      <c r="O7765" s="3" t="s">
        <v>17308</v>
      </c>
    </row>
    <row r="7766">
      <c r="A7766" s="3">
        <v>2133.0</v>
      </c>
      <c r="B7766" s="3" t="s">
        <v>11280</v>
      </c>
      <c r="C7766" s="3" t="s">
        <v>11281</v>
      </c>
      <c r="D7766" s="3" t="s">
        <v>4506</v>
      </c>
      <c r="E7766" s="3" t="s">
        <v>4505</v>
      </c>
      <c r="F7766" s="3" t="s">
        <v>4506</v>
      </c>
    </row>
    <row r="7767">
      <c r="A7767" s="3">
        <v>2134.0</v>
      </c>
      <c r="B7767" s="3" t="s">
        <v>11280</v>
      </c>
      <c r="C7767" s="3" t="s">
        <v>11281</v>
      </c>
      <c r="D7767" s="3" t="s">
        <v>4526</v>
      </c>
      <c r="E7767" s="3" t="s">
        <v>4525</v>
      </c>
      <c r="F7767" s="3" t="s">
        <v>4526</v>
      </c>
      <c r="G7767" s="3"/>
      <c r="H7767" s="3" t="s">
        <v>17309</v>
      </c>
      <c r="I7767" s="3" t="s">
        <v>17310</v>
      </c>
      <c r="J7767" s="3" t="s">
        <v>17311</v>
      </c>
    </row>
    <row r="7768">
      <c r="A7768" s="3">
        <v>2135.0</v>
      </c>
      <c r="B7768" s="3" t="s">
        <v>11280</v>
      </c>
      <c r="C7768" s="3" t="s">
        <v>11281</v>
      </c>
      <c r="D7768" s="3" t="s">
        <v>4518</v>
      </c>
      <c r="E7768" s="3" t="s">
        <v>4517</v>
      </c>
      <c r="F7768" s="3" t="s">
        <v>4518</v>
      </c>
    </row>
    <row r="7769">
      <c r="A7769" s="3">
        <v>2136.0</v>
      </c>
      <c r="B7769" s="3" t="s">
        <v>11280</v>
      </c>
      <c r="C7769" s="3" t="s">
        <v>11281</v>
      </c>
      <c r="D7769" s="3" t="s">
        <v>17312</v>
      </c>
      <c r="E7769" s="3" t="s">
        <v>17313</v>
      </c>
      <c r="F7769" s="3" t="s">
        <v>17314</v>
      </c>
    </row>
    <row r="7770">
      <c r="A7770" s="3">
        <v>2137.0</v>
      </c>
      <c r="B7770" s="3" t="s">
        <v>11280</v>
      </c>
      <c r="C7770" s="3" t="s">
        <v>11281</v>
      </c>
      <c r="D7770" s="3" t="s">
        <v>17315</v>
      </c>
      <c r="E7770" s="3" t="s">
        <v>17316</v>
      </c>
      <c r="F7770" s="3" t="s">
        <v>17315</v>
      </c>
    </row>
    <row r="7771">
      <c r="A7771" s="3">
        <v>2138.0</v>
      </c>
      <c r="B7771" s="3" t="s">
        <v>11280</v>
      </c>
      <c r="C7771" s="3" t="s">
        <v>11281</v>
      </c>
      <c r="D7771" s="3" t="s">
        <v>17317</v>
      </c>
      <c r="E7771" s="3" t="s">
        <v>17318</v>
      </c>
      <c r="F7771" s="3" t="s">
        <v>17317</v>
      </c>
    </row>
    <row r="7772">
      <c r="A7772" s="3">
        <v>2139.0</v>
      </c>
      <c r="B7772" s="3" t="s">
        <v>11280</v>
      </c>
      <c r="C7772" s="3" t="s">
        <v>11281</v>
      </c>
      <c r="D7772" s="3" t="s">
        <v>17319</v>
      </c>
      <c r="E7772" s="3" t="s">
        <v>17320</v>
      </c>
      <c r="F7772" s="3" t="s">
        <v>17319</v>
      </c>
    </row>
    <row r="7773">
      <c r="A7773" s="3">
        <v>2140.0</v>
      </c>
      <c r="B7773" s="3" t="s">
        <v>11280</v>
      </c>
      <c r="C7773" s="3" t="s">
        <v>11281</v>
      </c>
      <c r="D7773" s="3" t="s">
        <v>4572</v>
      </c>
      <c r="E7773" s="3" t="s">
        <v>4573</v>
      </c>
      <c r="F7773" s="3" t="s">
        <v>4572</v>
      </c>
      <c r="G7773" s="3"/>
      <c r="H7773" s="3" t="s">
        <v>4574</v>
      </c>
      <c r="I7773" s="3" t="s">
        <v>4575</v>
      </c>
      <c r="J7773" s="3" t="s">
        <v>4576</v>
      </c>
      <c r="K7773" s="3" t="s">
        <v>4351</v>
      </c>
      <c r="L7773" s="3" t="s">
        <v>4572</v>
      </c>
      <c r="M7773" s="3" t="s">
        <v>4577</v>
      </c>
      <c r="N7773" s="3" t="s">
        <v>4578</v>
      </c>
      <c r="O7773" s="3" t="s">
        <v>17321</v>
      </c>
      <c r="P7773" s="3" t="s">
        <v>17322</v>
      </c>
      <c r="Q7773" s="3" t="s">
        <v>17323</v>
      </c>
      <c r="R7773" s="3" t="s">
        <v>4599</v>
      </c>
      <c r="S7773" s="3" t="s">
        <v>4600</v>
      </c>
      <c r="T7773" s="3" t="s">
        <v>4601</v>
      </c>
      <c r="U7773" s="3" t="s">
        <v>4602</v>
      </c>
      <c r="V7773" s="3" t="s">
        <v>4603</v>
      </c>
      <c r="W7773" s="3" t="s">
        <v>4604</v>
      </c>
      <c r="X7773" s="3" t="s">
        <v>4605</v>
      </c>
    </row>
    <row r="7774">
      <c r="A7774" s="3">
        <v>2141.0</v>
      </c>
      <c r="B7774" s="3" t="s">
        <v>11280</v>
      </c>
      <c r="C7774" s="3" t="s">
        <v>11281</v>
      </c>
      <c r="D7774" s="3" t="s">
        <v>4579</v>
      </c>
      <c r="E7774" s="3" t="s">
        <v>4580</v>
      </c>
      <c r="F7774" s="3" t="s">
        <v>4579</v>
      </c>
    </row>
    <row r="7775">
      <c r="A7775" s="3">
        <v>2142.0</v>
      </c>
      <c r="B7775" s="3" t="s">
        <v>11280</v>
      </c>
      <c r="C7775" s="3" t="s">
        <v>11281</v>
      </c>
      <c r="D7775" s="3" t="s">
        <v>17324</v>
      </c>
      <c r="E7775" s="3" t="s">
        <v>17325</v>
      </c>
      <c r="F7775" s="3" t="s">
        <v>17324</v>
      </c>
    </row>
    <row r="7776">
      <c r="A7776" s="3">
        <v>2143.0</v>
      </c>
      <c r="B7776" s="3" t="s">
        <v>11280</v>
      </c>
      <c r="C7776" s="3" t="s">
        <v>11281</v>
      </c>
      <c r="D7776" s="3" t="s">
        <v>17326</v>
      </c>
      <c r="E7776" s="3" t="s">
        <v>17327</v>
      </c>
      <c r="F7776" s="3" t="s">
        <v>17326</v>
      </c>
    </row>
    <row r="7777">
      <c r="A7777" s="3">
        <v>2144.0</v>
      </c>
      <c r="B7777" s="3" t="s">
        <v>11280</v>
      </c>
      <c r="C7777" s="3" t="s">
        <v>11281</v>
      </c>
      <c r="D7777" s="3" t="s">
        <v>17328</v>
      </c>
      <c r="E7777" s="3" t="s">
        <v>17329</v>
      </c>
      <c r="F7777" s="3" t="s">
        <v>17328</v>
      </c>
    </row>
    <row r="7778">
      <c r="A7778" s="3">
        <v>2145.0</v>
      </c>
      <c r="B7778" s="3" t="s">
        <v>11280</v>
      </c>
      <c r="C7778" s="3" t="s">
        <v>11281</v>
      </c>
      <c r="D7778" s="3" t="s">
        <v>17330</v>
      </c>
      <c r="E7778" s="3" t="s">
        <v>17331</v>
      </c>
      <c r="F7778" s="3" t="s">
        <v>17330</v>
      </c>
    </row>
    <row r="7779">
      <c r="A7779" s="3">
        <v>2146.0</v>
      </c>
      <c r="B7779" s="3" t="s">
        <v>11280</v>
      </c>
      <c r="C7779" s="3" t="s">
        <v>11281</v>
      </c>
      <c r="D7779" s="3" t="s">
        <v>17332</v>
      </c>
      <c r="E7779" s="3" t="s">
        <v>17333</v>
      </c>
      <c r="F7779" s="3" t="s">
        <v>17332</v>
      </c>
    </row>
    <row r="7780">
      <c r="A7780" s="3">
        <v>2147.0</v>
      </c>
      <c r="B7780" s="3" t="s">
        <v>11280</v>
      </c>
      <c r="C7780" s="3" t="s">
        <v>11281</v>
      </c>
      <c r="D7780" s="3" t="s">
        <v>17334</v>
      </c>
      <c r="E7780" s="3" t="s">
        <v>17335</v>
      </c>
      <c r="F7780" s="3" t="s">
        <v>17334</v>
      </c>
    </row>
    <row r="7781">
      <c r="A7781" s="3">
        <v>2148.0</v>
      </c>
      <c r="B7781" s="3" t="s">
        <v>11280</v>
      </c>
      <c r="C7781" s="3" t="s">
        <v>11281</v>
      </c>
      <c r="D7781" s="3" t="s">
        <v>17336</v>
      </c>
      <c r="E7781" s="3" t="s">
        <v>17337</v>
      </c>
      <c r="F7781" s="3" t="s">
        <v>17336</v>
      </c>
    </row>
    <row r="7782">
      <c r="A7782" s="3">
        <v>2149.0</v>
      </c>
      <c r="B7782" s="3" t="s">
        <v>11280</v>
      </c>
      <c r="C7782" s="3" t="s">
        <v>11281</v>
      </c>
      <c r="D7782" s="3" t="s">
        <v>17338</v>
      </c>
      <c r="E7782" s="3" t="s">
        <v>17339</v>
      </c>
      <c r="F7782" s="3" t="s">
        <v>17338</v>
      </c>
    </row>
    <row r="7783">
      <c r="A7783" s="3">
        <v>2150.0</v>
      </c>
      <c r="B7783" s="3" t="s">
        <v>11280</v>
      </c>
      <c r="C7783" s="3" t="s">
        <v>11281</v>
      </c>
      <c r="D7783" s="3" t="s">
        <v>4611</v>
      </c>
      <c r="E7783" s="3" t="s">
        <v>4610</v>
      </c>
      <c r="F7783" s="3" t="s">
        <v>4611</v>
      </c>
    </row>
    <row r="7784">
      <c r="A7784" s="3">
        <v>2151.0</v>
      </c>
      <c r="B7784" s="3" t="s">
        <v>11280</v>
      </c>
      <c r="C7784" s="3" t="s">
        <v>11281</v>
      </c>
      <c r="D7784" s="3" t="s">
        <v>8116</v>
      </c>
      <c r="E7784" s="3" t="s">
        <v>8117</v>
      </c>
      <c r="F7784" s="3" t="s">
        <v>8116</v>
      </c>
    </row>
    <row r="7785">
      <c r="A7785" s="3">
        <v>2152.0</v>
      </c>
      <c r="B7785" s="3" t="s">
        <v>11280</v>
      </c>
      <c r="C7785" s="3" t="s">
        <v>11281</v>
      </c>
      <c r="D7785" s="3" t="s">
        <v>17340</v>
      </c>
      <c r="E7785" s="3" t="s">
        <v>17341</v>
      </c>
      <c r="F7785" s="3" t="s">
        <v>17340</v>
      </c>
      <c r="G7785" s="3"/>
      <c r="H7785" s="3" t="s">
        <v>17342</v>
      </c>
      <c r="I7785" s="3" t="s">
        <v>17343</v>
      </c>
    </row>
    <row r="7786">
      <c r="A7786" s="3">
        <v>2153.0</v>
      </c>
      <c r="B7786" s="3" t="s">
        <v>11280</v>
      </c>
      <c r="C7786" s="3" t="s">
        <v>11281</v>
      </c>
      <c r="D7786" s="3" t="s">
        <v>17344</v>
      </c>
      <c r="E7786" s="3" t="s">
        <v>17345</v>
      </c>
      <c r="F7786" s="3" t="s">
        <v>17344</v>
      </c>
    </row>
    <row r="7787">
      <c r="A7787" s="3">
        <v>2154.0</v>
      </c>
      <c r="B7787" s="3" t="s">
        <v>11280</v>
      </c>
      <c r="C7787" s="3" t="s">
        <v>11281</v>
      </c>
      <c r="D7787" s="3" t="s">
        <v>17346</v>
      </c>
      <c r="E7787" s="3" t="s">
        <v>17347</v>
      </c>
      <c r="F7787" s="3" t="s">
        <v>17346</v>
      </c>
    </row>
    <row r="7788">
      <c r="A7788" s="3">
        <v>2155.0</v>
      </c>
      <c r="B7788" s="3" t="s">
        <v>11280</v>
      </c>
      <c r="C7788" s="3" t="s">
        <v>11281</v>
      </c>
      <c r="D7788" s="3" t="s">
        <v>17348</v>
      </c>
      <c r="E7788" s="3" t="s">
        <v>17349</v>
      </c>
      <c r="F7788" s="3" t="s">
        <v>17348</v>
      </c>
    </row>
    <row r="7789">
      <c r="A7789" s="3">
        <v>2156.0</v>
      </c>
      <c r="B7789" s="3" t="s">
        <v>11280</v>
      </c>
      <c r="C7789" s="3" t="s">
        <v>11281</v>
      </c>
      <c r="D7789" s="3" t="s">
        <v>17350</v>
      </c>
      <c r="E7789" s="3" t="s">
        <v>17351</v>
      </c>
      <c r="F7789" s="3" t="s">
        <v>17350</v>
      </c>
      <c r="G7789" s="3"/>
      <c r="H7789" s="3" t="s">
        <v>3672</v>
      </c>
      <c r="I7789" s="3" t="s">
        <v>13997</v>
      </c>
      <c r="J7789" s="3" t="s">
        <v>13998</v>
      </c>
      <c r="K7789" s="3" t="s">
        <v>14000</v>
      </c>
      <c r="L7789" s="3" t="s">
        <v>17352</v>
      </c>
      <c r="M7789" s="3" t="s">
        <v>17353</v>
      </c>
      <c r="N7789" s="3" t="s">
        <v>13764</v>
      </c>
      <c r="O7789" s="3" t="s">
        <v>13997</v>
      </c>
      <c r="P7789" s="3" t="s">
        <v>17354</v>
      </c>
      <c r="Q7789" s="3" t="s">
        <v>17353</v>
      </c>
      <c r="R7789" s="3" t="s">
        <v>17350</v>
      </c>
      <c r="S7789" s="3" t="s">
        <v>13999</v>
      </c>
      <c r="T7789" s="3" t="s">
        <v>14000</v>
      </c>
      <c r="U7789" s="3" t="s">
        <v>17355</v>
      </c>
      <c r="V7789" s="3" t="s">
        <v>17356</v>
      </c>
      <c r="W7789" s="3" t="s">
        <v>17352</v>
      </c>
      <c r="X7789" s="3" t="s">
        <v>17357</v>
      </c>
      <c r="Y7789" s="3" t="s">
        <v>5852</v>
      </c>
      <c r="Z7789" s="3" t="s">
        <v>17358</v>
      </c>
      <c r="AA7789" s="3" t="s">
        <v>17359</v>
      </c>
      <c r="AB7789" s="3" t="s">
        <v>17360</v>
      </c>
      <c r="AC7789" s="3" t="s">
        <v>17361</v>
      </c>
      <c r="AD7789" s="3" t="s">
        <v>17362</v>
      </c>
      <c r="AE7789" s="3" t="s">
        <v>17363</v>
      </c>
      <c r="AF7789" s="3" t="s">
        <v>13999</v>
      </c>
    </row>
    <row r="7790">
      <c r="A7790" s="3">
        <v>2157.0</v>
      </c>
      <c r="B7790" s="3" t="s">
        <v>11280</v>
      </c>
      <c r="C7790" s="3" t="s">
        <v>11281</v>
      </c>
      <c r="D7790" s="3" t="s">
        <v>8718</v>
      </c>
      <c r="E7790" s="3" t="s">
        <v>8717</v>
      </c>
      <c r="F7790" s="3" t="s">
        <v>8718</v>
      </c>
    </row>
    <row r="7791">
      <c r="A7791" s="3">
        <v>2158.0</v>
      </c>
      <c r="B7791" s="3" t="s">
        <v>11280</v>
      </c>
      <c r="C7791" s="3" t="s">
        <v>11281</v>
      </c>
      <c r="D7791" s="3" t="s">
        <v>17364</v>
      </c>
      <c r="E7791" s="3" t="s">
        <v>17365</v>
      </c>
      <c r="F7791" s="3" t="s">
        <v>17366</v>
      </c>
    </row>
    <row r="7792">
      <c r="A7792" s="3">
        <v>2159.0</v>
      </c>
      <c r="B7792" s="3" t="s">
        <v>11280</v>
      </c>
      <c r="C7792" s="3" t="s">
        <v>11281</v>
      </c>
      <c r="D7792" s="3" t="s">
        <v>17367</v>
      </c>
      <c r="E7792" s="3" t="s">
        <v>17368</v>
      </c>
      <c r="F7792" s="3" t="s">
        <v>17369</v>
      </c>
    </row>
    <row r="7793">
      <c r="A7793" s="3">
        <v>2160.0</v>
      </c>
      <c r="B7793" s="3" t="s">
        <v>11280</v>
      </c>
      <c r="C7793" s="3" t="s">
        <v>11281</v>
      </c>
      <c r="D7793" s="3" t="s">
        <v>17370</v>
      </c>
      <c r="E7793" s="3" t="s">
        <v>17371</v>
      </c>
      <c r="F7793" s="3" t="s">
        <v>17372</v>
      </c>
    </row>
    <row r="7794">
      <c r="A7794" s="3">
        <v>2161.0</v>
      </c>
      <c r="B7794" s="3" t="s">
        <v>11280</v>
      </c>
      <c r="C7794" s="3" t="s">
        <v>11281</v>
      </c>
      <c r="D7794" s="3" t="s">
        <v>17373</v>
      </c>
      <c r="E7794" s="3" t="s">
        <v>17374</v>
      </c>
      <c r="F7794" s="3" t="s">
        <v>17375</v>
      </c>
    </row>
    <row r="7795">
      <c r="A7795" s="3">
        <v>2162.0</v>
      </c>
      <c r="B7795" s="3" t="s">
        <v>11280</v>
      </c>
      <c r="C7795" s="3" t="s">
        <v>11281</v>
      </c>
      <c r="D7795" s="3" t="s">
        <v>17376</v>
      </c>
      <c r="E7795" s="3" t="s">
        <v>17377</v>
      </c>
      <c r="F7795" s="3" t="s">
        <v>17378</v>
      </c>
    </row>
    <row r="7796">
      <c r="A7796" s="3">
        <v>2163.0</v>
      </c>
      <c r="B7796" s="3" t="s">
        <v>11280</v>
      </c>
      <c r="C7796" s="3" t="s">
        <v>11281</v>
      </c>
      <c r="D7796" s="3" t="s">
        <v>17379</v>
      </c>
      <c r="E7796" s="3" t="s">
        <v>17380</v>
      </c>
      <c r="F7796" s="3" t="s">
        <v>17381</v>
      </c>
    </row>
    <row r="7797">
      <c r="A7797" s="3">
        <v>2164.0</v>
      </c>
      <c r="B7797" s="3" t="s">
        <v>11280</v>
      </c>
      <c r="C7797" s="3" t="s">
        <v>11281</v>
      </c>
      <c r="D7797" s="3" t="s">
        <v>17382</v>
      </c>
      <c r="E7797" s="3" t="s">
        <v>17383</v>
      </c>
      <c r="F7797" s="3" t="s">
        <v>17384</v>
      </c>
    </row>
    <row r="7798">
      <c r="A7798" s="3">
        <v>2165.0</v>
      </c>
      <c r="B7798" s="3" t="s">
        <v>11280</v>
      </c>
      <c r="C7798" s="3" t="s">
        <v>11281</v>
      </c>
      <c r="D7798" s="3" t="s">
        <v>17385</v>
      </c>
      <c r="E7798" s="3" t="s">
        <v>17386</v>
      </c>
      <c r="F7798" s="3" t="s">
        <v>17387</v>
      </c>
    </row>
    <row r="7799">
      <c r="A7799" s="3">
        <v>2166.0</v>
      </c>
      <c r="B7799" s="3" t="s">
        <v>11280</v>
      </c>
      <c r="C7799" s="3" t="s">
        <v>11281</v>
      </c>
      <c r="D7799" s="3" t="s">
        <v>17388</v>
      </c>
      <c r="E7799" s="3" t="s">
        <v>17389</v>
      </c>
      <c r="F7799" s="3" t="s">
        <v>17390</v>
      </c>
    </row>
    <row r="7800">
      <c r="A7800" s="3">
        <v>2167.0</v>
      </c>
      <c r="B7800" s="3" t="s">
        <v>11280</v>
      </c>
      <c r="C7800" s="3" t="s">
        <v>11281</v>
      </c>
      <c r="D7800" s="3" t="s">
        <v>17391</v>
      </c>
      <c r="E7800" s="3" t="s">
        <v>17392</v>
      </c>
      <c r="F7800" s="3" t="s">
        <v>17393</v>
      </c>
      <c r="G7800" s="3"/>
      <c r="H7800" s="3" t="s">
        <v>17394</v>
      </c>
      <c r="I7800" s="3" t="s">
        <v>17395</v>
      </c>
      <c r="J7800" s="3" t="s">
        <v>17394</v>
      </c>
      <c r="K7800" s="3" t="s">
        <v>17395</v>
      </c>
    </row>
    <row r="7801">
      <c r="A7801" s="3">
        <v>2168.0</v>
      </c>
      <c r="B7801" s="3" t="s">
        <v>11280</v>
      </c>
      <c r="C7801" s="3" t="s">
        <v>11281</v>
      </c>
      <c r="D7801" s="3" t="s">
        <v>17396</v>
      </c>
      <c r="E7801" s="3" t="s">
        <v>17397</v>
      </c>
      <c r="F7801" s="3" t="s">
        <v>17398</v>
      </c>
    </row>
    <row r="7802">
      <c r="A7802" s="3">
        <v>2169.0</v>
      </c>
      <c r="B7802" s="3" t="s">
        <v>11280</v>
      </c>
      <c r="C7802" s="3" t="s">
        <v>11281</v>
      </c>
      <c r="D7802" s="3" t="s">
        <v>17399</v>
      </c>
      <c r="E7802" s="3" t="s">
        <v>17400</v>
      </c>
      <c r="F7802" s="3" t="s">
        <v>17401</v>
      </c>
    </row>
    <row r="7803">
      <c r="A7803" s="3">
        <v>2170.0</v>
      </c>
      <c r="B7803" s="3" t="s">
        <v>11280</v>
      </c>
      <c r="C7803" s="3" t="s">
        <v>11281</v>
      </c>
      <c r="D7803" s="3" t="s">
        <v>17402</v>
      </c>
      <c r="E7803" s="3" t="s">
        <v>17403</v>
      </c>
      <c r="F7803" s="3" t="s">
        <v>17404</v>
      </c>
    </row>
    <row r="7804">
      <c r="A7804" s="3">
        <v>2171.0</v>
      </c>
      <c r="B7804" s="3" t="s">
        <v>11280</v>
      </c>
      <c r="C7804" s="3" t="s">
        <v>11281</v>
      </c>
      <c r="D7804" s="3" t="s">
        <v>17405</v>
      </c>
      <c r="E7804" s="3" t="s">
        <v>17406</v>
      </c>
      <c r="F7804" s="3" t="s">
        <v>17407</v>
      </c>
    </row>
    <row r="7805">
      <c r="A7805" s="3">
        <v>2172.0</v>
      </c>
      <c r="B7805" s="3" t="s">
        <v>11280</v>
      </c>
      <c r="C7805" s="3" t="s">
        <v>11281</v>
      </c>
      <c r="D7805" s="3" t="s">
        <v>17408</v>
      </c>
      <c r="E7805" s="3" t="s">
        <v>17409</v>
      </c>
      <c r="F7805" s="3" t="s">
        <v>17408</v>
      </c>
    </row>
    <row r="7806">
      <c r="A7806" s="3">
        <v>2173.0</v>
      </c>
      <c r="B7806" s="3" t="s">
        <v>11280</v>
      </c>
      <c r="C7806" s="3" t="s">
        <v>11281</v>
      </c>
      <c r="D7806" s="3" t="s">
        <v>17410</v>
      </c>
      <c r="E7806" s="3" t="s">
        <v>17411</v>
      </c>
      <c r="F7806" s="3" t="s">
        <v>17410</v>
      </c>
      <c r="G7806" s="3"/>
      <c r="H7806" s="3" t="s">
        <v>10618</v>
      </c>
      <c r="I7806" s="3" t="s">
        <v>17412</v>
      </c>
      <c r="J7806" s="3" t="s">
        <v>12492</v>
      </c>
      <c r="K7806" s="3" t="s">
        <v>17413</v>
      </c>
      <c r="L7806" s="3" t="s">
        <v>17414</v>
      </c>
      <c r="M7806" s="3" t="s">
        <v>17415</v>
      </c>
      <c r="N7806" s="3" t="s">
        <v>17416</v>
      </c>
      <c r="O7806" s="3" t="s">
        <v>17417</v>
      </c>
      <c r="P7806" s="3" t="s">
        <v>17418</v>
      </c>
      <c r="Q7806" s="3" t="s">
        <v>5285</v>
      </c>
      <c r="R7806" s="3" t="s">
        <v>12953</v>
      </c>
      <c r="S7806" s="3" t="s">
        <v>17413</v>
      </c>
      <c r="T7806" s="3" t="s">
        <v>17413</v>
      </c>
      <c r="U7806" s="3" t="s">
        <v>17419</v>
      </c>
      <c r="V7806" s="3" t="s">
        <v>17413</v>
      </c>
      <c r="W7806" s="3" t="s">
        <v>17420</v>
      </c>
      <c r="X7806" s="3" t="s">
        <v>17421</v>
      </c>
      <c r="Y7806" s="3" t="s">
        <v>17413</v>
      </c>
      <c r="Z7806" s="3" t="s">
        <v>17419</v>
      </c>
      <c r="AA7806" s="3" t="s">
        <v>5285</v>
      </c>
      <c r="AB7806" s="3" t="s">
        <v>17422</v>
      </c>
      <c r="AC7806" s="3" t="s">
        <v>9586</v>
      </c>
      <c r="AD7806" s="3" t="s">
        <v>17413</v>
      </c>
      <c r="AE7806" s="3" t="s">
        <v>17423</v>
      </c>
      <c r="AF7806" s="3" t="s">
        <v>17424</v>
      </c>
      <c r="AG7806" s="3" t="s">
        <v>17425</v>
      </c>
      <c r="AH7806" s="3" t="s">
        <v>12492</v>
      </c>
      <c r="AI7806" s="3" t="s">
        <v>17413</v>
      </c>
      <c r="AJ7806" s="3" t="s">
        <v>17425</v>
      </c>
      <c r="AK7806" s="3" t="s">
        <v>17426</v>
      </c>
      <c r="AL7806" s="3" t="s">
        <v>17427</v>
      </c>
      <c r="AM7806" s="3" t="s">
        <v>17428</v>
      </c>
    </row>
    <row r="7807">
      <c r="A7807" s="3">
        <v>2174.0</v>
      </c>
      <c r="B7807" s="3" t="s">
        <v>11280</v>
      </c>
      <c r="C7807" s="3" t="s">
        <v>11281</v>
      </c>
      <c r="D7807" s="3" t="s">
        <v>17429</v>
      </c>
      <c r="E7807" s="3" t="s">
        <v>17430</v>
      </c>
      <c r="F7807" s="3" t="s">
        <v>17429</v>
      </c>
    </row>
    <row r="7808">
      <c r="A7808" s="3">
        <v>2175.0</v>
      </c>
      <c r="B7808" s="3" t="s">
        <v>11280</v>
      </c>
      <c r="C7808" s="3" t="s">
        <v>11281</v>
      </c>
      <c r="D7808" s="3" t="s">
        <v>17431</v>
      </c>
      <c r="E7808" s="3" t="s">
        <v>17432</v>
      </c>
      <c r="F7808" s="3" t="s">
        <v>17431</v>
      </c>
    </row>
    <row r="7809">
      <c r="A7809" s="3">
        <v>2176.0</v>
      </c>
      <c r="B7809" s="3" t="s">
        <v>11280</v>
      </c>
      <c r="C7809" s="3" t="s">
        <v>11281</v>
      </c>
      <c r="D7809" s="3" t="s">
        <v>17433</v>
      </c>
      <c r="E7809" s="3" t="s">
        <v>17434</v>
      </c>
      <c r="F7809" s="3" t="s">
        <v>17433</v>
      </c>
    </row>
    <row r="7810">
      <c r="A7810" s="3">
        <v>2177.0</v>
      </c>
      <c r="B7810" s="3" t="s">
        <v>11280</v>
      </c>
      <c r="C7810" s="3" t="s">
        <v>11281</v>
      </c>
      <c r="D7810" s="3" t="s">
        <v>17435</v>
      </c>
      <c r="E7810" s="3" t="s">
        <v>17436</v>
      </c>
      <c r="F7810" s="3" t="s">
        <v>17435</v>
      </c>
    </row>
    <row r="7811">
      <c r="A7811" s="3">
        <v>2178.0</v>
      </c>
      <c r="B7811" s="3" t="s">
        <v>11280</v>
      </c>
      <c r="C7811" s="3" t="s">
        <v>11281</v>
      </c>
      <c r="D7811" s="3" t="s">
        <v>17437</v>
      </c>
      <c r="E7811" s="3" t="s">
        <v>17438</v>
      </c>
      <c r="F7811" s="3" t="s">
        <v>17437</v>
      </c>
    </row>
    <row r="7812">
      <c r="A7812" s="3">
        <v>2179.0</v>
      </c>
      <c r="B7812" s="3" t="s">
        <v>11280</v>
      </c>
      <c r="C7812" s="3" t="s">
        <v>11281</v>
      </c>
      <c r="D7812" s="3" t="s">
        <v>17439</v>
      </c>
      <c r="E7812" s="3" t="s">
        <v>17440</v>
      </c>
      <c r="F7812" s="3" t="s">
        <v>17439</v>
      </c>
    </row>
    <row r="7813">
      <c r="A7813" s="3">
        <v>2180.0</v>
      </c>
      <c r="B7813" s="3" t="s">
        <v>11280</v>
      </c>
      <c r="C7813" s="3" t="s">
        <v>11281</v>
      </c>
      <c r="D7813" s="3" t="s">
        <v>17441</v>
      </c>
      <c r="E7813" s="3" t="s">
        <v>17442</v>
      </c>
      <c r="F7813" s="3" t="s">
        <v>17441</v>
      </c>
      <c r="G7813" s="3"/>
      <c r="H7813" s="3" t="s">
        <v>17443</v>
      </c>
      <c r="I7813" s="3" t="s">
        <v>17444</v>
      </c>
      <c r="J7813" s="3" t="s">
        <v>12876</v>
      </c>
      <c r="K7813" s="3" t="s">
        <v>17445</v>
      </c>
      <c r="L7813" s="3" t="s">
        <v>17446</v>
      </c>
      <c r="M7813" s="3" t="s">
        <v>17447</v>
      </c>
      <c r="N7813" s="3" t="s">
        <v>3892</v>
      </c>
      <c r="O7813" s="3" t="s">
        <v>11211</v>
      </c>
      <c r="P7813" s="3" t="s">
        <v>17448</v>
      </c>
      <c r="Q7813" s="3" t="s">
        <v>17449</v>
      </c>
      <c r="R7813" s="3" t="s">
        <v>5321</v>
      </c>
      <c r="S7813" s="3" t="s">
        <v>17450</v>
      </c>
      <c r="T7813" s="3" t="s">
        <v>5270</v>
      </c>
      <c r="U7813" s="3" t="s">
        <v>17451</v>
      </c>
      <c r="V7813" s="3" t="s">
        <v>17452</v>
      </c>
      <c r="W7813" s="3" t="s">
        <v>17453</v>
      </c>
      <c r="X7813" s="3" t="s">
        <v>17454</v>
      </c>
      <c r="Y7813" s="3" t="s">
        <v>17455</v>
      </c>
    </row>
    <row r="7814">
      <c r="A7814" s="3">
        <v>2181.0</v>
      </c>
      <c r="B7814" s="3" t="s">
        <v>11280</v>
      </c>
      <c r="C7814" s="3" t="s">
        <v>11281</v>
      </c>
      <c r="D7814" s="3" t="s">
        <v>17456</v>
      </c>
      <c r="E7814" s="3" t="s">
        <v>17457</v>
      </c>
      <c r="F7814" s="3" t="s">
        <v>17456</v>
      </c>
    </row>
    <row r="7815">
      <c r="A7815" s="3">
        <v>2182.0</v>
      </c>
      <c r="B7815" s="3" t="s">
        <v>11280</v>
      </c>
      <c r="C7815" s="3" t="s">
        <v>11281</v>
      </c>
      <c r="D7815" s="3" t="s">
        <v>17458</v>
      </c>
      <c r="E7815" s="3" t="s">
        <v>17459</v>
      </c>
      <c r="F7815" s="3" t="s">
        <v>17458</v>
      </c>
    </row>
    <row r="7816">
      <c r="A7816" s="3">
        <v>2183.0</v>
      </c>
      <c r="B7816" s="3" t="s">
        <v>11280</v>
      </c>
      <c r="C7816" s="3" t="s">
        <v>11281</v>
      </c>
      <c r="D7816" s="3" t="s">
        <v>4690</v>
      </c>
      <c r="E7816" s="3" t="s">
        <v>4689</v>
      </c>
      <c r="F7816" s="3" t="s">
        <v>4690</v>
      </c>
    </row>
    <row r="7817">
      <c r="A7817" s="3">
        <v>2184.0</v>
      </c>
      <c r="B7817" s="3" t="s">
        <v>11280</v>
      </c>
      <c r="C7817" s="3" t="s">
        <v>11281</v>
      </c>
      <c r="D7817" s="3" t="s">
        <v>17460</v>
      </c>
      <c r="E7817" s="3" t="s">
        <v>17461</v>
      </c>
      <c r="F7817" s="3" t="s">
        <v>17460</v>
      </c>
    </row>
    <row r="7818">
      <c r="A7818" s="3">
        <v>2185.0</v>
      </c>
      <c r="B7818" s="3" t="s">
        <v>11280</v>
      </c>
      <c r="C7818" s="3" t="s">
        <v>11281</v>
      </c>
      <c r="D7818" s="3" t="s">
        <v>17462</v>
      </c>
      <c r="E7818" s="3" t="s">
        <v>17463</v>
      </c>
      <c r="F7818" s="3" t="s">
        <v>17462</v>
      </c>
      <c r="G7818" s="3"/>
      <c r="H7818" s="3" t="s">
        <v>10618</v>
      </c>
      <c r="I7818" s="3" t="s">
        <v>17464</v>
      </c>
      <c r="J7818" s="3" t="s">
        <v>17465</v>
      </c>
      <c r="K7818" s="3" t="s">
        <v>17466</v>
      </c>
      <c r="L7818" s="3" t="s">
        <v>17467</v>
      </c>
      <c r="M7818" s="3" t="s">
        <v>17468</v>
      </c>
      <c r="N7818" s="3" t="s">
        <v>17469</v>
      </c>
      <c r="O7818" s="3" t="s">
        <v>17470</v>
      </c>
      <c r="P7818" s="3" t="s">
        <v>11251</v>
      </c>
      <c r="Q7818" s="3" t="s">
        <v>17471</v>
      </c>
      <c r="R7818" s="3" t="s">
        <v>17472</v>
      </c>
      <c r="S7818" s="3" t="s">
        <v>17473</v>
      </c>
      <c r="T7818" s="3" t="s">
        <v>17474</v>
      </c>
      <c r="U7818" s="3" t="s">
        <v>17475</v>
      </c>
      <c r="V7818" s="3" t="s">
        <v>17476</v>
      </c>
      <c r="W7818" s="3" t="s">
        <v>17477</v>
      </c>
      <c r="X7818" s="3" t="s">
        <v>17469</v>
      </c>
      <c r="Y7818" s="3" t="s">
        <v>17478</v>
      </c>
      <c r="Z7818" s="3" t="s">
        <v>11251</v>
      </c>
      <c r="AA7818" s="3" t="s">
        <v>17469</v>
      </c>
      <c r="AB7818" s="3" t="s">
        <v>1688</v>
      </c>
      <c r="AC7818" s="3" t="s">
        <v>13530</v>
      </c>
      <c r="AD7818" s="3" t="s">
        <v>17479</v>
      </c>
      <c r="AE7818" s="3" t="s">
        <v>1621</v>
      </c>
      <c r="AF7818" s="3" t="s">
        <v>17480</v>
      </c>
      <c r="AG7818" s="3" t="s">
        <v>11251</v>
      </c>
      <c r="AH7818" s="3" t="s">
        <v>7604</v>
      </c>
      <c r="AI7818" s="3" t="s">
        <v>17481</v>
      </c>
      <c r="AJ7818" s="3" t="s">
        <v>11251</v>
      </c>
      <c r="AK7818" s="3" t="s">
        <v>17482</v>
      </c>
      <c r="AL7818" s="3" t="s">
        <v>11251</v>
      </c>
      <c r="AM7818" s="3" t="s">
        <v>17483</v>
      </c>
      <c r="AN7818" s="3" t="s">
        <v>17484</v>
      </c>
      <c r="AO7818" s="3" t="s">
        <v>17485</v>
      </c>
      <c r="AP7818" s="3" t="s">
        <v>11251</v>
      </c>
      <c r="AQ7818" s="3" t="s">
        <v>17486</v>
      </c>
      <c r="AR7818" s="3" t="s">
        <v>17487</v>
      </c>
      <c r="AS7818" s="3" t="s">
        <v>17488</v>
      </c>
      <c r="AT7818" s="3" t="s">
        <v>17489</v>
      </c>
      <c r="AU7818" s="3" t="s">
        <v>17490</v>
      </c>
      <c r="AV7818" s="3" t="s">
        <v>17491</v>
      </c>
      <c r="AW7818" s="3" t="s">
        <v>17492</v>
      </c>
      <c r="AX7818" s="3" t="s">
        <v>11251</v>
      </c>
      <c r="AY7818" s="3" t="s">
        <v>11251</v>
      </c>
      <c r="AZ7818" s="3" t="s">
        <v>17493</v>
      </c>
      <c r="BA7818" s="3" t="s">
        <v>17494</v>
      </c>
      <c r="BB7818" s="3" t="s">
        <v>17482</v>
      </c>
      <c r="BC7818" s="3" t="s">
        <v>11251</v>
      </c>
      <c r="BD7818" s="3" t="s">
        <v>17495</v>
      </c>
      <c r="BE7818" s="3" t="s">
        <v>17496</v>
      </c>
      <c r="BF7818" s="3" t="s">
        <v>17497</v>
      </c>
      <c r="BG7818" s="3" t="s">
        <v>17492</v>
      </c>
      <c r="BH7818" s="3" t="s">
        <v>17498</v>
      </c>
      <c r="BI7818" s="3" t="s">
        <v>17499</v>
      </c>
      <c r="BJ7818" s="3" t="s">
        <v>17500</v>
      </c>
      <c r="BK7818" s="3" t="s">
        <v>17501</v>
      </c>
      <c r="BL7818" s="3" t="s">
        <v>17502</v>
      </c>
      <c r="BM7818" s="3" t="s">
        <v>17503</v>
      </c>
      <c r="BN7818" s="3" t="s">
        <v>11251</v>
      </c>
      <c r="BO7818" s="3" t="s">
        <v>17504</v>
      </c>
      <c r="BP7818" s="3" t="s">
        <v>11251</v>
      </c>
      <c r="BQ7818" s="3" t="s">
        <v>10169</v>
      </c>
      <c r="BR7818" s="3" t="s">
        <v>17505</v>
      </c>
      <c r="BS7818" s="3" t="s">
        <v>17504</v>
      </c>
      <c r="BT7818" s="3" t="s">
        <v>14440</v>
      </c>
      <c r="BU7818" s="3" t="s">
        <v>17506</v>
      </c>
      <c r="BV7818" s="3" t="s">
        <v>11251</v>
      </c>
      <c r="BW7818" s="3" t="s">
        <v>17507</v>
      </c>
      <c r="BX7818" s="3" t="s">
        <v>11251</v>
      </c>
      <c r="BY7818" s="3" t="s">
        <v>17508</v>
      </c>
      <c r="BZ7818" s="3" t="s">
        <v>17509</v>
      </c>
      <c r="CA7818" s="3" t="s">
        <v>17510</v>
      </c>
      <c r="CB7818" s="3" t="s">
        <v>11251</v>
      </c>
      <c r="CC7818" s="3" t="s">
        <v>10855</v>
      </c>
      <c r="CD7818" s="3" t="s">
        <v>11251</v>
      </c>
      <c r="CE7818" s="3" t="s">
        <v>17466</v>
      </c>
      <c r="CF7818" s="3" t="s">
        <v>1621</v>
      </c>
      <c r="CG7818" s="3" t="s">
        <v>14006</v>
      </c>
      <c r="CH7818" s="3" t="s">
        <v>11251</v>
      </c>
      <c r="CI7818" s="3" t="s">
        <v>2681</v>
      </c>
      <c r="CJ7818" s="3" t="s">
        <v>15048</v>
      </c>
      <c r="CK7818" s="3" t="s">
        <v>17511</v>
      </c>
      <c r="CL7818" s="3" t="s">
        <v>11251</v>
      </c>
      <c r="CM7818" s="3" t="s">
        <v>17512</v>
      </c>
    </row>
    <row r="7819">
      <c r="A7819" s="3">
        <v>2186.0</v>
      </c>
      <c r="B7819" s="3" t="s">
        <v>11280</v>
      </c>
      <c r="C7819" s="3" t="s">
        <v>11281</v>
      </c>
      <c r="D7819" s="3" t="s">
        <v>17513</v>
      </c>
      <c r="E7819" s="3" t="s">
        <v>17514</v>
      </c>
      <c r="F7819" s="3" t="s">
        <v>17513</v>
      </c>
    </row>
    <row r="7820">
      <c r="A7820" s="3">
        <v>2187.0</v>
      </c>
      <c r="B7820" s="3" t="s">
        <v>11280</v>
      </c>
      <c r="C7820" s="3" t="s">
        <v>11281</v>
      </c>
      <c r="D7820" s="3" t="s">
        <v>17515</v>
      </c>
      <c r="E7820" s="3" t="s">
        <v>17516</v>
      </c>
      <c r="F7820" s="3" t="s">
        <v>17515</v>
      </c>
    </row>
    <row r="7821">
      <c r="A7821" s="3">
        <v>2188.0</v>
      </c>
      <c r="B7821" s="3" t="s">
        <v>11280</v>
      </c>
      <c r="C7821" s="3" t="s">
        <v>11281</v>
      </c>
      <c r="D7821" s="3" t="s">
        <v>17517</v>
      </c>
      <c r="E7821" s="3" t="s">
        <v>17518</v>
      </c>
      <c r="F7821" s="3" t="s">
        <v>17517</v>
      </c>
    </row>
    <row r="7822">
      <c r="A7822" s="3">
        <v>2189.0</v>
      </c>
      <c r="B7822" s="3" t="s">
        <v>11280</v>
      </c>
      <c r="C7822" s="3" t="s">
        <v>11281</v>
      </c>
      <c r="D7822" s="3" t="s">
        <v>4699</v>
      </c>
      <c r="E7822" s="3" t="s">
        <v>4698</v>
      </c>
      <c r="F7822" s="3" t="s">
        <v>4699</v>
      </c>
    </row>
    <row r="7823">
      <c r="A7823" s="3">
        <v>2190.0</v>
      </c>
      <c r="B7823" s="3" t="s">
        <v>11280</v>
      </c>
      <c r="C7823" s="3" t="s">
        <v>11281</v>
      </c>
      <c r="D7823" s="3" t="s">
        <v>17519</v>
      </c>
      <c r="E7823" s="3" t="s">
        <v>17520</v>
      </c>
      <c r="F7823" s="3" t="s">
        <v>17519</v>
      </c>
      <c r="G7823" s="3"/>
      <c r="H7823" s="3" t="s">
        <v>17521</v>
      </c>
      <c r="I7823" s="3" t="s">
        <v>17166</v>
      </c>
      <c r="J7823" s="3" t="s">
        <v>17522</v>
      </c>
      <c r="K7823" s="3" t="s">
        <v>5747</v>
      </c>
    </row>
    <row r="7824">
      <c r="A7824" s="3">
        <v>2191.0</v>
      </c>
      <c r="B7824" s="3" t="s">
        <v>11280</v>
      </c>
      <c r="C7824" s="3" t="s">
        <v>11281</v>
      </c>
      <c r="D7824" s="3" t="s">
        <v>17523</v>
      </c>
      <c r="E7824" s="3" t="s">
        <v>17524</v>
      </c>
      <c r="F7824" s="3" t="s">
        <v>17523</v>
      </c>
    </row>
    <row r="7825">
      <c r="A7825" s="3">
        <v>2192.0</v>
      </c>
      <c r="B7825" s="3" t="s">
        <v>11280</v>
      </c>
      <c r="C7825" s="3" t="s">
        <v>11281</v>
      </c>
      <c r="D7825" s="3" t="s">
        <v>7616</v>
      </c>
      <c r="E7825" s="3" t="s">
        <v>7617</v>
      </c>
      <c r="F7825" s="3" t="s">
        <v>7616</v>
      </c>
      <c r="G7825" s="3"/>
      <c r="H7825" s="3" t="s">
        <v>1826</v>
      </c>
      <c r="I7825" s="3" t="s">
        <v>3889</v>
      </c>
      <c r="J7825" s="3" t="s">
        <v>3890</v>
      </c>
      <c r="K7825" s="3" t="s">
        <v>3893</v>
      </c>
      <c r="L7825" s="3" t="s">
        <v>3894</v>
      </c>
      <c r="M7825" s="3" t="s">
        <v>2055</v>
      </c>
      <c r="N7825" s="3" t="s">
        <v>17525</v>
      </c>
      <c r="O7825" s="3" t="s">
        <v>17526</v>
      </c>
      <c r="P7825" s="3" t="s">
        <v>17527</v>
      </c>
      <c r="Q7825" s="3" t="s">
        <v>17528</v>
      </c>
      <c r="R7825" s="3" t="s">
        <v>5363</v>
      </c>
      <c r="S7825" s="3" t="s">
        <v>17529</v>
      </c>
    </row>
    <row r="7826">
      <c r="A7826" s="3">
        <v>2193.0</v>
      </c>
      <c r="B7826" s="3" t="s">
        <v>11280</v>
      </c>
      <c r="C7826" s="3" t="s">
        <v>11281</v>
      </c>
      <c r="D7826" s="3" t="s">
        <v>17530</v>
      </c>
      <c r="E7826" s="3" t="s">
        <v>17531</v>
      </c>
      <c r="F7826" s="3" t="s">
        <v>17530</v>
      </c>
    </row>
    <row r="7827">
      <c r="A7827" s="3">
        <v>2194.0</v>
      </c>
      <c r="B7827" s="3" t="s">
        <v>11280</v>
      </c>
      <c r="C7827" s="3" t="s">
        <v>11281</v>
      </c>
      <c r="D7827" s="3" t="s">
        <v>17532</v>
      </c>
      <c r="E7827" s="3" t="s">
        <v>17533</v>
      </c>
      <c r="F7827" s="3" t="s">
        <v>17532</v>
      </c>
    </row>
    <row r="7828">
      <c r="A7828" s="3">
        <v>2195.0</v>
      </c>
      <c r="B7828" s="3" t="s">
        <v>11280</v>
      </c>
      <c r="C7828" s="3" t="s">
        <v>11281</v>
      </c>
      <c r="D7828" s="3" t="s">
        <v>17534</v>
      </c>
      <c r="E7828" s="3" t="s">
        <v>17535</v>
      </c>
      <c r="F7828" s="3" t="s">
        <v>17534</v>
      </c>
    </row>
    <row r="7829">
      <c r="A7829" s="3">
        <v>2196.0</v>
      </c>
      <c r="B7829" s="3" t="s">
        <v>11280</v>
      </c>
      <c r="C7829" s="3" t="s">
        <v>11281</v>
      </c>
      <c r="D7829" s="3" t="s">
        <v>4720</v>
      </c>
      <c r="E7829" s="3" t="s">
        <v>7628</v>
      </c>
      <c r="F7829" s="3" t="s">
        <v>4720</v>
      </c>
    </row>
    <row r="7830">
      <c r="A7830" s="3">
        <v>2197.0</v>
      </c>
      <c r="B7830" s="3" t="s">
        <v>11280</v>
      </c>
      <c r="C7830" s="3" t="s">
        <v>11281</v>
      </c>
      <c r="D7830" s="3" t="s">
        <v>17536</v>
      </c>
      <c r="E7830" s="3" t="s">
        <v>17537</v>
      </c>
      <c r="F7830" s="3" t="s">
        <v>17536</v>
      </c>
    </row>
    <row r="7831">
      <c r="A7831" s="3">
        <v>2198.0</v>
      </c>
      <c r="B7831" s="3" t="s">
        <v>11280</v>
      </c>
      <c r="C7831" s="3" t="s">
        <v>11281</v>
      </c>
      <c r="D7831" s="3" t="s">
        <v>17538</v>
      </c>
      <c r="E7831" s="3" t="s">
        <v>17539</v>
      </c>
      <c r="F7831" s="3" t="s">
        <v>17538</v>
      </c>
      <c r="G7831" s="3"/>
      <c r="H7831" s="3" t="s">
        <v>17540</v>
      </c>
    </row>
    <row r="7832">
      <c r="A7832" s="3">
        <v>2199.0</v>
      </c>
      <c r="B7832" s="3" t="s">
        <v>11280</v>
      </c>
      <c r="C7832" s="3" t="s">
        <v>11281</v>
      </c>
      <c r="D7832" s="3" t="s">
        <v>17541</v>
      </c>
      <c r="E7832" s="3" t="s">
        <v>17542</v>
      </c>
      <c r="F7832" s="3" t="s">
        <v>17541</v>
      </c>
    </row>
    <row r="7833">
      <c r="A7833" s="3">
        <v>2200.0</v>
      </c>
      <c r="B7833" s="3" t="s">
        <v>11280</v>
      </c>
      <c r="C7833" s="3" t="s">
        <v>11281</v>
      </c>
      <c r="D7833" s="3" t="s">
        <v>17543</v>
      </c>
      <c r="E7833" s="3" t="s">
        <v>17544</v>
      </c>
      <c r="F7833" s="3" t="s">
        <v>17543</v>
      </c>
    </row>
    <row r="7834">
      <c r="A7834" s="3">
        <v>2201.0</v>
      </c>
      <c r="B7834" s="3" t="s">
        <v>11280</v>
      </c>
      <c r="C7834" s="3" t="s">
        <v>11281</v>
      </c>
      <c r="D7834" s="3" t="s">
        <v>17545</v>
      </c>
      <c r="E7834" s="3" t="s">
        <v>17546</v>
      </c>
      <c r="F7834" s="3" t="s">
        <v>17545</v>
      </c>
    </row>
    <row r="7835">
      <c r="A7835" s="3">
        <v>2202.0</v>
      </c>
      <c r="B7835" s="3" t="s">
        <v>11280</v>
      </c>
      <c r="C7835" s="3" t="s">
        <v>11281</v>
      </c>
      <c r="D7835" s="3" t="s">
        <v>7632</v>
      </c>
      <c r="E7835" s="3" t="s">
        <v>7634</v>
      </c>
      <c r="F7835" s="3" t="s">
        <v>7632</v>
      </c>
    </row>
    <row r="7836">
      <c r="A7836" s="3">
        <v>2203.0</v>
      </c>
      <c r="B7836" s="3" t="s">
        <v>11280</v>
      </c>
      <c r="C7836" s="3" t="s">
        <v>11281</v>
      </c>
      <c r="D7836" s="3" t="s">
        <v>17547</v>
      </c>
      <c r="E7836" s="3" t="s">
        <v>17548</v>
      </c>
      <c r="F7836" s="3" t="s">
        <v>17547</v>
      </c>
    </row>
    <row r="7837">
      <c r="A7837" s="3">
        <v>2204.0</v>
      </c>
      <c r="B7837" s="3" t="s">
        <v>11280</v>
      </c>
      <c r="C7837" s="3" t="s">
        <v>11281</v>
      </c>
      <c r="D7837" s="3" t="s">
        <v>17549</v>
      </c>
      <c r="E7837" s="3" t="s">
        <v>17550</v>
      </c>
      <c r="F7837" s="3" t="s">
        <v>17549</v>
      </c>
    </row>
    <row r="7838">
      <c r="A7838" s="3">
        <v>2205.0</v>
      </c>
      <c r="B7838" s="3" t="s">
        <v>11280</v>
      </c>
      <c r="C7838" s="3" t="s">
        <v>11281</v>
      </c>
      <c r="D7838" s="3" t="s">
        <v>17551</v>
      </c>
      <c r="E7838" s="3" t="s">
        <v>17552</v>
      </c>
      <c r="F7838" s="3" t="s">
        <v>17551</v>
      </c>
    </row>
    <row r="7839">
      <c r="A7839" s="3">
        <v>2206.0</v>
      </c>
      <c r="B7839" s="3" t="s">
        <v>11280</v>
      </c>
      <c r="C7839" s="3" t="s">
        <v>11281</v>
      </c>
      <c r="D7839" s="3" t="s">
        <v>17553</v>
      </c>
      <c r="E7839" s="3" t="s">
        <v>17554</v>
      </c>
      <c r="F7839" s="3" t="s">
        <v>17553</v>
      </c>
    </row>
    <row r="7840">
      <c r="A7840" s="3">
        <v>2207.0</v>
      </c>
      <c r="B7840" s="3" t="s">
        <v>11280</v>
      </c>
      <c r="C7840" s="3" t="s">
        <v>11281</v>
      </c>
      <c r="D7840" s="3" t="s">
        <v>17555</v>
      </c>
      <c r="E7840" s="3" t="s">
        <v>17556</v>
      </c>
      <c r="F7840" s="3" t="s">
        <v>17555</v>
      </c>
    </row>
    <row r="7841">
      <c r="A7841" s="3">
        <v>2208.0</v>
      </c>
      <c r="B7841" s="3" t="s">
        <v>11280</v>
      </c>
      <c r="C7841" s="3" t="s">
        <v>11281</v>
      </c>
      <c r="D7841" s="3" t="s">
        <v>17557</v>
      </c>
      <c r="E7841" s="3" t="s">
        <v>17558</v>
      </c>
      <c r="F7841" s="3" t="s">
        <v>17557</v>
      </c>
    </row>
    <row r="7842">
      <c r="A7842" s="3">
        <v>2209.0</v>
      </c>
      <c r="B7842" s="3" t="s">
        <v>11280</v>
      </c>
      <c r="C7842" s="3" t="s">
        <v>11281</v>
      </c>
      <c r="D7842" s="3" t="s">
        <v>17559</v>
      </c>
      <c r="E7842" s="3" t="s">
        <v>17560</v>
      </c>
      <c r="F7842" s="3" t="s">
        <v>17559</v>
      </c>
    </row>
    <row r="7843">
      <c r="A7843" s="3">
        <v>2210.0</v>
      </c>
      <c r="B7843" s="3" t="s">
        <v>11280</v>
      </c>
      <c r="C7843" s="3" t="s">
        <v>11281</v>
      </c>
      <c r="D7843" s="3" t="s">
        <v>17561</v>
      </c>
      <c r="E7843" s="3" t="s">
        <v>4703</v>
      </c>
      <c r="F7843" s="3" t="s">
        <v>172</v>
      </c>
      <c r="G7843" s="3"/>
      <c r="H7843" s="3" t="s">
        <v>17562</v>
      </c>
      <c r="I7843" s="3" t="s">
        <v>17563</v>
      </c>
      <c r="J7843" s="3" t="s">
        <v>4389</v>
      </c>
      <c r="K7843" s="3" t="s">
        <v>4390</v>
      </c>
      <c r="L7843" s="3" t="s">
        <v>4391</v>
      </c>
      <c r="M7843" s="3" t="s">
        <v>4389</v>
      </c>
      <c r="N7843" s="3" t="s">
        <v>4392</v>
      </c>
      <c r="O7843" s="3" t="s">
        <v>4393</v>
      </c>
      <c r="P7843" s="3" t="s">
        <v>4394</v>
      </c>
      <c r="Q7843" s="3" t="s">
        <v>4395</v>
      </c>
      <c r="R7843" s="3" t="s">
        <v>4396</v>
      </c>
      <c r="S7843" s="3" t="s">
        <v>4397</v>
      </c>
      <c r="T7843" s="3" t="s">
        <v>17564</v>
      </c>
      <c r="U7843" s="3" t="s">
        <v>17565</v>
      </c>
      <c r="V7843" s="3" t="s">
        <v>17566</v>
      </c>
      <c r="W7843" s="3" t="s">
        <v>4389</v>
      </c>
      <c r="X7843" s="3" t="s">
        <v>4389</v>
      </c>
      <c r="Y7843" s="3" t="s">
        <v>17567</v>
      </c>
      <c r="Z7843" s="3" t="s">
        <v>4392</v>
      </c>
    </row>
    <row r="7844">
      <c r="A7844" s="3">
        <v>2211.0</v>
      </c>
      <c r="B7844" s="3" t="s">
        <v>11280</v>
      </c>
      <c r="C7844" s="3" t="s">
        <v>11281</v>
      </c>
      <c r="D7844" s="3" t="s">
        <v>17568</v>
      </c>
      <c r="E7844" s="3" t="s">
        <v>4689</v>
      </c>
      <c r="F7844" s="3" t="s">
        <v>4690</v>
      </c>
    </row>
    <row r="7845">
      <c r="A7845" s="3">
        <v>2212.0</v>
      </c>
      <c r="B7845" s="3" t="s">
        <v>11280</v>
      </c>
      <c r="C7845" s="3" t="s">
        <v>11281</v>
      </c>
      <c r="D7845" s="3" t="s">
        <v>17569</v>
      </c>
      <c r="E7845" s="3" t="s">
        <v>17461</v>
      </c>
      <c r="F7845" s="3" t="s">
        <v>17460</v>
      </c>
    </row>
    <row r="7846">
      <c r="A7846" s="3">
        <v>2213.0</v>
      </c>
      <c r="B7846" s="3" t="s">
        <v>11280</v>
      </c>
      <c r="C7846" s="3" t="s">
        <v>11281</v>
      </c>
      <c r="D7846" s="3" t="s">
        <v>17570</v>
      </c>
      <c r="E7846" s="3" t="s">
        <v>4698</v>
      </c>
      <c r="F7846" s="3" t="s">
        <v>4699</v>
      </c>
    </row>
    <row r="7847">
      <c r="A7847" s="3">
        <v>2214.0</v>
      </c>
      <c r="B7847" s="3" t="s">
        <v>11280</v>
      </c>
      <c r="C7847" s="3" t="s">
        <v>11281</v>
      </c>
      <c r="D7847" s="3" t="s">
        <v>17571</v>
      </c>
      <c r="E7847" s="3" t="s">
        <v>4935</v>
      </c>
      <c r="F7847" s="3" t="s">
        <v>4934</v>
      </c>
    </row>
    <row r="7848">
      <c r="A7848" s="3">
        <v>2215.0</v>
      </c>
      <c r="B7848" s="3" t="s">
        <v>11280</v>
      </c>
      <c r="C7848" s="3" t="s">
        <v>11281</v>
      </c>
      <c r="D7848" s="3" t="s">
        <v>4934</v>
      </c>
      <c r="E7848" s="3" t="s">
        <v>4935</v>
      </c>
      <c r="F7848" s="3" t="s">
        <v>4934</v>
      </c>
      <c r="G7848" s="3"/>
      <c r="H7848" s="3" t="s">
        <v>4934</v>
      </c>
    </row>
    <row r="7849">
      <c r="A7849" s="3">
        <v>2216.0</v>
      </c>
      <c r="B7849" s="3" t="s">
        <v>11280</v>
      </c>
      <c r="C7849" s="3" t="s">
        <v>11281</v>
      </c>
      <c r="D7849" s="3" t="s">
        <v>17572</v>
      </c>
      <c r="E7849" s="3" t="s">
        <v>7693</v>
      </c>
      <c r="F7849" s="3" t="s">
        <v>5138</v>
      </c>
      <c r="G7849" s="3"/>
      <c r="H7849" s="3" t="s">
        <v>4975</v>
      </c>
      <c r="I7849" s="3" t="s">
        <v>4976</v>
      </c>
    </row>
    <row r="7850">
      <c r="A7850" s="3">
        <v>2217.0</v>
      </c>
      <c r="B7850" s="3" t="s">
        <v>11280</v>
      </c>
      <c r="C7850" s="3" t="s">
        <v>11281</v>
      </c>
      <c r="D7850" s="3" t="s">
        <v>17573</v>
      </c>
      <c r="E7850" s="3" t="s">
        <v>17574</v>
      </c>
      <c r="F7850" s="3" t="s">
        <v>17575</v>
      </c>
    </row>
    <row r="7851">
      <c r="A7851" s="3">
        <v>2218.0</v>
      </c>
      <c r="B7851" s="3" t="s">
        <v>11280</v>
      </c>
      <c r="C7851" s="3" t="s">
        <v>11281</v>
      </c>
      <c r="D7851" s="3" t="s">
        <v>17576</v>
      </c>
      <c r="E7851" s="3" t="s">
        <v>17577</v>
      </c>
      <c r="F7851" s="3" t="s">
        <v>17578</v>
      </c>
    </row>
    <row r="7852">
      <c r="A7852" s="3">
        <v>2219.0</v>
      </c>
      <c r="B7852" s="3" t="s">
        <v>11280</v>
      </c>
      <c r="C7852" s="3" t="s">
        <v>11281</v>
      </c>
      <c r="D7852" s="3" t="s">
        <v>17579</v>
      </c>
      <c r="E7852" s="3" t="s">
        <v>17580</v>
      </c>
      <c r="F7852" s="3" t="s">
        <v>17581</v>
      </c>
    </row>
    <row r="7853">
      <c r="A7853" s="3">
        <v>2220.0</v>
      </c>
      <c r="B7853" s="3" t="s">
        <v>11280</v>
      </c>
      <c r="C7853" s="3" t="s">
        <v>11281</v>
      </c>
      <c r="D7853" s="3" t="s">
        <v>17582</v>
      </c>
      <c r="E7853" s="3" t="s">
        <v>17583</v>
      </c>
      <c r="F7853" s="3" t="s">
        <v>17584</v>
      </c>
    </row>
    <row r="7854">
      <c r="A7854" s="3">
        <v>2221.0</v>
      </c>
      <c r="B7854" s="3" t="s">
        <v>11280</v>
      </c>
      <c r="C7854" s="3" t="s">
        <v>11281</v>
      </c>
      <c r="D7854" s="3" t="s">
        <v>17585</v>
      </c>
      <c r="E7854" s="3" t="s">
        <v>17586</v>
      </c>
      <c r="F7854" s="3" t="s">
        <v>17587</v>
      </c>
    </row>
    <row r="7855">
      <c r="A7855" s="3">
        <v>2222.0</v>
      </c>
      <c r="B7855" s="3" t="s">
        <v>11280</v>
      </c>
      <c r="C7855" s="3" t="s">
        <v>11281</v>
      </c>
      <c r="D7855" s="3" t="s">
        <v>17588</v>
      </c>
      <c r="E7855" s="3" t="s">
        <v>8408</v>
      </c>
      <c r="F7855" s="3" t="s">
        <v>8409</v>
      </c>
    </row>
    <row r="7856">
      <c r="A7856" s="3">
        <v>2223.0</v>
      </c>
      <c r="B7856" s="3" t="s">
        <v>11280</v>
      </c>
      <c r="C7856" s="3" t="s">
        <v>11281</v>
      </c>
      <c r="D7856" s="3" t="s">
        <v>17589</v>
      </c>
      <c r="E7856" s="3" t="s">
        <v>17590</v>
      </c>
      <c r="F7856" s="3" t="s">
        <v>17591</v>
      </c>
    </row>
    <row r="7857">
      <c r="A7857" s="3">
        <v>2224.0</v>
      </c>
      <c r="B7857" s="3" t="s">
        <v>11280</v>
      </c>
      <c r="C7857" s="3" t="s">
        <v>11281</v>
      </c>
      <c r="D7857" s="3" t="s">
        <v>17592</v>
      </c>
      <c r="E7857" s="3" t="s">
        <v>17593</v>
      </c>
      <c r="F7857" s="3" t="s">
        <v>17594</v>
      </c>
      <c r="G7857" s="3"/>
      <c r="H7857" s="3" t="s">
        <v>17595</v>
      </c>
      <c r="I7857" s="3" t="s">
        <v>3161</v>
      </c>
      <c r="J7857" s="3" t="s">
        <v>17596</v>
      </c>
      <c r="K7857" s="3" t="s">
        <v>17597</v>
      </c>
      <c r="L7857" s="3" t="s">
        <v>17598</v>
      </c>
      <c r="M7857" s="3" t="s">
        <v>16038</v>
      </c>
      <c r="N7857" s="3" t="s">
        <v>13041</v>
      </c>
      <c r="O7857" s="3" t="s">
        <v>17599</v>
      </c>
      <c r="P7857" s="3" t="s">
        <v>17600</v>
      </c>
      <c r="Q7857" s="3" t="s">
        <v>17601</v>
      </c>
      <c r="R7857" s="3" t="s">
        <v>17602</v>
      </c>
      <c r="S7857" s="3" t="s">
        <v>17603</v>
      </c>
      <c r="T7857" s="3" t="s">
        <v>17167</v>
      </c>
      <c r="U7857" s="3" t="s">
        <v>326</v>
      </c>
      <c r="V7857" s="3" t="s">
        <v>17604</v>
      </c>
      <c r="W7857" s="3" t="s">
        <v>12741</v>
      </c>
      <c r="X7857" s="3" t="s">
        <v>17605</v>
      </c>
      <c r="Y7857" s="3" t="s">
        <v>17605</v>
      </c>
      <c r="Z7857" s="3" t="s">
        <v>12659</v>
      </c>
      <c r="AA7857" s="3" t="s">
        <v>12660</v>
      </c>
      <c r="AB7857" s="3" t="s">
        <v>12661</v>
      </c>
      <c r="AC7857" s="3" t="s">
        <v>2132</v>
      </c>
      <c r="AD7857" s="3" t="s">
        <v>12662</v>
      </c>
      <c r="AE7857" s="3" t="s">
        <v>12659</v>
      </c>
      <c r="AF7857" s="3" t="s">
        <v>13848</v>
      </c>
      <c r="AG7857" s="3" t="s">
        <v>17606</v>
      </c>
      <c r="AH7857" s="3" t="s">
        <v>17607</v>
      </c>
      <c r="AI7857" s="3" t="s">
        <v>17608</v>
      </c>
      <c r="AJ7857" s="3" t="s">
        <v>17609</v>
      </c>
      <c r="AK7857" s="3" t="s">
        <v>17610</v>
      </c>
      <c r="AL7857" s="3" t="s">
        <v>17611</v>
      </c>
      <c r="AM7857" s="3" t="s">
        <v>17412</v>
      </c>
      <c r="AN7857" s="3" t="s">
        <v>17612</v>
      </c>
      <c r="AO7857" s="3" t="s">
        <v>7513</v>
      </c>
      <c r="AP7857" s="3" t="s">
        <v>17613</v>
      </c>
      <c r="AQ7857" s="3" t="s">
        <v>13041</v>
      </c>
      <c r="AR7857" s="3" t="s">
        <v>13041</v>
      </c>
      <c r="AS7857" s="3" t="s">
        <v>17167</v>
      </c>
      <c r="AT7857" s="3" t="s">
        <v>17416</v>
      </c>
      <c r="AU7857" s="3" t="s">
        <v>17599</v>
      </c>
      <c r="AV7857" s="3" t="s">
        <v>17613</v>
      </c>
      <c r="AW7857" s="3" t="s">
        <v>7513</v>
      </c>
      <c r="AX7857" s="3" t="s">
        <v>17614</v>
      </c>
      <c r="AY7857" s="3" t="s">
        <v>17615</v>
      </c>
      <c r="AZ7857" s="3" t="s">
        <v>5150</v>
      </c>
      <c r="BA7857" s="3" t="s">
        <v>17616</v>
      </c>
      <c r="BB7857" s="3" t="s">
        <v>15491</v>
      </c>
      <c r="BC7857" s="3" t="s">
        <v>17617</v>
      </c>
      <c r="BD7857" s="3" t="s">
        <v>17618</v>
      </c>
      <c r="BE7857" s="3" t="s">
        <v>17619</v>
      </c>
      <c r="BF7857" s="3" t="s">
        <v>17620</v>
      </c>
      <c r="BG7857" s="3" t="s">
        <v>3342</v>
      </c>
      <c r="BH7857" s="3" t="s">
        <v>3342</v>
      </c>
      <c r="BI7857" s="3" t="s">
        <v>3342</v>
      </c>
      <c r="BJ7857" s="3" t="s">
        <v>7513</v>
      </c>
      <c r="BK7857" s="3" t="s">
        <v>17599</v>
      </c>
      <c r="BL7857" s="3" t="s">
        <v>17621</v>
      </c>
      <c r="BM7857" s="3" t="s">
        <v>5311</v>
      </c>
    </row>
    <row r="7858">
      <c r="A7858" s="3">
        <v>2225.0</v>
      </c>
      <c r="B7858" s="3" t="s">
        <v>11280</v>
      </c>
      <c r="C7858" s="3" t="s">
        <v>11281</v>
      </c>
      <c r="D7858" s="3" t="s">
        <v>17622</v>
      </c>
      <c r="E7858" s="3" t="s">
        <v>17623</v>
      </c>
      <c r="F7858" s="3" t="s">
        <v>17624</v>
      </c>
    </row>
    <row r="7859">
      <c r="A7859" s="3">
        <v>2226.0</v>
      </c>
      <c r="B7859" s="3" t="s">
        <v>11280</v>
      </c>
      <c r="C7859" s="3" t="s">
        <v>11281</v>
      </c>
      <c r="D7859" s="3" t="s">
        <v>17625</v>
      </c>
      <c r="E7859" s="3" t="s">
        <v>17626</v>
      </c>
      <c r="F7859" s="3" t="s">
        <v>17627</v>
      </c>
    </row>
    <row r="7860">
      <c r="A7860" s="3">
        <v>2227.0</v>
      </c>
      <c r="B7860" s="3" t="s">
        <v>11280</v>
      </c>
      <c r="C7860" s="3" t="s">
        <v>11281</v>
      </c>
      <c r="D7860" s="3" t="s">
        <v>17628</v>
      </c>
      <c r="E7860" s="3" t="s">
        <v>17629</v>
      </c>
      <c r="F7860" s="3" t="s">
        <v>17630</v>
      </c>
    </row>
    <row r="7861">
      <c r="A7861" s="3">
        <v>2228.0</v>
      </c>
      <c r="B7861" s="3" t="s">
        <v>11280</v>
      </c>
      <c r="C7861" s="3" t="s">
        <v>11281</v>
      </c>
      <c r="D7861" s="3" t="s">
        <v>17631</v>
      </c>
      <c r="E7861" s="3" t="s">
        <v>17632</v>
      </c>
      <c r="F7861" s="3" t="s">
        <v>17633</v>
      </c>
    </row>
    <row r="7862">
      <c r="A7862" s="3">
        <v>2229.0</v>
      </c>
      <c r="B7862" s="3" t="s">
        <v>11280</v>
      </c>
      <c r="C7862" s="3" t="s">
        <v>11281</v>
      </c>
      <c r="D7862" s="3" t="s">
        <v>17634</v>
      </c>
      <c r="E7862" s="3" t="s">
        <v>17635</v>
      </c>
      <c r="F7862" s="3" t="s">
        <v>17636</v>
      </c>
    </row>
    <row r="7863">
      <c r="A7863" s="3">
        <v>2230.0</v>
      </c>
      <c r="B7863" s="3" t="s">
        <v>11280</v>
      </c>
      <c r="C7863" s="3" t="s">
        <v>11281</v>
      </c>
      <c r="D7863" s="3" t="s">
        <v>17637</v>
      </c>
      <c r="E7863" s="3" t="s">
        <v>17638</v>
      </c>
      <c r="F7863" s="3" t="s">
        <v>17639</v>
      </c>
    </row>
    <row r="7864">
      <c r="A7864" s="3">
        <v>2231.0</v>
      </c>
      <c r="B7864" s="3" t="s">
        <v>11280</v>
      </c>
      <c r="C7864" s="3" t="s">
        <v>11281</v>
      </c>
      <c r="D7864" s="3" t="s">
        <v>17640</v>
      </c>
      <c r="E7864" s="3" t="s">
        <v>17641</v>
      </c>
      <c r="F7864" s="3" t="s">
        <v>17642</v>
      </c>
    </row>
    <row r="7865">
      <c r="A7865" s="3">
        <v>2232.0</v>
      </c>
      <c r="B7865" s="3" t="s">
        <v>11280</v>
      </c>
      <c r="C7865" s="3" t="s">
        <v>11281</v>
      </c>
      <c r="D7865" s="3" t="s">
        <v>17643</v>
      </c>
      <c r="E7865" s="3" t="s">
        <v>17644</v>
      </c>
      <c r="F7865" s="3" t="s">
        <v>17645</v>
      </c>
    </row>
    <row r="7866">
      <c r="A7866" s="3">
        <v>2233.0</v>
      </c>
      <c r="B7866" s="3" t="s">
        <v>11280</v>
      </c>
      <c r="C7866" s="3" t="s">
        <v>11281</v>
      </c>
      <c r="D7866" s="3" t="s">
        <v>17646</v>
      </c>
      <c r="E7866" s="3" t="s">
        <v>17647</v>
      </c>
      <c r="F7866" s="3" t="s">
        <v>17648</v>
      </c>
    </row>
    <row r="7867">
      <c r="A7867" s="3">
        <v>2234.0</v>
      </c>
      <c r="B7867" s="3" t="s">
        <v>11280</v>
      </c>
      <c r="C7867" s="3" t="s">
        <v>11281</v>
      </c>
      <c r="D7867" s="3" t="s">
        <v>17649</v>
      </c>
      <c r="E7867" s="3" t="s">
        <v>17650</v>
      </c>
      <c r="F7867" s="3" t="s">
        <v>17651</v>
      </c>
    </row>
    <row r="7868">
      <c r="A7868" s="3">
        <v>2235.0</v>
      </c>
      <c r="B7868" s="3" t="s">
        <v>11280</v>
      </c>
      <c r="C7868" s="3" t="s">
        <v>11281</v>
      </c>
      <c r="D7868" s="3" t="s">
        <v>17652</v>
      </c>
      <c r="E7868" s="3" t="s">
        <v>17653</v>
      </c>
      <c r="F7868" s="3" t="s">
        <v>17654</v>
      </c>
    </row>
    <row r="7869">
      <c r="A7869" s="3">
        <v>2236.0</v>
      </c>
      <c r="B7869" s="3" t="s">
        <v>11280</v>
      </c>
      <c r="C7869" s="3" t="s">
        <v>11281</v>
      </c>
      <c r="D7869" s="3" t="s">
        <v>17655</v>
      </c>
      <c r="E7869" s="3" t="s">
        <v>17656</v>
      </c>
      <c r="F7869" s="3" t="s">
        <v>17657</v>
      </c>
    </row>
    <row r="7870">
      <c r="A7870" s="3">
        <v>2237.0</v>
      </c>
      <c r="B7870" s="3" t="s">
        <v>11280</v>
      </c>
      <c r="C7870" s="3" t="s">
        <v>11281</v>
      </c>
      <c r="D7870" s="3" t="s">
        <v>17658</v>
      </c>
      <c r="E7870" s="3" t="s">
        <v>7696</v>
      </c>
      <c r="F7870" s="3" t="s">
        <v>5147</v>
      </c>
    </row>
    <row r="7871">
      <c r="A7871" s="3">
        <v>2238.0</v>
      </c>
      <c r="B7871" s="3" t="s">
        <v>11280</v>
      </c>
      <c r="C7871" s="3" t="s">
        <v>11281</v>
      </c>
      <c r="D7871" s="3" t="s">
        <v>17659</v>
      </c>
      <c r="E7871" s="3" t="s">
        <v>17660</v>
      </c>
      <c r="F7871" s="3" t="s">
        <v>17661</v>
      </c>
    </row>
    <row r="7872">
      <c r="A7872" s="3">
        <v>2239.0</v>
      </c>
      <c r="B7872" s="3" t="s">
        <v>11280</v>
      </c>
      <c r="C7872" s="3" t="s">
        <v>11281</v>
      </c>
      <c r="D7872" s="3" t="s">
        <v>17662</v>
      </c>
      <c r="E7872" s="3" t="s">
        <v>17663</v>
      </c>
      <c r="F7872" s="3" t="s">
        <v>17664</v>
      </c>
    </row>
    <row r="7873">
      <c r="A7873" s="3">
        <v>2240.0</v>
      </c>
      <c r="B7873" s="3" t="s">
        <v>11280</v>
      </c>
      <c r="C7873" s="3" t="s">
        <v>11281</v>
      </c>
      <c r="D7873" s="3" t="s">
        <v>5002</v>
      </c>
      <c r="E7873" s="3" t="s">
        <v>7659</v>
      </c>
      <c r="F7873" s="3" t="s">
        <v>5002</v>
      </c>
      <c r="G7873" s="3"/>
      <c r="H7873" s="3" t="s">
        <v>5027</v>
      </c>
      <c r="I7873" s="3" t="s">
        <v>5028</v>
      </c>
      <c r="J7873" s="3" t="s">
        <v>5378</v>
      </c>
      <c r="K7873" s="3" t="s">
        <v>17481</v>
      </c>
      <c r="L7873" s="3" t="s">
        <v>3563</v>
      </c>
      <c r="M7873" s="3" t="s">
        <v>3564</v>
      </c>
      <c r="N7873" s="3" t="s">
        <v>3565</v>
      </c>
      <c r="O7873" s="3" t="s">
        <v>3566</v>
      </c>
      <c r="P7873" s="3" t="s">
        <v>3567</v>
      </c>
      <c r="Q7873" s="3" t="s">
        <v>3568</v>
      </c>
      <c r="R7873" s="3" t="s">
        <v>3596</v>
      </c>
      <c r="S7873" s="3" t="s">
        <v>3575</v>
      </c>
      <c r="T7873" s="3" t="s">
        <v>3576</v>
      </c>
      <c r="U7873" s="3" t="s">
        <v>3577</v>
      </c>
      <c r="V7873" s="3" t="s">
        <v>3578</v>
      </c>
      <c r="W7873" s="3" t="s">
        <v>3579</v>
      </c>
      <c r="X7873" s="3" t="s">
        <v>3580</v>
      </c>
      <c r="Y7873" s="3" t="s">
        <v>3564</v>
      </c>
      <c r="Z7873" s="3" t="s">
        <v>3581</v>
      </c>
      <c r="AA7873" s="3" t="s">
        <v>3557</v>
      </c>
      <c r="AB7873" s="3" t="s">
        <v>3582</v>
      </c>
      <c r="AC7873" s="3" t="s">
        <v>3583</v>
      </c>
      <c r="AD7873" s="3" t="s">
        <v>3584</v>
      </c>
      <c r="AE7873" s="3" t="s">
        <v>3585</v>
      </c>
      <c r="AF7873" s="3" t="s">
        <v>3586</v>
      </c>
      <c r="AG7873" s="3" t="s">
        <v>3587</v>
      </c>
      <c r="AH7873" s="3" t="s">
        <v>3588</v>
      </c>
      <c r="AI7873" s="3" t="s">
        <v>3563</v>
      </c>
      <c r="AJ7873" s="3" t="s">
        <v>3589</v>
      </c>
      <c r="AK7873" s="3" t="s">
        <v>3590</v>
      </c>
      <c r="AL7873" s="3" t="s">
        <v>3591</v>
      </c>
      <c r="AM7873" s="3" t="s">
        <v>3592</v>
      </c>
      <c r="AN7873" s="3" t="s">
        <v>3593</v>
      </c>
      <c r="AO7873" s="3" t="s">
        <v>3594</v>
      </c>
      <c r="AP7873" s="3" t="s">
        <v>3595</v>
      </c>
      <c r="AQ7873" s="3" t="s">
        <v>3596</v>
      </c>
      <c r="AR7873" s="3" t="s">
        <v>3597</v>
      </c>
      <c r="AS7873" s="3" t="s">
        <v>3598</v>
      </c>
      <c r="AT7873" s="3" t="s">
        <v>17665</v>
      </c>
      <c r="AU7873" s="3" t="s">
        <v>17666</v>
      </c>
      <c r="AV7873" s="3" t="s">
        <v>17667</v>
      </c>
      <c r="AW7873" s="3" t="s">
        <v>17668</v>
      </c>
      <c r="AX7873" s="3" t="s">
        <v>5042</v>
      </c>
      <c r="AY7873" s="3" t="s">
        <v>17669</v>
      </c>
      <c r="AZ7873" s="3" t="s">
        <v>17670</v>
      </c>
      <c r="BA7873" s="3" t="s">
        <v>17671</v>
      </c>
      <c r="BB7873" s="3" t="s">
        <v>17672</v>
      </c>
      <c r="BC7873" s="3" t="s">
        <v>17673</v>
      </c>
      <c r="BD7873" s="3" t="s">
        <v>17674</v>
      </c>
      <c r="BE7873" s="3" t="s">
        <v>17675</v>
      </c>
      <c r="BF7873" s="3" t="s">
        <v>17676</v>
      </c>
      <c r="BG7873" s="3" t="s">
        <v>17677</v>
      </c>
      <c r="BH7873" s="3" t="s">
        <v>17678</v>
      </c>
    </row>
    <row r="7874">
      <c r="A7874" s="3">
        <v>2241.0</v>
      </c>
      <c r="B7874" s="3" t="s">
        <v>11280</v>
      </c>
      <c r="C7874" s="3" t="s">
        <v>11281</v>
      </c>
      <c r="D7874" s="3" t="s">
        <v>17679</v>
      </c>
      <c r="E7874" s="3" t="s">
        <v>17680</v>
      </c>
      <c r="F7874" s="3" t="s">
        <v>17679</v>
      </c>
    </row>
    <row r="7875">
      <c r="A7875" s="3">
        <v>2242.0</v>
      </c>
      <c r="B7875" s="3" t="s">
        <v>11280</v>
      </c>
      <c r="C7875" s="3" t="s">
        <v>11281</v>
      </c>
      <c r="D7875" s="3" t="s">
        <v>17681</v>
      </c>
      <c r="E7875" s="3" t="s">
        <v>17682</v>
      </c>
      <c r="F7875" s="3" t="s">
        <v>17681</v>
      </c>
    </row>
    <row r="7876">
      <c r="A7876" s="3">
        <v>2243.0</v>
      </c>
      <c r="B7876" s="3" t="s">
        <v>11280</v>
      </c>
      <c r="C7876" s="3" t="s">
        <v>11281</v>
      </c>
      <c r="D7876" s="3" t="s">
        <v>17683</v>
      </c>
      <c r="E7876" s="3" t="s">
        <v>17684</v>
      </c>
      <c r="F7876" s="3" t="s">
        <v>17683</v>
      </c>
      <c r="G7876" s="3"/>
      <c r="H7876" s="3" t="s">
        <v>17685</v>
      </c>
      <c r="I7876" s="3" t="s">
        <v>17686</v>
      </c>
    </row>
    <row r="7877">
      <c r="A7877" s="3">
        <v>2244.0</v>
      </c>
      <c r="B7877" s="3" t="s">
        <v>11280</v>
      </c>
      <c r="C7877" s="3" t="s">
        <v>11281</v>
      </c>
      <c r="D7877" s="3" t="s">
        <v>5011</v>
      </c>
      <c r="E7877" s="3" t="s">
        <v>7661</v>
      </c>
      <c r="F7877" s="3" t="s">
        <v>5011</v>
      </c>
    </row>
    <row r="7878">
      <c r="A7878" s="3">
        <v>2245.0</v>
      </c>
      <c r="B7878" s="3" t="s">
        <v>11280</v>
      </c>
      <c r="C7878" s="3" t="s">
        <v>11281</v>
      </c>
      <c r="D7878" s="3" t="s">
        <v>17687</v>
      </c>
      <c r="E7878" s="3" t="s">
        <v>17688</v>
      </c>
      <c r="F7878" s="3" t="s">
        <v>17687</v>
      </c>
    </row>
    <row r="7879">
      <c r="A7879" s="3">
        <v>2246.0</v>
      </c>
      <c r="B7879" s="3" t="s">
        <v>11280</v>
      </c>
      <c r="C7879" s="3" t="s">
        <v>11281</v>
      </c>
      <c r="D7879" s="3" t="s">
        <v>17689</v>
      </c>
      <c r="E7879" s="3" t="s">
        <v>17690</v>
      </c>
      <c r="F7879" s="3" t="s">
        <v>17689</v>
      </c>
    </row>
    <row r="7880">
      <c r="A7880" s="3">
        <v>2247.0</v>
      </c>
      <c r="B7880" s="3" t="s">
        <v>11280</v>
      </c>
      <c r="C7880" s="3" t="s">
        <v>11281</v>
      </c>
      <c r="D7880" s="3" t="s">
        <v>7665</v>
      </c>
      <c r="E7880" s="3" t="s">
        <v>17691</v>
      </c>
      <c r="F7880" s="3" t="s">
        <v>7665</v>
      </c>
    </row>
    <row r="7881">
      <c r="A7881" s="3">
        <v>2248.0</v>
      </c>
      <c r="B7881" s="3" t="s">
        <v>11280</v>
      </c>
      <c r="C7881" s="3" t="s">
        <v>11281</v>
      </c>
      <c r="D7881" s="3" t="s">
        <v>17692</v>
      </c>
      <c r="E7881" s="3" t="s">
        <v>17693</v>
      </c>
      <c r="F7881" s="3" t="s">
        <v>17692</v>
      </c>
    </row>
    <row r="7882">
      <c r="A7882" s="3">
        <v>2249.0</v>
      </c>
      <c r="B7882" s="3" t="s">
        <v>11280</v>
      </c>
      <c r="C7882" s="3" t="s">
        <v>11281</v>
      </c>
      <c r="D7882" s="3" t="s">
        <v>17685</v>
      </c>
      <c r="E7882" s="3" t="s">
        <v>17694</v>
      </c>
      <c r="F7882" s="3" t="s">
        <v>17685</v>
      </c>
      <c r="G7882" s="3"/>
      <c r="H7882" s="3" t="s">
        <v>14103</v>
      </c>
      <c r="I7882" s="3" t="s">
        <v>17157</v>
      </c>
      <c r="J7882" s="3" t="s">
        <v>17158</v>
      </c>
      <c r="K7882" s="3" t="s">
        <v>17159</v>
      </c>
      <c r="L7882" s="3" t="s">
        <v>13735</v>
      </c>
      <c r="M7882" s="3" t="s">
        <v>17695</v>
      </c>
      <c r="N7882" s="3" t="s">
        <v>2677</v>
      </c>
      <c r="O7882" s="3" t="s">
        <v>17696</v>
      </c>
      <c r="P7882" s="3" t="s">
        <v>17697</v>
      </c>
      <c r="Q7882" s="3" t="s">
        <v>17698</v>
      </c>
      <c r="R7882" s="3" t="s">
        <v>17699</v>
      </c>
      <c r="S7882" s="3" t="s">
        <v>17695</v>
      </c>
      <c r="T7882" s="3" t="s">
        <v>5267</v>
      </c>
      <c r="U7882" s="3" t="s">
        <v>3894</v>
      </c>
      <c r="V7882" s="3" t="s">
        <v>17700</v>
      </c>
      <c r="W7882" s="3" t="s">
        <v>17701</v>
      </c>
      <c r="X7882" s="3" t="s">
        <v>17702</v>
      </c>
      <c r="Y7882" s="3" t="s">
        <v>5473</v>
      </c>
      <c r="Z7882" s="3" t="s">
        <v>17703</v>
      </c>
      <c r="AA7882" s="3" t="s">
        <v>17704</v>
      </c>
      <c r="AB7882" s="3" t="s">
        <v>17703</v>
      </c>
      <c r="AC7882" s="3" t="s">
        <v>17705</v>
      </c>
      <c r="AD7882" s="3" t="s">
        <v>14109</v>
      </c>
      <c r="AE7882" s="3" t="s">
        <v>14107</v>
      </c>
      <c r="AF7882" s="3" t="s">
        <v>17706</v>
      </c>
      <c r="AG7882" s="3" t="s">
        <v>17707</v>
      </c>
    </row>
    <row r="7883">
      <c r="A7883" s="3">
        <v>2250.0</v>
      </c>
      <c r="B7883" s="3" t="s">
        <v>11280</v>
      </c>
      <c r="C7883" s="3" t="s">
        <v>11281</v>
      </c>
      <c r="D7883" s="3" t="s">
        <v>17708</v>
      </c>
      <c r="E7883" s="3" t="s">
        <v>17709</v>
      </c>
      <c r="F7883" s="3" t="s">
        <v>17708</v>
      </c>
    </row>
    <row r="7884">
      <c r="A7884" s="3">
        <v>2251.0</v>
      </c>
      <c r="B7884" s="3" t="s">
        <v>11280</v>
      </c>
      <c r="C7884" s="3" t="s">
        <v>11281</v>
      </c>
      <c r="D7884" s="3" t="s">
        <v>17710</v>
      </c>
      <c r="E7884" s="3" t="s">
        <v>17711</v>
      </c>
      <c r="F7884" s="3" t="s">
        <v>17710</v>
      </c>
    </row>
    <row r="7885">
      <c r="A7885" s="3">
        <v>2252.0</v>
      </c>
      <c r="B7885" s="3" t="s">
        <v>11280</v>
      </c>
      <c r="C7885" s="3" t="s">
        <v>11281</v>
      </c>
      <c r="D7885" s="3" t="s">
        <v>17712</v>
      </c>
      <c r="E7885" s="3" t="s">
        <v>17713</v>
      </c>
      <c r="F7885" s="3" t="s">
        <v>17712</v>
      </c>
    </row>
    <row r="7886">
      <c r="A7886" s="3">
        <v>2253.0</v>
      </c>
      <c r="B7886" s="3" t="s">
        <v>11280</v>
      </c>
      <c r="C7886" s="3" t="s">
        <v>11281</v>
      </c>
      <c r="D7886" s="3" t="s">
        <v>7668</v>
      </c>
      <c r="E7886" s="3" t="s">
        <v>17714</v>
      </c>
      <c r="F7886" s="3" t="s">
        <v>7668</v>
      </c>
    </row>
    <row r="7887">
      <c r="A7887" s="3">
        <v>2254.0</v>
      </c>
      <c r="B7887" s="3" t="s">
        <v>11280</v>
      </c>
      <c r="C7887" s="3" t="s">
        <v>11281</v>
      </c>
      <c r="D7887" s="3" t="s">
        <v>17715</v>
      </c>
      <c r="E7887" s="3" t="s">
        <v>17716</v>
      </c>
      <c r="F7887" s="3" t="s">
        <v>17715</v>
      </c>
      <c r="G7887" s="3"/>
      <c r="H7887" s="3" t="s">
        <v>17717</v>
      </c>
    </row>
    <row r="7888">
      <c r="A7888" s="3">
        <v>2255.0</v>
      </c>
      <c r="B7888" s="3" t="s">
        <v>11280</v>
      </c>
      <c r="C7888" s="3" t="s">
        <v>11281</v>
      </c>
      <c r="D7888" s="3" t="s">
        <v>17718</v>
      </c>
      <c r="E7888" s="3" t="s">
        <v>17719</v>
      </c>
      <c r="F7888" s="3" t="s">
        <v>17720</v>
      </c>
    </row>
    <row r="7889">
      <c r="A7889" s="3">
        <v>2256.0</v>
      </c>
      <c r="B7889" s="3" t="s">
        <v>11280</v>
      </c>
      <c r="C7889" s="3" t="s">
        <v>11281</v>
      </c>
      <c r="D7889" s="3" t="s">
        <v>17721</v>
      </c>
      <c r="E7889" s="3" t="s">
        <v>17722</v>
      </c>
      <c r="F7889" s="3" t="s">
        <v>17723</v>
      </c>
    </row>
    <row r="7890">
      <c r="A7890" s="3">
        <v>2257.0</v>
      </c>
      <c r="B7890" s="3" t="s">
        <v>11280</v>
      </c>
      <c r="C7890" s="3" t="s">
        <v>11281</v>
      </c>
      <c r="D7890" s="3" t="s">
        <v>17724</v>
      </c>
      <c r="E7890" s="3" t="s">
        <v>17725</v>
      </c>
      <c r="F7890" s="3" t="s">
        <v>17726</v>
      </c>
    </row>
    <row r="7891">
      <c r="A7891" s="3">
        <v>2258.0</v>
      </c>
      <c r="B7891" s="3" t="s">
        <v>11280</v>
      </c>
      <c r="C7891" s="3" t="s">
        <v>11281</v>
      </c>
      <c r="D7891" s="3" t="s">
        <v>17727</v>
      </c>
      <c r="E7891" s="3" t="s">
        <v>17728</v>
      </c>
      <c r="F7891" s="3" t="s">
        <v>17729</v>
      </c>
    </row>
    <row r="7892">
      <c r="A7892" s="3">
        <v>2259.0</v>
      </c>
      <c r="B7892" s="3" t="s">
        <v>11280</v>
      </c>
      <c r="C7892" s="3" t="s">
        <v>11281</v>
      </c>
      <c r="D7892" s="3" t="s">
        <v>17730</v>
      </c>
      <c r="E7892" s="3" t="s">
        <v>17731</v>
      </c>
      <c r="F7892" s="3" t="s">
        <v>17730</v>
      </c>
    </row>
    <row r="7893">
      <c r="A7893" s="3">
        <v>2260.0</v>
      </c>
      <c r="B7893" s="3" t="s">
        <v>11280</v>
      </c>
      <c r="C7893" s="3" t="s">
        <v>11281</v>
      </c>
      <c r="D7893" s="3" t="s">
        <v>17732</v>
      </c>
      <c r="E7893" s="3" t="s">
        <v>17733</v>
      </c>
      <c r="F7893" s="3" t="s">
        <v>17732</v>
      </c>
    </row>
    <row r="7894">
      <c r="A7894" s="3">
        <v>2261.0</v>
      </c>
      <c r="B7894" s="3" t="s">
        <v>11280</v>
      </c>
      <c r="C7894" s="3" t="s">
        <v>11281</v>
      </c>
      <c r="D7894" s="3" t="s">
        <v>17734</v>
      </c>
      <c r="E7894" s="3" t="s">
        <v>17735</v>
      </c>
      <c r="F7894" s="3" t="s">
        <v>17734</v>
      </c>
    </row>
    <row r="7895">
      <c r="A7895" s="3">
        <v>2262.0</v>
      </c>
      <c r="B7895" s="3" t="s">
        <v>11280</v>
      </c>
      <c r="C7895" s="3" t="s">
        <v>11281</v>
      </c>
      <c r="D7895" s="3" t="s">
        <v>17736</v>
      </c>
      <c r="E7895" s="3" t="s">
        <v>17737</v>
      </c>
      <c r="F7895" s="3" t="s">
        <v>17736</v>
      </c>
    </row>
    <row r="7896">
      <c r="A7896" s="3">
        <v>2263.0</v>
      </c>
      <c r="B7896" s="3" t="s">
        <v>11280</v>
      </c>
      <c r="C7896" s="3" t="s">
        <v>11281</v>
      </c>
      <c r="D7896" s="3" t="s">
        <v>17738</v>
      </c>
      <c r="E7896" s="3" t="s">
        <v>17739</v>
      </c>
      <c r="F7896" s="3" t="s">
        <v>17738</v>
      </c>
    </row>
    <row r="7897">
      <c r="A7897" s="3">
        <v>2264.0</v>
      </c>
      <c r="B7897" s="3" t="s">
        <v>11280</v>
      </c>
      <c r="C7897" s="3" t="s">
        <v>11281</v>
      </c>
      <c r="D7897" s="3" t="s">
        <v>5098</v>
      </c>
      <c r="E7897" s="3" t="s">
        <v>7681</v>
      </c>
      <c r="F7897" s="3" t="s">
        <v>5098</v>
      </c>
      <c r="G7897" s="3"/>
      <c r="H7897" s="3" t="s">
        <v>7682</v>
      </c>
      <c r="I7897" s="3" t="s">
        <v>7683</v>
      </c>
      <c r="J7897" s="3" t="s">
        <v>5110</v>
      </c>
      <c r="K7897" s="3" t="s">
        <v>5122</v>
      </c>
    </row>
    <row r="7898">
      <c r="A7898" s="3">
        <v>2265.0</v>
      </c>
      <c r="B7898" s="3" t="s">
        <v>11280</v>
      </c>
      <c r="C7898" s="3" t="s">
        <v>11281</v>
      </c>
      <c r="D7898" s="3" t="s">
        <v>17740</v>
      </c>
      <c r="E7898" s="3" t="s">
        <v>17741</v>
      </c>
      <c r="F7898" s="3" t="s">
        <v>17740</v>
      </c>
    </row>
    <row r="7899">
      <c r="A7899" s="3">
        <v>2266.0</v>
      </c>
      <c r="B7899" s="3" t="s">
        <v>11280</v>
      </c>
      <c r="C7899" s="3" t="s">
        <v>11281</v>
      </c>
      <c r="D7899" s="3" t="s">
        <v>17742</v>
      </c>
      <c r="E7899" s="3" t="s">
        <v>17743</v>
      </c>
      <c r="F7899" s="3" t="s">
        <v>17742</v>
      </c>
    </row>
    <row r="7900">
      <c r="A7900" s="3">
        <v>2267.0</v>
      </c>
      <c r="B7900" s="3" t="s">
        <v>11280</v>
      </c>
      <c r="C7900" s="3" t="s">
        <v>11281</v>
      </c>
      <c r="D7900" s="3" t="s">
        <v>17744</v>
      </c>
      <c r="E7900" s="3" t="s">
        <v>17745</v>
      </c>
      <c r="F7900" s="3" t="s">
        <v>17744</v>
      </c>
    </row>
    <row r="7901">
      <c r="A7901" s="3">
        <v>2268.0</v>
      </c>
      <c r="B7901" s="3" t="s">
        <v>11280</v>
      </c>
      <c r="C7901" s="3" t="s">
        <v>11281</v>
      </c>
      <c r="D7901" s="3" t="s">
        <v>17746</v>
      </c>
      <c r="E7901" s="3" t="s">
        <v>17747</v>
      </c>
      <c r="F7901" s="3" t="s">
        <v>17746</v>
      </c>
    </row>
    <row r="7902">
      <c r="A7902" s="3">
        <v>2269.0</v>
      </c>
      <c r="B7902" s="3" t="s">
        <v>11280</v>
      </c>
      <c r="C7902" s="3" t="s">
        <v>11281</v>
      </c>
      <c r="D7902" s="3" t="s">
        <v>17748</v>
      </c>
      <c r="E7902" s="3" t="s">
        <v>17749</v>
      </c>
      <c r="F7902" s="3" t="s">
        <v>17748</v>
      </c>
    </row>
    <row r="7903">
      <c r="A7903" s="3">
        <v>2270.0</v>
      </c>
      <c r="B7903" s="3" t="s">
        <v>11280</v>
      </c>
      <c r="C7903" s="3" t="s">
        <v>11281</v>
      </c>
      <c r="D7903" s="3" t="s">
        <v>5107</v>
      </c>
      <c r="E7903" s="3" t="s">
        <v>7688</v>
      </c>
      <c r="F7903" s="3" t="s">
        <v>5107</v>
      </c>
    </row>
    <row r="7904">
      <c r="A7904" s="3">
        <v>2271.0</v>
      </c>
      <c r="B7904" s="3" t="s">
        <v>11280</v>
      </c>
      <c r="C7904" s="3" t="s">
        <v>11281</v>
      </c>
      <c r="D7904" s="3" t="s">
        <v>17750</v>
      </c>
      <c r="E7904" s="3" t="s">
        <v>17751</v>
      </c>
      <c r="F7904" s="3" t="s">
        <v>17752</v>
      </c>
    </row>
    <row r="7905">
      <c r="A7905" s="3">
        <v>2272.0</v>
      </c>
      <c r="B7905" s="3" t="s">
        <v>11280</v>
      </c>
      <c r="C7905" s="3" t="s">
        <v>11281</v>
      </c>
      <c r="D7905" s="3" t="s">
        <v>17753</v>
      </c>
      <c r="E7905" s="3" t="s">
        <v>17754</v>
      </c>
      <c r="F7905" s="3" t="s">
        <v>17755</v>
      </c>
    </row>
    <row r="7906">
      <c r="A7906" s="3">
        <v>2273.0</v>
      </c>
      <c r="B7906" s="3" t="s">
        <v>11280</v>
      </c>
      <c r="C7906" s="3" t="s">
        <v>11281</v>
      </c>
      <c r="D7906" s="3" t="s">
        <v>17756</v>
      </c>
      <c r="E7906" s="3" t="s">
        <v>17757</v>
      </c>
      <c r="F7906" s="3" t="s">
        <v>17756</v>
      </c>
    </row>
    <row r="7907">
      <c r="A7907" s="3">
        <v>2274.0</v>
      </c>
      <c r="B7907" s="3" t="s">
        <v>11280</v>
      </c>
      <c r="C7907" s="3" t="s">
        <v>11281</v>
      </c>
      <c r="D7907" s="3" t="s">
        <v>17758</v>
      </c>
      <c r="E7907" s="3" t="s">
        <v>17759</v>
      </c>
      <c r="F7907" s="3" t="s">
        <v>17758</v>
      </c>
    </row>
    <row r="7908">
      <c r="A7908" s="3">
        <v>2275.0</v>
      </c>
      <c r="B7908" s="3" t="s">
        <v>11280</v>
      </c>
      <c r="C7908" s="3" t="s">
        <v>11281</v>
      </c>
      <c r="D7908" s="3" t="s">
        <v>17760</v>
      </c>
      <c r="E7908" s="3" t="s">
        <v>17761</v>
      </c>
      <c r="F7908" s="3" t="s">
        <v>17760</v>
      </c>
    </row>
    <row r="7909">
      <c r="A7909" s="3">
        <v>2276.0</v>
      </c>
      <c r="B7909" s="3" t="s">
        <v>11280</v>
      </c>
      <c r="C7909" s="3" t="s">
        <v>11281</v>
      </c>
      <c r="D7909" s="3" t="s">
        <v>17762</v>
      </c>
      <c r="E7909" s="3" t="s">
        <v>17763</v>
      </c>
      <c r="F7909" s="3" t="s">
        <v>17762</v>
      </c>
    </row>
    <row r="7910">
      <c r="A7910" s="3">
        <v>2277.0</v>
      </c>
      <c r="B7910" s="3" t="s">
        <v>11280</v>
      </c>
      <c r="C7910" s="3" t="s">
        <v>11281</v>
      </c>
      <c r="D7910" s="3" t="s">
        <v>17764</v>
      </c>
      <c r="E7910" s="3" t="s">
        <v>17765</v>
      </c>
      <c r="F7910" s="3" t="s">
        <v>17764</v>
      </c>
    </row>
    <row r="7911">
      <c r="A7911" s="3">
        <v>2278.0</v>
      </c>
      <c r="B7911" s="3" t="s">
        <v>11280</v>
      </c>
      <c r="C7911" s="3" t="s">
        <v>11281</v>
      </c>
      <c r="D7911" s="3" t="s">
        <v>17766</v>
      </c>
      <c r="E7911" s="3" t="s">
        <v>17767</v>
      </c>
      <c r="F7911" s="3" t="s">
        <v>17766</v>
      </c>
    </row>
    <row r="7912">
      <c r="A7912" s="3">
        <v>2279.0</v>
      </c>
      <c r="B7912" s="3" t="s">
        <v>11280</v>
      </c>
      <c r="C7912" s="3" t="s">
        <v>11281</v>
      </c>
      <c r="D7912" s="3" t="s">
        <v>17768</v>
      </c>
      <c r="E7912" s="3" t="s">
        <v>17769</v>
      </c>
      <c r="F7912" s="3" t="s">
        <v>17768</v>
      </c>
    </row>
    <row r="7913">
      <c r="A7913" s="3">
        <v>2280.0</v>
      </c>
      <c r="B7913" s="3" t="s">
        <v>11280</v>
      </c>
      <c r="C7913" s="3" t="s">
        <v>11281</v>
      </c>
      <c r="D7913" s="3" t="s">
        <v>17770</v>
      </c>
      <c r="E7913" s="3" t="s">
        <v>17771</v>
      </c>
      <c r="F7913" s="3" t="s">
        <v>17770</v>
      </c>
    </row>
    <row r="7914">
      <c r="A7914" s="3">
        <v>2281.0</v>
      </c>
      <c r="B7914" s="3" t="s">
        <v>11280</v>
      </c>
      <c r="C7914" s="3" t="s">
        <v>11281</v>
      </c>
      <c r="D7914" s="3" t="s">
        <v>17772</v>
      </c>
      <c r="E7914" s="3" t="s">
        <v>17773</v>
      </c>
      <c r="F7914" s="3" t="s">
        <v>17772</v>
      </c>
      <c r="G7914" s="3"/>
      <c r="H7914" s="3" t="s">
        <v>17774</v>
      </c>
      <c r="I7914" s="3" t="s">
        <v>17775</v>
      </c>
      <c r="J7914" s="3" t="s">
        <v>17776</v>
      </c>
    </row>
    <row r="7915">
      <c r="A7915" s="3">
        <v>2282.0</v>
      </c>
      <c r="B7915" s="3" t="s">
        <v>11280</v>
      </c>
      <c r="C7915" s="3" t="s">
        <v>11281</v>
      </c>
      <c r="D7915" s="3" t="s">
        <v>17777</v>
      </c>
      <c r="E7915" s="3" t="s">
        <v>17778</v>
      </c>
      <c r="F7915" s="3" t="s">
        <v>17777</v>
      </c>
    </row>
    <row r="7916">
      <c r="A7916" s="3">
        <v>2283.0</v>
      </c>
      <c r="B7916" s="3" t="s">
        <v>11280</v>
      </c>
      <c r="C7916" s="3" t="s">
        <v>11281</v>
      </c>
      <c r="D7916" s="3" t="s">
        <v>17779</v>
      </c>
      <c r="E7916" s="3" t="s">
        <v>17780</v>
      </c>
      <c r="F7916" s="3" t="s">
        <v>17779</v>
      </c>
    </row>
    <row r="7917">
      <c r="A7917" s="3">
        <v>2284.0</v>
      </c>
      <c r="B7917" s="3" t="s">
        <v>11280</v>
      </c>
      <c r="C7917" s="3" t="s">
        <v>11281</v>
      </c>
      <c r="D7917" s="3" t="s">
        <v>17781</v>
      </c>
      <c r="E7917" s="3" t="s">
        <v>17782</v>
      </c>
      <c r="F7917" s="3" t="s">
        <v>17781</v>
      </c>
    </row>
    <row r="7918">
      <c r="A7918" s="3">
        <v>2285.0</v>
      </c>
      <c r="B7918" s="3" t="s">
        <v>11280</v>
      </c>
      <c r="C7918" s="3" t="s">
        <v>11281</v>
      </c>
      <c r="D7918" s="3" t="s">
        <v>17783</v>
      </c>
      <c r="E7918" s="3" t="s">
        <v>17784</v>
      </c>
      <c r="F7918" s="3" t="s">
        <v>17785</v>
      </c>
    </row>
    <row r="7919">
      <c r="A7919" s="3">
        <v>2286.0</v>
      </c>
      <c r="B7919" s="3" t="s">
        <v>11280</v>
      </c>
      <c r="C7919" s="3" t="s">
        <v>11281</v>
      </c>
      <c r="D7919" s="3" t="s">
        <v>17786</v>
      </c>
      <c r="E7919" s="3" t="s">
        <v>17787</v>
      </c>
      <c r="F7919" s="3" t="s">
        <v>17788</v>
      </c>
    </row>
    <row r="7920">
      <c r="A7920" s="3">
        <v>2287.0</v>
      </c>
      <c r="B7920" s="3" t="s">
        <v>11280</v>
      </c>
      <c r="C7920" s="3" t="s">
        <v>11281</v>
      </c>
      <c r="D7920" s="3" t="s">
        <v>5155</v>
      </c>
      <c r="E7920" s="3" t="s">
        <v>7705</v>
      </c>
      <c r="F7920" s="3" t="s">
        <v>5155</v>
      </c>
      <c r="G7920" s="3"/>
      <c r="H7920" s="3" t="s">
        <v>5132</v>
      </c>
      <c r="I7920" s="3" t="s">
        <v>5131</v>
      </c>
      <c r="J7920" s="3" t="s">
        <v>5129</v>
      </c>
      <c r="K7920" s="3" t="s">
        <v>5133</v>
      </c>
      <c r="L7920" s="3" t="s">
        <v>5134</v>
      </c>
      <c r="M7920" s="3" t="s">
        <v>4157</v>
      </c>
    </row>
    <row r="7921">
      <c r="A7921" s="3">
        <v>2288.0</v>
      </c>
      <c r="B7921" s="3" t="s">
        <v>11280</v>
      </c>
      <c r="C7921" s="3" t="s">
        <v>11281</v>
      </c>
      <c r="D7921" s="3" t="s">
        <v>5170</v>
      </c>
      <c r="E7921" s="3" t="s">
        <v>7700</v>
      </c>
      <c r="F7921" s="3" t="s">
        <v>5170</v>
      </c>
    </row>
    <row r="7922">
      <c r="A7922" s="3">
        <v>2289.0</v>
      </c>
      <c r="B7922" s="3" t="s">
        <v>11280</v>
      </c>
      <c r="C7922" s="3" t="s">
        <v>11281</v>
      </c>
      <c r="D7922" s="3" t="s">
        <v>17789</v>
      </c>
      <c r="E7922" s="3" t="s">
        <v>17790</v>
      </c>
      <c r="F7922" s="3" t="s">
        <v>17789</v>
      </c>
    </row>
    <row r="7923">
      <c r="A7923" s="3">
        <v>2290.0</v>
      </c>
      <c r="B7923" s="3" t="s">
        <v>11280</v>
      </c>
      <c r="C7923" s="3" t="s">
        <v>11281</v>
      </c>
      <c r="D7923" s="3" t="s">
        <v>17791</v>
      </c>
      <c r="E7923" s="3" t="s">
        <v>17792</v>
      </c>
      <c r="F7923" s="3" t="s">
        <v>17791</v>
      </c>
    </row>
    <row r="7924">
      <c r="A7924" s="3">
        <v>2291.0</v>
      </c>
      <c r="B7924" s="3" t="s">
        <v>11280</v>
      </c>
      <c r="C7924" s="3" t="s">
        <v>11281</v>
      </c>
      <c r="D7924" s="3" t="s">
        <v>17793</v>
      </c>
      <c r="E7924" s="3" t="s">
        <v>17794</v>
      </c>
      <c r="F7924" s="3" t="s">
        <v>17793</v>
      </c>
    </row>
    <row r="7925">
      <c r="A7925" s="3">
        <v>2292.0</v>
      </c>
      <c r="B7925" s="3" t="s">
        <v>11280</v>
      </c>
      <c r="C7925" s="3" t="s">
        <v>11281</v>
      </c>
      <c r="D7925" s="3" t="s">
        <v>17795</v>
      </c>
      <c r="E7925" s="3" t="s">
        <v>17796</v>
      </c>
      <c r="F7925" s="3" t="s">
        <v>17795</v>
      </c>
      <c r="G7925" s="3"/>
      <c r="H7925" s="3" t="s">
        <v>17797</v>
      </c>
      <c r="I7925" s="3" t="s">
        <v>7597</v>
      </c>
      <c r="J7925" s="3" t="s">
        <v>17798</v>
      </c>
      <c r="K7925" s="3" t="s">
        <v>17797</v>
      </c>
      <c r="L7925" s="3" t="s">
        <v>17799</v>
      </c>
      <c r="M7925" s="3" t="s">
        <v>7595</v>
      </c>
      <c r="N7925" s="3" t="s">
        <v>7597</v>
      </c>
    </row>
    <row r="7926">
      <c r="A7926" s="3">
        <v>2293.0</v>
      </c>
      <c r="B7926" s="3" t="s">
        <v>11280</v>
      </c>
      <c r="C7926" s="3" t="s">
        <v>11281</v>
      </c>
      <c r="D7926" s="3" t="s">
        <v>17800</v>
      </c>
      <c r="E7926" s="3" t="s">
        <v>17801</v>
      </c>
      <c r="F7926" s="3" t="s">
        <v>17800</v>
      </c>
    </row>
    <row r="7927">
      <c r="A7927" s="3">
        <v>2294.0</v>
      </c>
      <c r="B7927" s="3" t="s">
        <v>11280</v>
      </c>
      <c r="C7927" s="3" t="s">
        <v>11281</v>
      </c>
      <c r="D7927" s="3" t="s">
        <v>17802</v>
      </c>
      <c r="E7927" s="3" t="s">
        <v>17803</v>
      </c>
      <c r="F7927" s="3" t="s">
        <v>17802</v>
      </c>
    </row>
    <row r="7928">
      <c r="A7928" s="3">
        <v>2295.0</v>
      </c>
      <c r="B7928" s="3" t="s">
        <v>11280</v>
      </c>
      <c r="C7928" s="3" t="s">
        <v>11281</v>
      </c>
      <c r="D7928" s="3" t="s">
        <v>17804</v>
      </c>
      <c r="E7928" s="3" t="s">
        <v>17805</v>
      </c>
      <c r="F7928" s="3" t="s">
        <v>17804</v>
      </c>
    </row>
    <row r="7929">
      <c r="A7929" s="3">
        <v>2296.0</v>
      </c>
      <c r="B7929" s="3" t="s">
        <v>11280</v>
      </c>
      <c r="C7929" s="3" t="s">
        <v>11281</v>
      </c>
      <c r="D7929" s="3" t="s">
        <v>5179</v>
      </c>
      <c r="E7929" s="3" t="s">
        <v>7703</v>
      </c>
      <c r="F7929" s="3" t="s">
        <v>5179</v>
      </c>
    </row>
    <row r="7930">
      <c r="A7930" s="3">
        <v>2297.0</v>
      </c>
      <c r="B7930" s="3" t="s">
        <v>11280</v>
      </c>
      <c r="C7930" s="3" t="s">
        <v>11281</v>
      </c>
      <c r="D7930" s="3" t="s">
        <v>7706</v>
      </c>
      <c r="E7930" s="3" t="s">
        <v>7707</v>
      </c>
      <c r="F7930" s="3" t="s">
        <v>7706</v>
      </c>
      <c r="G7930" s="3"/>
      <c r="H7930" s="3" t="s">
        <v>7706</v>
      </c>
      <c r="I7930" s="3" t="s">
        <v>7708</v>
      </c>
    </row>
    <row r="7931">
      <c r="A7931" s="3">
        <v>2298.0</v>
      </c>
      <c r="B7931" s="3" t="s">
        <v>11280</v>
      </c>
      <c r="C7931" s="3" t="s">
        <v>11281</v>
      </c>
      <c r="D7931" s="3" t="s">
        <v>17806</v>
      </c>
      <c r="E7931" s="3" t="s">
        <v>17807</v>
      </c>
      <c r="F7931" s="3" t="s">
        <v>17808</v>
      </c>
    </row>
    <row r="7932">
      <c r="A7932" s="3">
        <v>2299.0</v>
      </c>
      <c r="B7932" s="3" t="s">
        <v>11280</v>
      </c>
      <c r="C7932" s="3" t="s">
        <v>11281</v>
      </c>
      <c r="D7932" s="3" t="s">
        <v>17809</v>
      </c>
      <c r="E7932" s="3" t="s">
        <v>17810</v>
      </c>
      <c r="F7932" s="3" t="s">
        <v>17811</v>
      </c>
    </row>
    <row r="7933">
      <c r="A7933" s="3">
        <v>2300.0</v>
      </c>
      <c r="B7933" s="3" t="s">
        <v>11280</v>
      </c>
      <c r="C7933" s="3" t="s">
        <v>11281</v>
      </c>
      <c r="D7933" s="3" t="s">
        <v>17812</v>
      </c>
      <c r="E7933" s="3" t="s">
        <v>17813</v>
      </c>
      <c r="F7933" s="3" t="s">
        <v>17812</v>
      </c>
    </row>
    <row r="7934">
      <c r="A7934" s="3">
        <v>2301.0</v>
      </c>
      <c r="B7934" s="3" t="s">
        <v>11280</v>
      </c>
      <c r="C7934" s="3" t="s">
        <v>11281</v>
      </c>
      <c r="D7934" s="3" t="s">
        <v>17814</v>
      </c>
      <c r="E7934" s="3" t="s">
        <v>17815</v>
      </c>
      <c r="F7934" s="3" t="s">
        <v>17814</v>
      </c>
    </row>
    <row r="7935">
      <c r="A7935" s="3">
        <v>2302.0</v>
      </c>
      <c r="B7935" s="3" t="s">
        <v>11280</v>
      </c>
      <c r="C7935" s="3" t="s">
        <v>11281</v>
      </c>
      <c r="D7935" s="3" t="s">
        <v>17816</v>
      </c>
      <c r="E7935" s="3" t="s">
        <v>17817</v>
      </c>
      <c r="F7935" s="3" t="s">
        <v>17816</v>
      </c>
    </row>
    <row r="7936">
      <c r="A7936" s="3">
        <v>2303.0</v>
      </c>
      <c r="B7936" s="3" t="s">
        <v>11280</v>
      </c>
      <c r="C7936" s="3" t="s">
        <v>11281</v>
      </c>
      <c r="D7936" s="3" t="s">
        <v>17818</v>
      </c>
      <c r="E7936" s="3" t="s">
        <v>17819</v>
      </c>
      <c r="F7936" s="3" t="s">
        <v>17818</v>
      </c>
    </row>
    <row r="7937">
      <c r="A7937" s="3">
        <v>2304.0</v>
      </c>
      <c r="B7937" s="3" t="s">
        <v>11280</v>
      </c>
      <c r="C7937" s="3" t="s">
        <v>11281</v>
      </c>
      <c r="D7937" s="3" t="s">
        <v>17820</v>
      </c>
      <c r="E7937" s="3" t="s">
        <v>17821</v>
      </c>
      <c r="F7937" s="3" t="s">
        <v>17820</v>
      </c>
    </row>
    <row r="7938">
      <c r="A7938" s="3">
        <v>2305.0</v>
      </c>
      <c r="B7938" s="3" t="s">
        <v>11280</v>
      </c>
      <c r="C7938" s="3" t="s">
        <v>11281</v>
      </c>
      <c r="D7938" s="3" t="s">
        <v>17822</v>
      </c>
      <c r="E7938" s="3" t="s">
        <v>17823</v>
      </c>
      <c r="F7938" s="3" t="s">
        <v>17822</v>
      </c>
    </row>
    <row r="7939">
      <c r="A7939" s="3">
        <v>2306.0</v>
      </c>
      <c r="B7939" s="3" t="s">
        <v>11280</v>
      </c>
      <c r="C7939" s="3" t="s">
        <v>11281</v>
      </c>
      <c r="D7939" s="3" t="s">
        <v>17824</v>
      </c>
      <c r="E7939" s="3" t="s">
        <v>17825</v>
      </c>
      <c r="F7939" s="3" t="s">
        <v>17824</v>
      </c>
    </row>
    <row r="7940">
      <c r="A7940" s="3">
        <v>2307.0</v>
      </c>
      <c r="B7940" s="3" t="s">
        <v>11280</v>
      </c>
      <c r="C7940" s="3" t="s">
        <v>11281</v>
      </c>
      <c r="D7940" s="3" t="s">
        <v>17826</v>
      </c>
      <c r="E7940" s="3" t="s">
        <v>17827</v>
      </c>
      <c r="F7940" s="3" t="s">
        <v>17826</v>
      </c>
    </row>
    <row r="7941">
      <c r="A7941" s="3">
        <v>2308.0</v>
      </c>
      <c r="B7941" s="3" t="s">
        <v>11280</v>
      </c>
      <c r="C7941" s="3" t="s">
        <v>11281</v>
      </c>
      <c r="D7941" s="3" t="s">
        <v>17828</v>
      </c>
      <c r="E7941" s="3" t="s">
        <v>17829</v>
      </c>
      <c r="F7941" s="3" t="s">
        <v>17828</v>
      </c>
    </row>
    <row r="7942">
      <c r="A7942" s="3">
        <v>2309.0</v>
      </c>
      <c r="B7942" s="3" t="s">
        <v>11280</v>
      </c>
      <c r="C7942" s="3" t="s">
        <v>11281</v>
      </c>
      <c r="D7942" s="3" t="s">
        <v>17830</v>
      </c>
      <c r="E7942" s="3" t="s">
        <v>17831</v>
      </c>
      <c r="F7942" s="3" t="s">
        <v>17830</v>
      </c>
    </row>
    <row r="7943">
      <c r="A7943" s="3">
        <v>2310.0</v>
      </c>
      <c r="B7943" s="3" t="s">
        <v>11280</v>
      </c>
      <c r="C7943" s="3" t="s">
        <v>11281</v>
      </c>
      <c r="D7943" s="3" t="s">
        <v>17832</v>
      </c>
      <c r="E7943" s="3" t="s">
        <v>17833</v>
      </c>
      <c r="F7943" s="3" t="s">
        <v>17834</v>
      </c>
    </row>
    <row r="7944">
      <c r="A7944" s="3">
        <v>2311.0</v>
      </c>
      <c r="B7944" s="3" t="s">
        <v>11280</v>
      </c>
      <c r="C7944" s="3" t="s">
        <v>11281</v>
      </c>
      <c r="D7944" s="3" t="s">
        <v>17835</v>
      </c>
      <c r="E7944" s="3" t="s">
        <v>17836</v>
      </c>
      <c r="F7944" s="3" t="s">
        <v>17837</v>
      </c>
    </row>
    <row r="7945">
      <c r="A7945" s="3">
        <v>2312.0</v>
      </c>
      <c r="B7945" s="3" t="s">
        <v>11280</v>
      </c>
      <c r="C7945" s="3" t="s">
        <v>11281</v>
      </c>
      <c r="D7945" s="3" t="s">
        <v>17838</v>
      </c>
      <c r="E7945" s="3" t="s">
        <v>17839</v>
      </c>
      <c r="F7945" s="3" t="s">
        <v>17840</v>
      </c>
    </row>
    <row r="7946">
      <c r="A7946" s="3">
        <v>2313.0</v>
      </c>
      <c r="B7946" s="3" t="s">
        <v>11280</v>
      </c>
      <c r="C7946" s="3" t="s">
        <v>11281</v>
      </c>
      <c r="D7946" s="3" t="s">
        <v>17841</v>
      </c>
      <c r="E7946" s="3" t="s">
        <v>17842</v>
      </c>
      <c r="F7946" s="3" t="s">
        <v>17834</v>
      </c>
    </row>
    <row r="7947">
      <c r="A7947" s="3">
        <v>2314.0</v>
      </c>
      <c r="B7947" s="3" t="s">
        <v>11280</v>
      </c>
      <c r="C7947" s="3" t="s">
        <v>11281</v>
      </c>
      <c r="D7947" s="3" t="s">
        <v>17843</v>
      </c>
      <c r="E7947" s="3" t="s">
        <v>17844</v>
      </c>
      <c r="F7947" s="3" t="s">
        <v>17845</v>
      </c>
    </row>
    <row r="7948">
      <c r="A7948" s="3">
        <v>2315.0</v>
      </c>
      <c r="B7948" s="3" t="s">
        <v>11280</v>
      </c>
      <c r="C7948" s="3" t="s">
        <v>11281</v>
      </c>
      <c r="D7948" s="3" t="s">
        <v>17846</v>
      </c>
      <c r="E7948" s="3" t="s">
        <v>17847</v>
      </c>
      <c r="F7948" s="3" t="s">
        <v>17848</v>
      </c>
      <c r="G7948" s="3"/>
      <c r="H7948" s="3" t="s">
        <v>17849</v>
      </c>
      <c r="I7948" s="3" t="s">
        <v>17850</v>
      </c>
      <c r="J7948" s="3" t="s">
        <v>6757</v>
      </c>
      <c r="K7948" s="3" t="s">
        <v>17851</v>
      </c>
      <c r="L7948" s="3" t="s">
        <v>6757</v>
      </c>
      <c r="M7948" s="3" t="s">
        <v>6758</v>
      </c>
    </row>
    <row r="7949">
      <c r="A7949" s="3">
        <v>2316.0</v>
      </c>
      <c r="B7949" s="3" t="s">
        <v>11280</v>
      </c>
      <c r="C7949" s="3" t="s">
        <v>11281</v>
      </c>
      <c r="D7949" s="3" t="s">
        <v>17852</v>
      </c>
      <c r="E7949" s="3" t="s">
        <v>17853</v>
      </c>
      <c r="F7949" s="3" t="s">
        <v>17854</v>
      </c>
    </row>
    <row r="7950">
      <c r="A7950" s="3">
        <v>2317.0</v>
      </c>
      <c r="B7950" s="3" t="s">
        <v>11280</v>
      </c>
      <c r="C7950" s="3" t="s">
        <v>11281</v>
      </c>
      <c r="D7950" s="3" t="s">
        <v>17855</v>
      </c>
      <c r="E7950" s="3" t="s">
        <v>17856</v>
      </c>
      <c r="F7950" s="3" t="s">
        <v>17857</v>
      </c>
    </row>
    <row r="7951">
      <c r="A7951" s="3">
        <v>2318.0</v>
      </c>
      <c r="B7951" s="3" t="s">
        <v>11280</v>
      </c>
      <c r="C7951" s="3" t="s">
        <v>11281</v>
      </c>
      <c r="D7951" s="3" t="s">
        <v>17858</v>
      </c>
      <c r="E7951" s="3" t="s">
        <v>17859</v>
      </c>
      <c r="F7951" s="3" t="s">
        <v>17860</v>
      </c>
    </row>
    <row r="7952">
      <c r="A7952" s="3">
        <v>2319.0</v>
      </c>
      <c r="B7952" s="3" t="s">
        <v>11280</v>
      </c>
      <c r="C7952" s="3" t="s">
        <v>11281</v>
      </c>
      <c r="D7952" s="3" t="s">
        <v>17861</v>
      </c>
      <c r="E7952" s="3" t="s">
        <v>17862</v>
      </c>
      <c r="F7952" s="3" t="s">
        <v>17837</v>
      </c>
    </row>
    <row r="7953">
      <c r="A7953" s="3">
        <v>2320.0</v>
      </c>
      <c r="B7953" s="3" t="s">
        <v>11280</v>
      </c>
      <c r="C7953" s="3" t="s">
        <v>11281</v>
      </c>
      <c r="D7953" s="3" t="s">
        <v>5256</v>
      </c>
      <c r="E7953" s="3" t="s">
        <v>17863</v>
      </c>
      <c r="F7953" s="3" t="s">
        <v>5256</v>
      </c>
    </row>
    <row r="7954">
      <c r="A7954" s="3">
        <v>2321.0</v>
      </c>
      <c r="B7954" s="3" t="s">
        <v>11280</v>
      </c>
      <c r="C7954" s="3" t="s">
        <v>11281</v>
      </c>
      <c r="D7954" s="3" t="s">
        <v>5247</v>
      </c>
      <c r="E7954" s="3" t="s">
        <v>17864</v>
      </c>
      <c r="F7954" s="3" t="s">
        <v>5247</v>
      </c>
    </row>
    <row r="7955">
      <c r="A7955" s="3">
        <v>2322.0</v>
      </c>
      <c r="B7955" s="3" t="s">
        <v>11280</v>
      </c>
      <c r="C7955" s="3" t="s">
        <v>11281</v>
      </c>
      <c r="D7955" s="3" t="s">
        <v>17865</v>
      </c>
      <c r="E7955" s="3" t="s">
        <v>17866</v>
      </c>
      <c r="F7955" s="3" t="s">
        <v>17865</v>
      </c>
    </row>
    <row r="7956">
      <c r="A7956" s="3">
        <v>2323.0</v>
      </c>
      <c r="B7956" s="3" t="s">
        <v>11280</v>
      </c>
      <c r="C7956" s="3" t="s">
        <v>11281</v>
      </c>
      <c r="D7956" s="3" t="s">
        <v>17867</v>
      </c>
      <c r="E7956" s="3" t="s">
        <v>17868</v>
      </c>
      <c r="F7956" s="3" t="s">
        <v>17867</v>
      </c>
      <c r="G7956" s="3"/>
      <c r="H7956" s="3" t="s">
        <v>17869</v>
      </c>
      <c r="I7956" s="3" t="s">
        <v>17870</v>
      </c>
      <c r="J7956" s="3" t="s">
        <v>17871</v>
      </c>
      <c r="K7956" s="3" t="s">
        <v>17872</v>
      </c>
      <c r="L7956" s="3" t="s">
        <v>8777</v>
      </c>
      <c r="M7956" s="3" t="s">
        <v>17873</v>
      </c>
      <c r="N7956" s="3" t="s">
        <v>17874</v>
      </c>
      <c r="O7956" s="3" t="s">
        <v>13149</v>
      </c>
    </row>
    <row r="7957">
      <c r="A7957" s="3">
        <v>2324.0</v>
      </c>
      <c r="B7957" s="3" t="s">
        <v>11280</v>
      </c>
      <c r="C7957" s="3" t="s">
        <v>11281</v>
      </c>
      <c r="D7957" s="3" t="s">
        <v>17875</v>
      </c>
      <c r="E7957" s="3" t="s">
        <v>17876</v>
      </c>
      <c r="F7957" s="3" t="s">
        <v>17875</v>
      </c>
    </row>
    <row r="7958">
      <c r="A7958" s="3">
        <v>2325.0</v>
      </c>
      <c r="B7958" s="3" t="s">
        <v>11280</v>
      </c>
      <c r="C7958" s="3" t="s">
        <v>11281</v>
      </c>
      <c r="D7958" s="3" t="s">
        <v>17877</v>
      </c>
      <c r="E7958" s="3" t="s">
        <v>17878</v>
      </c>
      <c r="F7958" s="3" t="s">
        <v>17877</v>
      </c>
    </row>
    <row r="7959">
      <c r="A7959" s="3">
        <v>2326.0</v>
      </c>
      <c r="B7959" s="3" t="s">
        <v>11280</v>
      </c>
      <c r="C7959" s="3" t="s">
        <v>11281</v>
      </c>
      <c r="D7959" s="3" t="s">
        <v>17879</v>
      </c>
      <c r="E7959" s="3" t="s">
        <v>17880</v>
      </c>
      <c r="F7959" s="3" t="s">
        <v>17879</v>
      </c>
    </row>
    <row r="7960">
      <c r="A7960" s="3">
        <v>2327.0</v>
      </c>
      <c r="B7960" s="3" t="s">
        <v>11280</v>
      </c>
      <c r="C7960" s="3" t="s">
        <v>11281</v>
      </c>
      <c r="D7960" s="3" t="s">
        <v>17881</v>
      </c>
      <c r="E7960" s="3" t="s">
        <v>17882</v>
      </c>
      <c r="F7960" s="3" t="s">
        <v>17881</v>
      </c>
    </row>
    <row r="7961">
      <c r="A7961" s="3">
        <v>2328.0</v>
      </c>
      <c r="B7961" s="3" t="s">
        <v>11280</v>
      </c>
      <c r="C7961" s="3" t="s">
        <v>11281</v>
      </c>
      <c r="D7961" s="3" t="s">
        <v>17883</v>
      </c>
      <c r="E7961" s="3" t="s">
        <v>17884</v>
      </c>
      <c r="F7961" s="3" t="s">
        <v>17883</v>
      </c>
    </row>
    <row r="7962">
      <c r="A7962" s="3">
        <v>2329.0</v>
      </c>
      <c r="B7962" s="3" t="s">
        <v>11280</v>
      </c>
      <c r="C7962" s="3" t="s">
        <v>11281</v>
      </c>
      <c r="D7962" s="3" t="s">
        <v>17885</v>
      </c>
      <c r="E7962" s="3" t="s">
        <v>17886</v>
      </c>
      <c r="F7962" s="3" t="s">
        <v>17885</v>
      </c>
    </row>
    <row r="7963">
      <c r="A7963" s="3">
        <v>2330.0</v>
      </c>
      <c r="B7963" s="3" t="s">
        <v>11280</v>
      </c>
      <c r="C7963" s="3" t="s">
        <v>11281</v>
      </c>
      <c r="D7963" s="3" t="s">
        <v>17887</v>
      </c>
      <c r="E7963" s="3" t="s">
        <v>17888</v>
      </c>
      <c r="F7963" s="3" t="s">
        <v>17887</v>
      </c>
    </row>
    <row r="7964">
      <c r="A7964" s="3">
        <v>2331.0</v>
      </c>
      <c r="B7964" s="3" t="s">
        <v>11280</v>
      </c>
      <c r="C7964" s="3" t="s">
        <v>11281</v>
      </c>
      <c r="D7964" s="3" t="s">
        <v>17889</v>
      </c>
      <c r="E7964" s="3" t="s">
        <v>17890</v>
      </c>
      <c r="F7964" s="3" t="s">
        <v>17889</v>
      </c>
    </row>
    <row r="7965">
      <c r="A7965" s="3">
        <v>2332.0</v>
      </c>
      <c r="B7965" s="3" t="s">
        <v>11280</v>
      </c>
      <c r="C7965" s="3" t="s">
        <v>11281</v>
      </c>
      <c r="D7965" s="3" t="s">
        <v>17891</v>
      </c>
      <c r="E7965" s="3" t="s">
        <v>17892</v>
      </c>
      <c r="F7965" s="3" t="s">
        <v>17891</v>
      </c>
    </row>
    <row r="7966">
      <c r="A7966" s="3">
        <v>2333.0</v>
      </c>
      <c r="B7966" s="3" t="s">
        <v>11280</v>
      </c>
      <c r="C7966" s="3" t="s">
        <v>11281</v>
      </c>
      <c r="D7966" s="3" t="s">
        <v>17893</v>
      </c>
      <c r="E7966" s="3" t="s">
        <v>17894</v>
      </c>
      <c r="F7966" s="3" t="s">
        <v>17893</v>
      </c>
    </row>
    <row r="7967">
      <c r="A7967" s="3">
        <v>2334.0</v>
      </c>
      <c r="B7967" s="3" t="s">
        <v>11280</v>
      </c>
      <c r="C7967" s="3" t="s">
        <v>11281</v>
      </c>
      <c r="D7967" s="3" t="s">
        <v>17895</v>
      </c>
      <c r="E7967" s="3" t="s">
        <v>17896</v>
      </c>
      <c r="F7967" s="3" t="s">
        <v>17895</v>
      </c>
      <c r="G7967" s="3"/>
      <c r="H7967" s="3" t="s">
        <v>17897</v>
      </c>
      <c r="I7967" s="3" t="s">
        <v>17898</v>
      </c>
    </row>
    <row r="7968">
      <c r="A7968" s="3">
        <v>2335.0</v>
      </c>
      <c r="B7968" s="3" t="s">
        <v>11280</v>
      </c>
      <c r="C7968" s="3" t="s">
        <v>11281</v>
      </c>
      <c r="D7968" s="3" t="s">
        <v>17899</v>
      </c>
      <c r="E7968" s="3" t="s">
        <v>17900</v>
      </c>
      <c r="F7968" s="3" t="s">
        <v>17899</v>
      </c>
    </row>
    <row r="7969">
      <c r="A7969" s="3">
        <v>2336.0</v>
      </c>
      <c r="B7969" s="3" t="s">
        <v>11280</v>
      </c>
      <c r="C7969" s="3" t="s">
        <v>11281</v>
      </c>
      <c r="D7969" s="3" t="s">
        <v>17901</v>
      </c>
      <c r="E7969" s="3" t="s">
        <v>17902</v>
      </c>
      <c r="F7969" s="3" t="s">
        <v>17901</v>
      </c>
    </row>
    <row r="7970">
      <c r="A7970" s="3">
        <v>2337.0</v>
      </c>
      <c r="B7970" s="3" t="s">
        <v>11280</v>
      </c>
      <c r="C7970" s="3" t="s">
        <v>11281</v>
      </c>
      <c r="D7970" s="3" t="s">
        <v>17903</v>
      </c>
      <c r="E7970" s="3" t="s">
        <v>17904</v>
      </c>
      <c r="F7970" s="3" t="s">
        <v>17903</v>
      </c>
    </row>
    <row r="7971">
      <c r="A7971" s="3">
        <v>2338.0</v>
      </c>
      <c r="B7971" s="3" t="s">
        <v>11280</v>
      </c>
      <c r="C7971" s="3" t="s">
        <v>11281</v>
      </c>
      <c r="D7971" s="3" t="s">
        <v>17905</v>
      </c>
      <c r="E7971" s="3" t="s">
        <v>17906</v>
      </c>
      <c r="F7971" s="3" t="s">
        <v>17905</v>
      </c>
    </row>
    <row r="7972">
      <c r="A7972" s="3">
        <v>2339.0</v>
      </c>
      <c r="B7972" s="3" t="s">
        <v>11280</v>
      </c>
      <c r="C7972" s="3" t="s">
        <v>11281</v>
      </c>
      <c r="D7972" s="3" t="s">
        <v>17907</v>
      </c>
      <c r="E7972" s="3" t="s">
        <v>17908</v>
      </c>
      <c r="F7972" s="3" t="s">
        <v>17907</v>
      </c>
    </row>
    <row r="7973">
      <c r="A7973" s="3">
        <v>2340.0</v>
      </c>
      <c r="B7973" s="3" t="s">
        <v>11280</v>
      </c>
      <c r="C7973" s="3" t="s">
        <v>11281</v>
      </c>
      <c r="D7973" s="3" t="s">
        <v>17909</v>
      </c>
      <c r="E7973" s="3" t="s">
        <v>17910</v>
      </c>
      <c r="F7973" s="3" t="s">
        <v>17909</v>
      </c>
      <c r="G7973" s="3"/>
      <c r="H7973" s="3" t="s">
        <v>17911</v>
      </c>
      <c r="I7973" s="3" t="s">
        <v>17912</v>
      </c>
      <c r="J7973" s="3" t="s">
        <v>17913</v>
      </c>
      <c r="K7973" s="3" t="s">
        <v>12663</v>
      </c>
      <c r="L7973" s="3" t="s">
        <v>17914</v>
      </c>
    </row>
    <row r="7974">
      <c r="A7974" s="3">
        <v>2341.0</v>
      </c>
      <c r="B7974" s="3" t="s">
        <v>11280</v>
      </c>
      <c r="C7974" s="3" t="s">
        <v>11281</v>
      </c>
      <c r="D7974" s="3" t="s">
        <v>17915</v>
      </c>
      <c r="E7974" s="3" t="s">
        <v>17916</v>
      </c>
      <c r="F7974" s="3" t="s">
        <v>17915</v>
      </c>
    </row>
    <row r="7975">
      <c r="A7975" s="3">
        <v>2342.0</v>
      </c>
      <c r="B7975" s="3" t="s">
        <v>11280</v>
      </c>
      <c r="C7975" s="3" t="s">
        <v>11281</v>
      </c>
      <c r="D7975" s="3" t="s">
        <v>17917</v>
      </c>
      <c r="E7975" s="3" t="s">
        <v>17918</v>
      </c>
      <c r="F7975" s="3" t="s">
        <v>17917</v>
      </c>
    </row>
    <row r="7976">
      <c r="A7976" s="3">
        <v>2343.0</v>
      </c>
      <c r="B7976" s="3" t="s">
        <v>11280</v>
      </c>
      <c r="C7976" s="3" t="s">
        <v>11281</v>
      </c>
      <c r="D7976" s="3" t="s">
        <v>17919</v>
      </c>
      <c r="E7976" s="3" t="s">
        <v>17920</v>
      </c>
      <c r="F7976" s="3" t="s">
        <v>17919</v>
      </c>
      <c r="G7976" s="3"/>
      <c r="H7976" s="3" t="s">
        <v>17921</v>
      </c>
    </row>
    <row r="7977">
      <c r="A7977" s="3">
        <v>2344.0</v>
      </c>
      <c r="B7977" s="3" t="s">
        <v>11280</v>
      </c>
      <c r="C7977" s="3" t="s">
        <v>11281</v>
      </c>
      <c r="D7977" s="3" t="s">
        <v>17922</v>
      </c>
      <c r="E7977" s="3" t="s">
        <v>17923</v>
      </c>
      <c r="F7977" s="3" t="s">
        <v>17922</v>
      </c>
    </row>
    <row r="7978">
      <c r="A7978" s="3">
        <v>2345.0</v>
      </c>
      <c r="B7978" s="3" t="s">
        <v>11280</v>
      </c>
      <c r="C7978" s="3" t="s">
        <v>11281</v>
      </c>
      <c r="D7978" s="3" t="s">
        <v>17924</v>
      </c>
      <c r="E7978" s="3" t="s">
        <v>17925</v>
      </c>
      <c r="F7978" s="3" t="s">
        <v>17924</v>
      </c>
    </row>
    <row r="7979">
      <c r="A7979" s="3">
        <v>2346.0</v>
      </c>
      <c r="B7979" s="3" t="s">
        <v>11280</v>
      </c>
      <c r="C7979" s="3" t="s">
        <v>11281</v>
      </c>
      <c r="D7979" s="3" t="s">
        <v>17926</v>
      </c>
      <c r="E7979" s="3" t="s">
        <v>17927</v>
      </c>
      <c r="F7979" s="3" t="s">
        <v>17926</v>
      </c>
    </row>
    <row r="7980">
      <c r="A7980" s="3">
        <v>2347.0</v>
      </c>
      <c r="B7980" s="3" t="s">
        <v>11280</v>
      </c>
      <c r="C7980" s="3" t="s">
        <v>11281</v>
      </c>
      <c r="D7980" s="3" t="s">
        <v>17928</v>
      </c>
      <c r="E7980" s="3" t="s">
        <v>17929</v>
      </c>
      <c r="F7980" s="3" t="s">
        <v>17928</v>
      </c>
    </row>
    <row r="7981">
      <c r="A7981" s="3">
        <v>2348.0</v>
      </c>
      <c r="B7981" s="3" t="s">
        <v>11280</v>
      </c>
      <c r="C7981" s="3" t="s">
        <v>11281</v>
      </c>
      <c r="D7981" s="3" t="s">
        <v>17930</v>
      </c>
      <c r="E7981" s="3" t="s">
        <v>17931</v>
      </c>
      <c r="F7981" s="3" t="s">
        <v>17930</v>
      </c>
    </row>
    <row r="7982">
      <c r="A7982" s="3">
        <v>2349.0</v>
      </c>
      <c r="B7982" s="3" t="s">
        <v>11280</v>
      </c>
      <c r="C7982" s="3" t="s">
        <v>11281</v>
      </c>
      <c r="D7982" s="3" t="s">
        <v>17932</v>
      </c>
      <c r="E7982" s="3" t="s">
        <v>17933</v>
      </c>
      <c r="F7982" s="3" t="s">
        <v>17932</v>
      </c>
    </row>
    <row r="7983">
      <c r="A7983" s="3">
        <v>2350.0</v>
      </c>
      <c r="B7983" s="3" t="s">
        <v>11280</v>
      </c>
      <c r="C7983" s="3" t="s">
        <v>11281</v>
      </c>
      <c r="D7983" s="3" t="s">
        <v>17934</v>
      </c>
      <c r="E7983" s="3" t="s">
        <v>17935</v>
      </c>
      <c r="F7983" s="3" t="s">
        <v>17934</v>
      </c>
    </row>
    <row r="7984">
      <c r="A7984" s="3">
        <v>2351.0</v>
      </c>
      <c r="B7984" s="3" t="s">
        <v>11280</v>
      </c>
      <c r="C7984" s="3" t="s">
        <v>11281</v>
      </c>
      <c r="D7984" s="3" t="s">
        <v>17936</v>
      </c>
      <c r="E7984" s="3" t="s">
        <v>17937</v>
      </c>
      <c r="F7984" s="3" t="s">
        <v>17936</v>
      </c>
    </row>
    <row r="7985">
      <c r="A7985" s="3">
        <v>2352.0</v>
      </c>
      <c r="B7985" s="3" t="s">
        <v>11280</v>
      </c>
      <c r="C7985" s="3" t="s">
        <v>11281</v>
      </c>
      <c r="D7985" s="3" t="s">
        <v>174</v>
      </c>
      <c r="E7985" s="3" t="s">
        <v>175</v>
      </c>
      <c r="F7985" s="3" t="s">
        <v>174</v>
      </c>
      <c r="G7985" s="3"/>
      <c r="H7985" s="3" t="s">
        <v>174</v>
      </c>
      <c r="I7985" s="3" t="s">
        <v>17938</v>
      </c>
      <c r="J7985" s="3" t="s">
        <v>17939</v>
      </c>
      <c r="K7985" s="3" t="s">
        <v>17940</v>
      </c>
      <c r="L7985" s="3" t="s">
        <v>17941</v>
      </c>
      <c r="M7985" s="3" t="s">
        <v>17942</v>
      </c>
    </row>
    <row r="7986">
      <c r="A7986" s="3">
        <v>2353.0</v>
      </c>
      <c r="B7986" s="3" t="s">
        <v>11280</v>
      </c>
      <c r="C7986" s="3" t="s">
        <v>11281</v>
      </c>
      <c r="D7986" s="3" t="s">
        <v>17943</v>
      </c>
      <c r="E7986" s="3" t="s">
        <v>17944</v>
      </c>
      <c r="F7986" s="3" t="s">
        <v>17943</v>
      </c>
      <c r="G7986" s="3"/>
      <c r="H7986" s="3" t="s">
        <v>17945</v>
      </c>
      <c r="I7986" s="3" t="s">
        <v>17946</v>
      </c>
      <c r="J7986" s="3" t="s">
        <v>17947</v>
      </c>
      <c r="K7986" s="3" t="s">
        <v>17948</v>
      </c>
      <c r="L7986" s="3" t="s">
        <v>17949</v>
      </c>
      <c r="M7986" s="3" t="s">
        <v>17950</v>
      </c>
      <c r="N7986" s="3" t="s">
        <v>17951</v>
      </c>
    </row>
    <row r="7987">
      <c r="A7987" s="3">
        <v>2354.0</v>
      </c>
      <c r="B7987" s="3" t="s">
        <v>11280</v>
      </c>
      <c r="C7987" s="3" t="s">
        <v>11281</v>
      </c>
      <c r="D7987" s="3" t="s">
        <v>17952</v>
      </c>
      <c r="E7987" s="3" t="s">
        <v>17953</v>
      </c>
      <c r="F7987" s="3" t="s">
        <v>17952</v>
      </c>
    </row>
    <row r="7988">
      <c r="A7988" s="3">
        <v>2355.0</v>
      </c>
      <c r="B7988" s="3" t="s">
        <v>11280</v>
      </c>
      <c r="C7988" s="3" t="s">
        <v>11281</v>
      </c>
      <c r="D7988" s="3" t="s">
        <v>17954</v>
      </c>
      <c r="E7988" s="3" t="s">
        <v>17955</v>
      </c>
      <c r="F7988" s="3" t="s">
        <v>17956</v>
      </c>
    </row>
    <row r="7989">
      <c r="A7989" s="3">
        <v>2356.0</v>
      </c>
      <c r="B7989" s="3" t="s">
        <v>11280</v>
      </c>
      <c r="C7989" s="3" t="s">
        <v>11281</v>
      </c>
      <c r="D7989" s="3" t="s">
        <v>17957</v>
      </c>
      <c r="E7989" s="3" t="s">
        <v>17958</v>
      </c>
      <c r="F7989" s="3" t="s">
        <v>17959</v>
      </c>
    </row>
    <row r="7990">
      <c r="A7990" s="3">
        <v>2357.0</v>
      </c>
      <c r="B7990" s="3" t="s">
        <v>11280</v>
      </c>
      <c r="C7990" s="3" t="s">
        <v>11281</v>
      </c>
      <c r="D7990" s="3" t="s">
        <v>17960</v>
      </c>
      <c r="E7990" s="3" t="s">
        <v>17961</v>
      </c>
      <c r="F7990" s="3" t="s">
        <v>17962</v>
      </c>
    </row>
    <row r="7991">
      <c r="A7991" s="3">
        <v>2358.0</v>
      </c>
      <c r="B7991" s="3" t="s">
        <v>11280</v>
      </c>
      <c r="C7991" s="3" t="s">
        <v>11281</v>
      </c>
      <c r="D7991" s="3" t="s">
        <v>17963</v>
      </c>
      <c r="E7991" s="3" t="s">
        <v>17964</v>
      </c>
      <c r="F7991" s="3" t="s">
        <v>17965</v>
      </c>
    </row>
    <row r="7992">
      <c r="A7992" s="3">
        <v>2359.0</v>
      </c>
      <c r="B7992" s="3" t="s">
        <v>11280</v>
      </c>
      <c r="C7992" s="3" t="s">
        <v>11281</v>
      </c>
      <c r="D7992" s="3" t="s">
        <v>17966</v>
      </c>
      <c r="E7992" s="3" t="s">
        <v>17967</v>
      </c>
      <c r="F7992" s="3" t="s">
        <v>17968</v>
      </c>
    </row>
    <row r="7993">
      <c r="A7993" s="3">
        <v>2360.0</v>
      </c>
      <c r="B7993" s="3" t="s">
        <v>11280</v>
      </c>
      <c r="C7993" s="3" t="s">
        <v>11281</v>
      </c>
      <c r="D7993" s="3" t="s">
        <v>17969</v>
      </c>
      <c r="E7993" s="3" t="s">
        <v>17970</v>
      </c>
      <c r="F7993" s="3" t="s">
        <v>17971</v>
      </c>
    </row>
    <row r="7994">
      <c r="A7994" s="3">
        <v>2361.0</v>
      </c>
      <c r="B7994" s="3" t="s">
        <v>11280</v>
      </c>
      <c r="C7994" s="3" t="s">
        <v>11281</v>
      </c>
      <c r="D7994" s="3" t="s">
        <v>17972</v>
      </c>
      <c r="E7994" s="3" t="s">
        <v>17973</v>
      </c>
      <c r="F7994" s="3" t="s">
        <v>17974</v>
      </c>
    </row>
    <row r="7995">
      <c r="A7995" s="3">
        <v>2362.0</v>
      </c>
      <c r="B7995" s="3" t="s">
        <v>11280</v>
      </c>
      <c r="C7995" s="3" t="s">
        <v>11281</v>
      </c>
      <c r="D7995" s="3" t="s">
        <v>17975</v>
      </c>
      <c r="E7995" s="3" t="s">
        <v>17976</v>
      </c>
      <c r="F7995" s="3" t="s">
        <v>17977</v>
      </c>
    </row>
    <row r="7996">
      <c r="A7996" s="3">
        <v>2363.0</v>
      </c>
      <c r="B7996" s="3" t="s">
        <v>11280</v>
      </c>
      <c r="C7996" s="3" t="s">
        <v>11281</v>
      </c>
      <c r="D7996" s="3" t="s">
        <v>17978</v>
      </c>
      <c r="E7996" s="3" t="s">
        <v>17979</v>
      </c>
      <c r="F7996" s="3" t="s">
        <v>17980</v>
      </c>
    </row>
    <row r="7997">
      <c r="A7997" s="3">
        <v>2364.0</v>
      </c>
      <c r="B7997" s="3" t="s">
        <v>11280</v>
      </c>
      <c r="C7997" s="3" t="s">
        <v>11281</v>
      </c>
      <c r="D7997" s="3" t="s">
        <v>17981</v>
      </c>
      <c r="E7997" s="3" t="s">
        <v>17982</v>
      </c>
      <c r="F7997" s="3" t="s">
        <v>17983</v>
      </c>
    </row>
    <row r="7998">
      <c r="A7998" s="3">
        <v>2365.0</v>
      </c>
      <c r="B7998" s="3" t="s">
        <v>11280</v>
      </c>
      <c r="C7998" s="3" t="s">
        <v>11281</v>
      </c>
      <c r="D7998" s="3" t="s">
        <v>17984</v>
      </c>
      <c r="E7998" s="3" t="s">
        <v>17985</v>
      </c>
      <c r="F7998" s="3" t="s">
        <v>17986</v>
      </c>
      <c r="G7998" s="3"/>
      <c r="H7998" s="3" t="s">
        <v>17987</v>
      </c>
      <c r="I7998" s="3" t="s">
        <v>5426</v>
      </c>
      <c r="J7998" s="3" t="s">
        <v>5426</v>
      </c>
    </row>
    <row r="7999">
      <c r="A7999" s="3">
        <v>2366.0</v>
      </c>
      <c r="B7999" s="3" t="s">
        <v>11280</v>
      </c>
      <c r="C7999" s="3" t="s">
        <v>11281</v>
      </c>
      <c r="D7999" s="3" t="s">
        <v>17988</v>
      </c>
      <c r="E7999" s="3" t="s">
        <v>17989</v>
      </c>
      <c r="F7999" s="3" t="s">
        <v>17990</v>
      </c>
    </row>
    <row r="8000">
      <c r="A8000" s="3">
        <v>2367.0</v>
      </c>
      <c r="B8000" s="3" t="s">
        <v>11280</v>
      </c>
      <c r="C8000" s="3" t="s">
        <v>11281</v>
      </c>
      <c r="D8000" s="3" t="s">
        <v>17991</v>
      </c>
      <c r="E8000" s="3" t="s">
        <v>17992</v>
      </c>
      <c r="F8000" s="3" t="s">
        <v>14425</v>
      </c>
    </row>
    <row r="8001">
      <c r="A8001" s="3">
        <v>2368.0</v>
      </c>
      <c r="B8001" s="3" t="s">
        <v>11280</v>
      </c>
      <c r="C8001" s="3" t="s">
        <v>11281</v>
      </c>
      <c r="D8001" s="3" t="s">
        <v>17993</v>
      </c>
      <c r="E8001" s="3" t="s">
        <v>17994</v>
      </c>
      <c r="F8001" s="3" t="s">
        <v>14431</v>
      </c>
    </row>
    <row r="8002">
      <c r="A8002" s="3">
        <v>2369.0</v>
      </c>
      <c r="B8002" s="3" t="s">
        <v>11280</v>
      </c>
      <c r="C8002" s="3" t="s">
        <v>11281</v>
      </c>
      <c r="D8002" s="3" t="s">
        <v>17995</v>
      </c>
      <c r="E8002" s="3" t="s">
        <v>9405</v>
      </c>
      <c r="F8002" s="3" t="s">
        <v>9406</v>
      </c>
    </row>
    <row r="8003">
      <c r="A8003" s="3">
        <v>2370.0</v>
      </c>
      <c r="B8003" s="3" t="s">
        <v>11280</v>
      </c>
      <c r="C8003" s="3" t="s">
        <v>11281</v>
      </c>
      <c r="D8003" s="3" t="s">
        <v>17996</v>
      </c>
      <c r="E8003" s="3" t="s">
        <v>8254</v>
      </c>
      <c r="F8003" s="3" t="s">
        <v>8255</v>
      </c>
    </row>
    <row r="8004">
      <c r="A8004" s="3">
        <v>2371.0</v>
      </c>
      <c r="B8004" s="3" t="s">
        <v>11280</v>
      </c>
      <c r="C8004" s="3" t="s">
        <v>11281</v>
      </c>
      <c r="D8004" s="3" t="s">
        <v>17997</v>
      </c>
      <c r="E8004" s="3" t="s">
        <v>17998</v>
      </c>
      <c r="F8004" s="3" t="s">
        <v>17999</v>
      </c>
    </row>
    <row r="8005">
      <c r="A8005" s="3">
        <v>2372.0</v>
      </c>
      <c r="B8005" s="3" t="s">
        <v>11280</v>
      </c>
      <c r="C8005" s="3" t="s">
        <v>11281</v>
      </c>
      <c r="D8005" s="3" t="s">
        <v>18000</v>
      </c>
      <c r="E8005" s="3" t="s">
        <v>18001</v>
      </c>
      <c r="F8005" s="3" t="s">
        <v>18002</v>
      </c>
    </row>
    <row r="8006">
      <c r="A8006" s="3">
        <v>2373.0</v>
      </c>
      <c r="B8006" s="3" t="s">
        <v>11280</v>
      </c>
      <c r="C8006" s="3" t="s">
        <v>11281</v>
      </c>
      <c r="D8006" s="3" t="s">
        <v>18003</v>
      </c>
      <c r="E8006" s="3" t="s">
        <v>18004</v>
      </c>
      <c r="F8006" s="3" t="s">
        <v>18005</v>
      </c>
    </row>
    <row r="8007">
      <c r="A8007" s="3">
        <v>2374.0</v>
      </c>
      <c r="B8007" s="3" t="s">
        <v>11280</v>
      </c>
      <c r="C8007" s="3" t="s">
        <v>11281</v>
      </c>
      <c r="D8007" s="3" t="s">
        <v>18006</v>
      </c>
      <c r="E8007" s="3" t="s">
        <v>18007</v>
      </c>
      <c r="F8007" s="3" t="s">
        <v>18008</v>
      </c>
    </row>
    <row r="8008">
      <c r="A8008" s="3">
        <v>2375.0</v>
      </c>
      <c r="B8008" s="3" t="s">
        <v>11280</v>
      </c>
      <c r="C8008" s="3" t="s">
        <v>11281</v>
      </c>
      <c r="D8008" s="3" t="s">
        <v>18009</v>
      </c>
      <c r="E8008" s="3" t="s">
        <v>18010</v>
      </c>
      <c r="F8008" s="3" t="s">
        <v>18011</v>
      </c>
    </row>
    <row r="8009">
      <c r="A8009" s="3">
        <v>2376.0</v>
      </c>
      <c r="B8009" s="3" t="s">
        <v>11280</v>
      </c>
      <c r="C8009" s="3" t="s">
        <v>11281</v>
      </c>
      <c r="D8009" s="3" t="s">
        <v>18012</v>
      </c>
      <c r="E8009" s="3" t="s">
        <v>18013</v>
      </c>
      <c r="F8009" s="3" t="s">
        <v>18014</v>
      </c>
    </row>
    <row r="8010">
      <c r="A8010" s="3">
        <v>2377.0</v>
      </c>
      <c r="B8010" s="3" t="s">
        <v>11280</v>
      </c>
      <c r="C8010" s="3" t="s">
        <v>11281</v>
      </c>
      <c r="D8010" s="3" t="s">
        <v>18015</v>
      </c>
      <c r="E8010" s="3" t="s">
        <v>7738</v>
      </c>
      <c r="F8010" s="3" t="s">
        <v>5438</v>
      </c>
    </row>
    <row r="8011">
      <c r="A8011" s="3">
        <v>2378.0</v>
      </c>
      <c r="B8011" s="3" t="s">
        <v>11280</v>
      </c>
      <c r="C8011" s="3" t="s">
        <v>11281</v>
      </c>
      <c r="D8011" s="3" t="s">
        <v>18016</v>
      </c>
      <c r="E8011" s="3" t="s">
        <v>18017</v>
      </c>
      <c r="F8011" s="3" t="s">
        <v>15265</v>
      </c>
    </row>
    <row r="8012">
      <c r="A8012" s="3">
        <v>2379.0</v>
      </c>
      <c r="B8012" s="3" t="s">
        <v>11280</v>
      </c>
      <c r="C8012" s="3" t="s">
        <v>11281</v>
      </c>
      <c r="D8012" s="3" t="s">
        <v>18018</v>
      </c>
      <c r="E8012" s="3" t="s">
        <v>18019</v>
      </c>
      <c r="F8012" s="3" t="s">
        <v>15268</v>
      </c>
      <c r="G8012" s="3"/>
      <c r="H8012" s="3" t="s">
        <v>18020</v>
      </c>
      <c r="I8012" s="3" t="s">
        <v>12874</v>
      </c>
      <c r="J8012" s="3" t="s">
        <v>18021</v>
      </c>
      <c r="K8012" s="3" t="s">
        <v>18022</v>
      </c>
      <c r="L8012" s="3" t="s">
        <v>18021</v>
      </c>
      <c r="M8012" s="3" t="s">
        <v>18023</v>
      </c>
      <c r="N8012" s="3" t="s">
        <v>18020</v>
      </c>
      <c r="O8012" s="3" t="s">
        <v>18021</v>
      </c>
      <c r="P8012" s="3" t="s">
        <v>18024</v>
      </c>
      <c r="Q8012" s="3" t="s">
        <v>15115</v>
      </c>
      <c r="R8012" s="3" t="s">
        <v>18025</v>
      </c>
      <c r="S8012" s="3" t="s">
        <v>18026</v>
      </c>
      <c r="T8012" s="3" t="s">
        <v>18027</v>
      </c>
      <c r="U8012" s="3" t="s">
        <v>18028</v>
      </c>
      <c r="V8012" s="3" t="s">
        <v>18029</v>
      </c>
      <c r="W8012" s="3" t="s">
        <v>18030</v>
      </c>
      <c r="X8012" s="3" t="s">
        <v>18031</v>
      </c>
      <c r="Y8012" s="3" t="s">
        <v>18031</v>
      </c>
      <c r="Z8012" s="3" t="s">
        <v>18032</v>
      </c>
      <c r="AA8012" s="3" t="s">
        <v>12874</v>
      </c>
      <c r="AB8012" s="3" t="s">
        <v>12874</v>
      </c>
      <c r="AC8012" s="3" t="s">
        <v>18033</v>
      </c>
      <c r="AD8012" s="3" t="s">
        <v>18020</v>
      </c>
      <c r="AE8012" s="3" t="s">
        <v>1852</v>
      </c>
      <c r="AF8012" s="3" t="s">
        <v>1853</v>
      </c>
      <c r="AG8012" s="3" t="s">
        <v>1854</v>
      </c>
      <c r="AH8012" s="3" t="s">
        <v>1855</v>
      </c>
      <c r="AI8012" s="3" t="s">
        <v>1856</v>
      </c>
      <c r="AJ8012" s="3" t="s">
        <v>1857</v>
      </c>
      <c r="AK8012" s="3" t="s">
        <v>1858</v>
      </c>
      <c r="AL8012" s="3" t="s">
        <v>1859</v>
      </c>
      <c r="AM8012" s="3" t="s">
        <v>1860</v>
      </c>
      <c r="AN8012" s="3" t="s">
        <v>1861</v>
      </c>
      <c r="AO8012" s="3" t="s">
        <v>1862</v>
      </c>
      <c r="AP8012" s="3" t="s">
        <v>1863</v>
      </c>
      <c r="AQ8012" s="3" t="s">
        <v>18022</v>
      </c>
      <c r="AR8012" s="3" t="s">
        <v>17480</v>
      </c>
      <c r="AS8012" s="3" t="s">
        <v>14193</v>
      </c>
      <c r="AT8012" s="3" t="s">
        <v>18034</v>
      </c>
      <c r="AU8012" s="3" t="s">
        <v>18035</v>
      </c>
      <c r="AV8012" s="3" t="s">
        <v>6763</v>
      </c>
      <c r="AW8012" s="3" t="s">
        <v>18020</v>
      </c>
      <c r="AX8012" s="3" t="s">
        <v>14193</v>
      </c>
      <c r="AY8012" s="3" t="s">
        <v>18036</v>
      </c>
      <c r="AZ8012" s="3" t="s">
        <v>18020</v>
      </c>
    </row>
    <row r="8013">
      <c r="A8013" s="3">
        <v>2380.0</v>
      </c>
      <c r="B8013" s="3" t="s">
        <v>11280</v>
      </c>
      <c r="C8013" s="3" t="s">
        <v>11281</v>
      </c>
      <c r="D8013" s="3" t="s">
        <v>18037</v>
      </c>
      <c r="E8013" s="3" t="s">
        <v>8612</v>
      </c>
      <c r="F8013" s="3" t="s">
        <v>8613</v>
      </c>
    </row>
    <row r="8014">
      <c r="A8014" s="3">
        <v>2381.0</v>
      </c>
      <c r="B8014" s="3" t="s">
        <v>11280</v>
      </c>
      <c r="C8014" s="3" t="s">
        <v>11281</v>
      </c>
      <c r="D8014" s="3" t="s">
        <v>18038</v>
      </c>
      <c r="E8014" s="3" t="s">
        <v>18039</v>
      </c>
      <c r="F8014" s="3" t="s">
        <v>15273</v>
      </c>
    </row>
    <row r="8015">
      <c r="A8015" s="3">
        <v>2382.0</v>
      </c>
      <c r="B8015" s="3" t="s">
        <v>11280</v>
      </c>
      <c r="C8015" s="3" t="s">
        <v>11281</v>
      </c>
      <c r="D8015" s="3" t="s">
        <v>18040</v>
      </c>
      <c r="E8015" s="3" t="s">
        <v>18041</v>
      </c>
      <c r="F8015" s="3" t="s">
        <v>15276</v>
      </c>
    </row>
    <row r="8016">
      <c r="A8016" s="3">
        <v>2383.0</v>
      </c>
      <c r="B8016" s="3" t="s">
        <v>11280</v>
      </c>
      <c r="C8016" s="3" t="s">
        <v>11281</v>
      </c>
      <c r="D8016" s="3" t="s">
        <v>18042</v>
      </c>
      <c r="E8016" s="3" t="s">
        <v>7741</v>
      </c>
      <c r="F8016" s="3" t="s">
        <v>5447</v>
      </c>
    </row>
    <row r="8017">
      <c r="A8017" s="3">
        <v>2384.0</v>
      </c>
      <c r="B8017" s="3" t="s">
        <v>11280</v>
      </c>
      <c r="C8017" s="3" t="s">
        <v>11281</v>
      </c>
      <c r="D8017" s="3" t="s">
        <v>18043</v>
      </c>
      <c r="E8017" s="3" t="s">
        <v>18044</v>
      </c>
      <c r="F8017" s="3" t="s">
        <v>18045</v>
      </c>
      <c r="G8017" s="3"/>
      <c r="H8017" s="3" t="s">
        <v>18046</v>
      </c>
    </row>
    <row r="8018">
      <c r="A8018" s="3">
        <v>2385.0</v>
      </c>
      <c r="B8018" s="3" t="s">
        <v>11280</v>
      </c>
      <c r="C8018" s="3" t="s">
        <v>11281</v>
      </c>
      <c r="D8018" s="3" t="s">
        <v>18047</v>
      </c>
      <c r="E8018" s="3" t="s">
        <v>18048</v>
      </c>
      <c r="F8018" s="3" t="s">
        <v>18049</v>
      </c>
    </row>
    <row r="8019">
      <c r="A8019" s="3">
        <v>2386.0</v>
      </c>
      <c r="B8019" s="3" t="s">
        <v>11280</v>
      </c>
      <c r="C8019" s="3" t="s">
        <v>11281</v>
      </c>
      <c r="D8019" s="3" t="s">
        <v>18050</v>
      </c>
      <c r="E8019" s="3" t="s">
        <v>5493</v>
      </c>
      <c r="F8019" s="3" t="s">
        <v>5494</v>
      </c>
    </row>
    <row r="8020">
      <c r="A8020" s="3">
        <v>2387.0</v>
      </c>
      <c r="B8020" s="3" t="s">
        <v>11280</v>
      </c>
      <c r="C8020" s="3" t="s">
        <v>11281</v>
      </c>
      <c r="D8020" s="3" t="s">
        <v>18051</v>
      </c>
      <c r="E8020" s="3" t="s">
        <v>18052</v>
      </c>
      <c r="F8020" s="3" t="s">
        <v>18053</v>
      </c>
    </row>
    <row r="8021">
      <c r="A8021" s="3">
        <v>2388.0</v>
      </c>
      <c r="B8021" s="3" t="s">
        <v>11280</v>
      </c>
      <c r="C8021" s="3" t="s">
        <v>11281</v>
      </c>
      <c r="D8021" s="3" t="s">
        <v>18054</v>
      </c>
      <c r="E8021" s="3" t="s">
        <v>18055</v>
      </c>
      <c r="F8021" s="3" t="s">
        <v>18056</v>
      </c>
      <c r="G8021" s="3"/>
      <c r="H8021" s="3" t="s">
        <v>18020</v>
      </c>
      <c r="I8021" s="3" t="s">
        <v>12874</v>
      </c>
      <c r="J8021" s="3" t="s">
        <v>18021</v>
      </c>
      <c r="K8021" s="3" t="s">
        <v>18022</v>
      </c>
      <c r="L8021" s="3" t="s">
        <v>17480</v>
      </c>
      <c r="M8021" s="3" t="s">
        <v>18057</v>
      </c>
      <c r="N8021" s="3" t="s">
        <v>18058</v>
      </c>
      <c r="O8021" s="3" t="s">
        <v>18059</v>
      </c>
      <c r="P8021" s="3" t="s">
        <v>14191</v>
      </c>
      <c r="Q8021" s="3" t="s">
        <v>14192</v>
      </c>
      <c r="R8021" s="3" t="s">
        <v>14193</v>
      </c>
      <c r="S8021" s="3" t="s">
        <v>18060</v>
      </c>
      <c r="T8021" s="3" t="s">
        <v>18061</v>
      </c>
      <c r="U8021" s="3" t="s">
        <v>12561</v>
      </c>
      <c r="V8021" s="3" t="s">
        <v>9964</v>
      </c>
      <c r="W8021" s="3" t="s">
        <v>3692</v>
      </c>
      <c r="X8021" s="3" t="s">
        <v>11735</v>
      </c>
      <c r="Y8021" s="3" t="s">
        <v>11743</v>
      </c>
      <c r="Z8021" s="3" t="s">
        <v>18062</v>
      </c>
      <c r="AA8021" s="3" t="s">
        <v>18061</v>
      </c>
      <c r="AB8021" s="3" t="s">
        <v>14198</v>
      </c>
      <c r="AC8021" s="3" t="s">
        <v>17480</v>
      </c>
      <c r="AD8021" s="3" t="s">
        <v>4039</v>
      </c>
      <c r="AE8021" s="3" t="s">
        <v>18063</v>
      </c>
      <c r="AF8021" s="3" t="s">
        <v>18064</v>
      </c>
      <c r="AG8021" s="3" t="s">
        <v>18065</v>
      </c>
      <c r="AH8021" s="3" t="s">
        <v>18061</v>
      </c>
      <c r="AI8021" s="3" t="s">
        <v>18066</v>
      </c>
      <c r="AJ8021" s="3" t="s">
        <v>6238</v>
      </c>
      <c r="AK8021" s="3" t="s">
        <v>18067</v>
      </c>
      <c r="AL8021" s="3" t="s">
        <v>18068</v>
      </c>
      <c r="AM8021" s="3" t="s">
        <v>1863</v>
      </c>
      <c r="AN8021" s="3" t="s">
        <v>18069</v>
      </c>
      <c r="AO8021" s="3" t="s">
        <v>18061</v>
      </c>
      <c r="AP8021" s="3" t="s">
        <v>18070</v>
      </c>
      <c r="AQ8021" s="3" t="s">
        <v>18071</v>
      </c>
      <c r="AR8021" s="3" t="s">
        <v>5554</v>
      </c>
      <c r="AS8021" s="3" t="s">
        <v>18072</v>
      </c>
      <c r="AT8021" s="3" t="s">
        <v>18073</v>
      </c>
      <c r="AU8021" s="3" t="s">
        <v>18074</v>
      </c>
      <c r="AV8021" s="3" t="s">
        <v>18075</v>
      </c>
      <c r="AW8021" s="3" t="s">
        <v>15111</v>
      </c>
      <c r="AX8021" s="3" t="s">
        <v>15112</v>
      </c>
      <c r="AY8021" s="3" t="s">
        <v>15113</v>
      </c>
      <c r="AZ8021" s="3" t="s">
        <v>15114</v>
      </c>
      <c r="BA8021" s="3" t="s">
        <v>18076</v>
      </c>
      <c r="BB8021" s="3" t="s">
        <v>11739</v>
      </c>
      <c r="BC8021" s="3" t="s">
        <v>18077</v>
      </c>
      <c r="BD8021" s="3" t="s">
        <v>14192</v>
      </c>
      <c r="BE8021" s="3" t="s">
        <v>18078</v>
      </c>
      <c r="BF8021" s="3" t="s">
        <v>18079</v>
      </c>
      <c r="BG8021" s="3" t="s">
        <v>18080</v>
      </c>
      <c r="BH8021" s="3" t="s">
        <v>18081</v>
      </c>
      <c r="BI8021" s="3" t="s">
        <v>18082</v>
      </c>
      <c r="BJ8021" s="3" t="s">
        <v>18083</v>
      </c>
      <c r="BK8021" s="3" t="s">
        <v>18084</v>
      </c>
      <c r="BL8021" s="3" t="s">
        <v>18085</v>
      </c>
      <c r="BM8021" s="3" t="s">
        <v>18086</v>
      </c>
      <c r="BN8021" s="3" t="s">
        <v>18087</v>
      </c>
      <c r="BO8021" s="3" t="s">
        <v>17480</v>
      </c>
      <c r="BP8021" s="3" t="s">
        <v>15115</v>
      </c>
      <c r="BQ8021" s="3" t="s">
        <v>18088</v>
      </c>
      <c r="BR8021" s="3" t="s">
        <v>18066</v>
      </c>
      <c r="BS8021" s="3" t="s">
        <v>14193</v>
      </c>
      <c r="BT8021" s="3" t="s">
        <v>17454</v>
      </c>
      <c r="BU8021" s="3" t="s">
        <v>18089</v>
      </c>
      <c r="BV8021" s="3" t="s">
        <v>18061</v>
      </c>
      <c r="BW8021" s="3" t="s">
        <v>17159</v>
      </c>
      <c r="BX8021" s="3" t="s">
        <v>12871</v>
      </c>
      <c r="BY8021" s="3" t="s">
        <v>18090</v>
      </c>
      <c r="BZ8021" s="3" t="s">
        <v>10961</v>
      </c>
      <c r="CA8021" s="3" t="s">
        <v>18022</v>
      </c>
      <c r="CB8021" s="3" t="s">
        <v>17480</v>
      </c>
      <c r="CC8021" s="3" t="s">
        <v>14193</v>
      </c>
      <c r="CD8021" s="3" t="s">
        <v>18034</v>
      </c>
      <c r="CE8021" s="3" t="s">
        <v>18020</v>
      </c>
      <c r="CF8021" s="3" t="s">
        <v>14193</v>
      </c>
      <c r="CG8021" s="3" t="s">
        <v>18036</v>
      </c>
      <c r="CH8021" s="3" t="s">
        <v>18020</v>
      </c>
    </row>
    <row r="8022">
      <c r="A8022" s="3">
        <v>2389.0</v>
      </c>
      <c r="B8022" s="3" t="s">
        <v>11280</v>
      </c>
      <c r="C8022" s="3" t="s">
        <v>11281</v>
      </c>
      <c r="D8022" s="3" t="s">
        <v>18091</v>
      </c>
      <c r="E8022" s="3" t="s">
        <v>18092</v>
      </c>
      <c r="F8022" s="3" t="s">
        <v>18093</v>
      </c>
    </row>
    <row r="8023">
      <c r="A8023" s="3">
        <v>2390.0</v>
      </c>
      <c r="B8023" s="3" t="s">
        <v>11280</v>
      </c>
      <c r="C8023" s="3" t="s">
        <v>11281</v>
      </c>
      <c r="D8023" s="3" t="s">
        <v>18094</v>
      </c>
      <c r="E8023" s="3" t="s">
        <v>18095</v>
      </c>
      <c r="F8023" s="3" t="s">
        <v>18096</v>
      </c>
    </row>
    <row r="8024">
      <c r="A8024" s="3">
        <v>2391.0</v>
      </c>
      <c r="B8024" s="3" t="s">
        <v>11280</v>
      </c>
      <c r="C8024" s="3" t="s">
        <v>11281</v>
      </c>
      <c r="D8024" s="3" t="s">
        <v>18097</v>
      </c>
      <c r="E8024" s="3" t="s">
        <v>18098</v>
      </c>
      <c r="F8024" s="3" t="s">
        <v>18099</v>
      </c>
    </row>
    <row r="8025">
      <c r="A8025" s="3">
        <v>2392.0</v>
      </c>
      <c r="B8025" s="3" t="s">
        <v>11280</v>
      </c>
      <c r="C8025" s="3" t="s">
        <v>11281</v>
      </c>
      <c r="D8025" s="3" t="s">
        <v>18100</v>
      </c>
      <c r="E8025" s="3" t="s">
        <v>18101</v>
      </c>
      <c r="F8025" s="3" t="s">
        <v>18102</v>
      </c>
    </row>
    <row r="8026">
      <c r="A8026" s="3">
        <v>2393.0</v>
      </c>
      <c r="B8026" s="3" t="s">
        <v>11280</v>
      </c>
      <c r="C8026" s="3" t="s">
        <v>11281</v>
      </c>
      <c r="D8026" s="3" t="s">
        <v>18103</v>
      </c>
      <c r="E8026" s="3" t="s">
        <v>18104</v>
      </c>
      <c r="F8026" s="3" t="s">
        <v>18105</v>
      </c>
    </row>
    <row r="8027">
      <c r="A8027" s="3">
        <v>2394.0</v>
      </c>
      <c r="B8027" s="3" t="s">
        <v>11280</v>
      </c>
      <c r="C8027" s="3" t="s">
        <v>11281</v>
      </c>
      <c r="D8027" s="3" t="s">
        <v>18106</v>
      </c>
      <c r="E8027" s="3" t="s">
        <v>5502</v>
      </c>
      <c r="F8027" s="3" t="s">
        <v>5503</v>
      </c>
    </row>
    <row r="8028">
      <c r="A8028" s="3">
        <v>2395.0</v>
      </c>
      <c r="B8028" s="3" t="s">
        <v>11280</v>
      </c>
      <c r="C8028" s="3" t="s">
        <v>11281</v>
      </c>
      <c r="D8028" s="3" t="s">
        <v>18107</v>
      </c>
      <c r="E8028" s="3" t="s">
        <v>18108</v>
      </c>
      <c r="F8028" s="3" t="s">
        <v>18109</v>
      </c>
    </row>
    <row r="8029">
      <c r="A8029" s="3">
        <v>2396.0</v>
      </c>
      <c r="B8029" s="3" t="s">
        <v>11280</v>
      </c>
      <c r="C8029" s="3" t="s">
        <v>11281</v>
      </c>
      <c r="D8029" s="3" t="s">
        <v>18110</v>
      </c>
      <c r="E8029" s="3" t="s">
        <v>18111</v>
      </c>
      <c r="F8029" s="3" t="s">
        <v>18112</v>
      </c>
    </row>
    <row r="8030">
      <c r="A8030" s="3">
        <v>2397.0</v>
      </c>
      <c r="B8030" s="3" t="s">
        <v>11280</v>
      </c>
      <c r="C8030" s="3" t="s">
        <v>11281</v>
      </c>
      <c r="D8030" s="3" t="s">
        <v>18113</v>
      </c>
      <c r="E8030" s="3" t="s">
        <v>18114</v>
      </c>
      <c r="F8030" s="3" t="s">
        <v>18115</v>
      </c>
    </row>
    <row r="8031">
      <c r="A8031" s="3">
        <v>2398.0</v>
      </c>
      <c r="B8031" s="3" t="s">
        <v>11280</v>
      </c>
      <c r="C8031" s="3" t="s">
        <v>11281</v>
      </c>
      <c r="D8031" s="3" t="s">
        <v>18116</v>
      </c>
      <c r="E8031" s="3" t="s">
        <v>18117</v>
      </c>
      <c r="F8031" s="3" t="s">
        <v>5494</v>
      </c>
      <c r="G8031" s="3"/>
      <c r="H8031" s="3" t="s">
        <v>18116</v>
      </c>
      <c r="I8031" s="3" t="s">
        <v>8087</v>
      </c>
      <c r="J8031" s="3" t="s">
        <v>18118</v>
      </c>
      <c r="K8031" s="3" t="s">
        <v>18119</v>
      </c>
      <c r="L8031" s="3" t="s">
        <v>18120</v>
      </c>
      <c r="M8031" s="3" t="s">
        <v>18121</v>
      </c>
      <c r="N8031" s="3" t="s">
        <v>18122</v>
      </c>
      <c r="O8031" s="3" t="s">
        <v>18123</v>
      </c>
      <c r="P8031" s="3" t="s">
        <v>1499</v>
      </c>
      <c r="Q8031" s="3" t="s">
        <v>18124</v>
      </c>
      <c r="R8031" s="3" t="s">
        <v>14324</v>
      </c>
      <c r="S8031" s="3" t="s">
        <v>18125</v>
      </c>
      <c r="T8031" s="3" t="s">
        <v>18126</v>
      </c>
      <c r="U8031" s="3" t="s">
        <v>18127</v>
      </c>
      <c r="V8031" s="3" t="s">
        <v>18128</v>
      </c>
      <c r="W8031" s="3" t="s">
        <v>18129</v>
      </c>
      <c r="X8031" s="3" t="s">
        <v>14323</v>
      </c>
      <c r="Y8031" s="3" t="s">
        <v>18130</v>
      </c>
      <c r="Z8031" s="3" t="s">
        <v>18131</v>
      </c>
      <c r="AA8031" s="3" t="s">
        <v>18132</v>
      </c>
    </row>
    <row r="8032">
      <c r="A8032" s="3">
        <v>2399.0</v>
      </c>
      <c r="B8032" s="3" t="s">
        <v>11280</v>
      </c>
      <c r="C8032" s="3" t="s">
        <v>11281</v>
      </c>
      <c r="D8032" s="3" t="s">
        <v>18133</v>
      </c>
      <c r="E8032" s="3" t="s">
        <v>18134</v>
      </c>
      <c r="F8032" s="3" t="s">
        <v>5503</v>
      </c>
    </row>
    <row r="8033">
      <c r="A8033" s="3">
        <v>2400.0</v>
      </c>
      <c r="B8033" s="3" t="s">
        <v>11280</v>
      </c>
      <c r="C8033" s="3" t="s">
        <v>11281</v>
      </c>
      <c r="D8033" s="3" t="s">
        <v>18135</v>
      </c>
      <c r="E8033" s="3" t="s">
        <v>18134</v>
      </c>
      <c r="F8033" s="3" t="s">
        <v>5503</v>
      </c>
      <c r="G8033" s="3"/>
      <c r="H8033" s="3" t="s">
        <v>18136</v>
      </c>
      <c r="I8033" s="3" t="s">
        <v>18137</v>
      </c>
    </row>
    <row r="8034">
      <c r="A8034" s="3">
        <v>2401.0</v>
      </c>
      <c r="B8034" s="3" t="s">
        <v>11280</v>
      </c>
      <c r="C8034" s="3" t="s">
        <v>11281</v>
      </c>
      <c r="D8034" s="3" t="s">
        <v>18138</v>
      </c>
      <c r="E8034" s="3" t="s">
        <v>18139</v>
      </c>
      <c r="F8034" s="3" t="s">
        <v>18140</v>
      </c>
    </row>
    <row r="8035">
      <c r="A8035" s="3">
        <v>2402.0</v>
      </c>
      <c r="B8035" s="3" t="s">
        <v>11280</v>
      </c>
      <c r="C8035" s="3" t="s">
        <v>11281</v>
      </c>
      <c r="D8035" s="3" t="s">
        <v>18141</v>
      </c>
      <c r="E8035" s="3" t="s">
        <v>18142</v>
      </c>
      <c r="F8035" s="3" t="s">
        <v>18143</v>
      </c>
    </row>
    <row r="8036">
      <c r="A8036" s="3">
        <v>2403.0</v>
      </c>
      <c r="B8036" s="3" t="s">
        <v>11280</v>
      </c>
      <c r="C8036" s="3" t="s">
        <v>11281</v>
      </c>
      <c r="D8036" s="3" t="s">
        <v>18144</v>
      </c>
      <c r="E8036" s="3" t="s">
        <v>18145</v>
      </c>
      <c r="F8036" s="3" t="s">
        <v>18146</v>
      </c>
    </row>
    <row r="8037">
      <c r="A8037" s="3">
        <v>2404.0</v>
      </c>
      <c r="B8037" s="3" t="s">
        <v>11280</v>
      </c>
      <c r="C8037" s="3" t="s">
        <v>11281</v>
      </c>
      <c r="D8037" s="3" t="s">
        <v>18147</v>
      </c>
      <c r="E8037" s="3" t="s">
        <v>18148</v>
      </c>
      <c r="F8037" s="3" t="s">
        <v>5494</v>
      </c>
    </row>
    <row r="8038">
      <c r="A8038" s="3">
        <v>2405.0</v>
      </c>
      <c r="B8038" s="3" t="s">
        <v>11280</v>
      </c>
      <c r="C8038" s="3" t="s">
        <v>11281</v>
      </c>
      <c r="D8038" s="3" t="s">
        <v>18149</v>
      </c>
      <c r="E8038" s="3" t="s">
        <v>18150</v>
      </c>
      <c r="F8038" s="3" t="s">
        <v>18053</v>
      </c>
    </row>
    <row r="8039">
      <c r="A8039" s="3">
        <v>2406.0</v>
      </c>
      <c r="B8039" s="3" t="s">
        <v>11280</v>
      </c>
      <c r="C8039" s="3" t="s">
        <v>11281</v>
      </c>
      <c r="D8039" s="3" t="s">
        <v>18151</v>
      </c>
      <c r="E8039" s="3" t="s">
        <v>18152</v>
      </c>
      <c r="F8039" s="3" t="s">
        <v>18056</v>
      </c>
      <c r="G8039" s="3"/>
      <c r="H8039" s="3" t="s">
        <v>18153</v>
      </c>
    </row>
    <row r="8040">
      <c r="A8040" s="3">
        <v>2407.0</v>
      </c>
      <c r="B8040" s="3" t="s">
        <v>11280</v>
      </c>
      <c r="C8040" s="3" t="s">
        <v>11281</v>
      </c>
      <c r="D8040" s="3" t="s">
        <v>18154</v>
      </c>
      <c r="E8040" s="3" t="s">
        <v>18155</v>
      </c>
      <c r="F8040" s="3" t="s">
        <v>18093</v>
      </c>
    </row>
    <row r="8041">
      <c r="A8041" s="3">
        <v>2408.0</v>
      </c>
      <c r="B8041" s="3" t="s">
        <v>11280</v>
      </c>
      <c r="C8041" s="3" t="s">
        <v>11281</v>
      </c>
      <c r="D8041" s="3" t="s">
        <v>18156</v>
      </c>
      <c r="E8041" s="3" t="s">
        <v>18157</v>
      </c>
      <c r="F8041" s="3" t="s">
        <v>18096</v>
      </c>
    </row>
    <row r="8042">
      <c r="A8042" s="3">
        <v>2409.0</v>
      </c>
      <c r="B8042" s="3" t="s">
        <v>11280</v>
      </c>
      <c r="C8042" s="3" t="s">
        <v>11281</v>
      </c>
      <c r="D8042" s="3" t="s">
        <v>18158</v>
      </c>
      <c r="E8042" s="3" t="s">
        <v>18159</v>
      </c>
      <c r="F8042" s="3" t="s">
        <v>18099</v>
      </c>
    </row>
    <row r="8043">
      <c r="A8043" s="3">
        <v>2410.0</v>
      </c>
      <c r="B8043" s="3" t="s">
        <v>11280</v>
      </c>
      <c r="C8043" s="3" t="s">
        <v>11281</v>
      </c>
      <c r="D8043" s="3" t="s">
        <v>18160</v>
      </c>
      <c r="E8043" s="3" t="s">
        <v>18161</v>
      </c>
      <c r="F8043" s="3" t="s">
        <v>5503</v>
      </c>
    </row>
    <row r="8044">
      <c r="A8044" s="3">
        <v>2411.0</v>
      </c>
      <c r="B8044" s="3" t="s">
        <v>11280</v>
      </c>
      <c r="C8044" s="3" t="s">
        <v>11281</v>
      </c>
      <c r="D8044" s="3" t="s">
        <v>1412</v>
      </c>
      <c r="E8044" s="3" t="s">
        <v>1411</v>
      </c>
      <c r="F8044" s="3" t="s">
        <v>1412</v>
      </c>
      <c r="G8044" s="3"/>
      <c r="H8044" s="3" t="s">
        <v>5831</v>
      </c>
      <c r="I8044" s="3" t="s">
        <v>5837</v>
      </c>
      <c r="J8044" s="3" t="s">
        <v>5838</v>
      </c>
      <c r="K8044" s="3" t="s">
        <v>5831</v>
      </c>
    </row>
    <row r="8045">
      <c r="A8045" s="3">
        <v>2412.0</v>
      </c>
      <c r="B8045" s="3" t="s">
        <v>11280</v>
      </c>
      <c r="C8045" s="3" t="s">
        <v>11281</v>
      </c>
      <c r="D8045" s="3" t="s">
        <v>5580</v>
      </c>
      <c r="E8045" s="3" t="s">
        <v>5579</v>
      </c>
      <c r="F8045" s="3" t="s">
        <v>5580</v>
      </c>
      <c r="G8045" s="3"/>
      <c r="H8045" s="3" t="s">
        <v>18162</v>
      </c>
      <c r="I8045" s="3" t="s">
        <v>9463</v>
      </c>
      <c r="J8045" s="3" t="s">
        <v>9464</v>
      </c>
      <c r="K8045" s="3" t="s">
        <v>5649</v>
      </c>
      <c r="L8045" s="3" t="s">
        <v>5655</v>
      </c>
      <c r="M8045" s="3" t="s">
        <v>5657</v>
      </c>
    </row>
    <row r="8046">
      <c r="A8046" s="3">
        <v>2413.0</v>
      </c>
      <c r="B8046" s="3" t="s">
        <v>11280</v>
      </c>
      <c r="C8046" s="3" t="s">
        <v>11281</v>
      </c>
      <c r="D8046" s="3" t="s">
        <v>18163</v>
      </c>
      <c r="E8046" s="3" t="s">
        <v>18164</v>
      </c>
      <c r="F8046" s="3" t="s">
        <v>18163</v>
      </c>
    </row>
    <row r="8047">
      <c r="A8047" s="3">
        <v>2414.0</v>
      </c>
      <c r="B8047" s="3" t="s">
        <v>11280</v>
      </c>
      <c r="C8047" s="3" t="s">
        <v>11281</v>
      </c>
      <c r="D8047" s="3" t="s">
        <v>18165</v>
      </c>
      <c r="E8047" s="3" t="s">
        <v>18166</v>
      </c>
      <c r="F8047" s="3" t="s">
        <v>18165</v>
      </c>
      <c r="G8047" s="3"/>
      <c r="H8047" s="3" t="s">
        <v>5831</v>
      </c>
      <c r="I8047" s="3" t="s">
        <v>18167</v>
      </c>
      <c r="J8047" s="3" t="s">
        <v>18168</v>
      </c>
      <c r="K8047" s="3" t="s">
        <v>18169</v>
      </c>
      <c r="L8047" s="3" t="s">
        <v>18170</v>
      </c>
      <c r="M8047" s="3" t="s">
        <v>5831</v>
      </c>
    </row>
    <row r="8048">
      <c r="A8048" s="3">
        <v>2415.0</v>
      </c>
      <c r="B8048" s="3" t="s">
        <v>11280</v>
      </c>
      <c r="C8048" s="3" t="s">
        <v>11281</v>
      </c>
      <c r="D8048" s="3" t="s">
        <v>18171</v>
      </c>
      <c r="E8048" s="3" t="s">
        <v>18172</v>
      </c>
      <c r="F8048" s="3" t="s">
        <v>18171</v>
      </c>
    </row>
    <row r="8049">
      <c r="A8049" s="3">
        <v>2416.0</v>
      </c>
      <c r="B8049" s="3" t="s">
        <v>11280</v>
      </c>
      <c r="C8049" s="3" t="s">
        <v>11281</v>
      </c>
      <c r="D8049" s="3" t="s">
        <v>18173</v>
      </c>
      <c r="E8049" s="3" t="s">
        <v>18174</v>
      </c>
      <c r="F8049" s="3" t="s">
        <v>18173</v>
      </c>
    </row>
    <row r="8050">
      <c r="A8050" s="3">
        <v>2417.0</v>
      </c>
      <c r="B8050" s="3" t="s">
        <v>11280</v>
      </c>
      <c r="C8050" s="3" t="s">
        <v>11281</v>
      </c>
      <c r="D8050" s="3" t="s">
        <v>18175</v>
      </c>
      <c r="E8050" s="3" t="s">
        <v>18176</v>
      </c>
      <c r="F8050" s="3" t="s">
        <v>18175</v>
      </c>
    </row>
    <row r="8051">
      <c r="A8051" s="3">
        <v>2418.0</v>
      </c>
      <c r="B8051" s="3" t="s">
        <v>11280</v>
      </c>
      <c r="C8051" s="3" t="s">
        <v>11281</v>
      </c>
      <c r="D8051" s="3" t="s">
        <v>5569</v>
      </c>
      <c r="E8051" s="3" t="s">
        <v>5568</v>
      </c>
      <c r="F8051" s="3" t="s">
        <v>5569</v>
      </c>
    </row>
    <row r="8052">
      <c r="A8052" s="3">
        <v>2419.0</v>
      </c>
      <c r="B8052" s="3" t="s">
        <v>11280</v>
      </c>
      <c r="C8052" s="3" t="s">
        <v>11281</v>
      </c>
      <c r="D8052" s="3" t="s">
        <v>18177</v>
      </c>
      <c r="E8052" s="3" t="s">
        <v>5568</v>
      </c>
      <c r="F8052" s="3" t="s">
        <v>5569</v>
      </c>
    </row>
    <row r="8053">
      <c r="A8053" s="3">
        <v>2420.0</v>
      </c>
      <c r="B8053" s="3" t="s">
        <v>11280</v>
      </c>
      <c r="C8053" s="3" t="s">
        <v>11281</v>
      </c>
      <c r="D8053" s="3" t="s">
        <v>18178</v>
      </c>
      <c r="E8053" s="3" t="s">
        <v>18179</v>
      </c>
      <c r="F8053" s="3" t="s">
        <v>18180</v>
      </c>
    </row>
    <row r="8054">
      <c r="A8054" s="3">
        <v>2421.0</v>
      </c>
      <c r="B8054" s="3" t="s">
        <v>11280</v>
      </c>
      <c r="C8054" s="3" t="s">
        <v>11281</v>
      </c>
      <c r="D8054" s="3" t="s">
        <v>18181</v>
      </c>
      <c r="E8054" s="3" t="s">
        <v>18182</v>
      </c>
      <c r="F8054" s="3" t="s">
        <v>18183</v>
      </c>
    </row>
    <row r="8055">
      <c r="A8055" s="3">
        <v>2422.0</v>
      </c>
      <c r="B8055" s="3" t="s">
        <v>11280</v>
      </c>
      <c r="C8055" s="3" t="s">
        <v>11281</v>
      </c>
      <c r="D8055" s="3" t="s">
        <v>5628</v>
      </c>
      <c r="E8055" s="3" t="s">
        <v>7757</v>
      </c>
      <c r="F8055" s="3" t="s">
        <v>5628</v>
      </c>
    </row>
    <row r="8056">
      <c r="A8056" s="3">
        <v>2423.0</v>
      </c>
      <c r="B8056" s="3" t="s">
        <v>11280</v>
      </c>
      <c r="C8056" s="3" t="s">
        <v>11281</v>
      </c>
      <c r="D8056" s="3" t="s">
        <v>18184</v>
      </c>
      <c r="E8056" s="3" t="s">
        <v>18185</v>
      </c>
      <c r="F8056" s="3" t="s">
        <v>18184</v>
      </c>
    </row>
    <row r="8057">
      <c r="A8057" s="3">
        <v>2424.0</v>
      </c>
      <c r="B8057" s="3" t="s">
        <v>11280</v>
      </c>
      <c r="C8057" s="3" t="s">
        <v>11281</v>
      </c>
      <c r="D8057" s="3" t="s">
        <v>18186</v>
      </c>
      <c r="E8057" s="3" t="s">
        <v>18187</v>
      </c>
      <c r="F8057" s="3" t="s">
        <v>18186</v>
      </c>
    </row>
    <row r="8058">
      <c r="A8058" s="3">
        <v>2425.0</v>
      </c>
      <c r="B8058" s="3" t="s">
        <v>11280</v>
      </c>
      <c r="C8058" s="3" t="s">
        <v>11281</v>
      </c>
      <c r="D8058" s="3" t="s">
        <v>18188</v>
      </c>
      <c r="E8058" s="3" t="s">
        <v>18189</v>
      </c>
      <c r="F8058" s="3" t="s">
        <v>18188</v>
      </c>
    </row>
    <row r="8059">
      <c r="A8059" s="3">
        <v>2426.0</v>
      </c>
      <c r="B8059" s="3" t="s">
        <v>11280</v>
      </c>
      <c r="C8059" s="3" t="s">
        <v>11281</v>
      </c>
      <c r="D8059" s="3" t="s">
        <v>18190</v>
      </c>
      <c r="E8059" s="3" t="s">
        <v>18191</v>
      </c>
      <c r="F8059" s="3" t="s">
        <v>18190</v>
      </c>
    </row>
    <row r="8060">
      <c r="A8060" s="3">
        <v>2427.0</v>
      </c>
      <c r="B8060" s="3" t="s">
        <v>11280</v>
      </c>
      <c r="C8060" s="3" t="s">
        <v>11281</v>
      </c>
      <c r="D8060" s="3" t="s">
        <v>18192</v>
      </c>
      <c r="E8060" s="3" t="s">
        <v>18193</v>
      </c>
      <c r="F8060" s="3" t="s">
        <v>18192</v>
      </c>
      <c r="G8060" s="3"/>
      <c r="H8060" s="3" t="s">
        <v>18194</v>
      </c>
      <c r="I8060" s="3" t="s">
        <v>17610</v>
      </c>
      <c r="J8060" s="3" t="s">
        <v>18195</v>
      </c>
      <c r="K8060" s="3" t="s">
        <v>18196</v>
      </c>
      <c r="L8060" s="3" t="s">
        <v>18197</v>
      </c>
      <c r="M8060" s="3" t="s">
        <v>18198</v>
      </c>
      <c r="N8060" s="3" t="s">
        <v>18199</v>
      </c>
      <c r="O8060" s="3" t="s">
        <v>18200</v>
      </c>
      <c r="P8060" s="3" t="s">
        <v>18201</v>
      </c>
      <c r="Q8060" s="3" t="s">
        <v>18202</v>
      </c>
      <c r="R8060" s="3" t="s">
        <v>18198</v>
      </c>
      <c r="S8060" s="3" t="s">
        <v>18203</v>
      </c>
      <c r="T8060" s="3" t="s">
        <v>9964</v>
      </c>
      <c r="U8060" s="3" t="s">
        <v>18203</v>
      </c>
      <c r="V8060" s="3" t="s">
        <v>18198</v>
      </c>
      <c r="W8060" s="3" t="s">
        <v>18204</v>
      </c>
      <c r="X8060" s="3" t="s">
        <v>15040</v>
      </c>
      <c r="Y8060" s="3" t="s">
        <v>18205</v>
      </c>
      <c r="Z8060" s="3" t="s">
        <v>14892</v>
      </c>
      <c r="AA8060" s="3" t="s">
        <v>18206</v>
      </c>
      <c r="AB8060" s="3" t="s">
        <v>18198</v>
      </c>
      <c r="AC8060" s="3" t="s">
        <v>18207</v>
      </c>
      <c r="AD8060" s="3" t="s">
        <v>18208</v>
      </c>
      <c r="AE8060" s="3" t="s">
        <v>18209</v>
      </c>
      <c r="AF8060" s="3" t="s">
        <v>18198</v>
      </c>
      <c r="AG8060" s="3" t="s">
        <v>18210</v>
      </c>
      <c r="AH8060" s="3" t="s">
        <v>18211</v>
      </c>
      <c r="AI8060" s="3" t="s">
        <v>18212</v>
      </c>
      <c r="AJ8060" s="3" t="s">
        <v>18213</v>
      </c>
      <c r="AK8060" s="3" t="s">
        <v>9772</v>
      </c>
      <c r="AL8060" s="3" t="s">
        <v>18214</v>
      </c>
      <c r="AM8060" s="3" t="s">
        <v>18215</v>
      </c>
      <c r="AN8060" s="3" t="s">
        <v>18216</v>
      </c>
      <c r="AO8060" s="3" t="s">
        <v>15039</v>
      </c>
      <c r="AP8060" s="3" t="s">
        <v>15040</v>
      </c>
      <c r="AQ8060" s="3" t="s">
        <v>15041</v>
      </c>
      <c r="AR8060" s="3" t="s">
        <v>18213</v>
      </c>
      <c r="AS8060" s="3" t="s">
        <v>18217</v>
      </c>
      <c r="AT8060" s="3" t="s">
        <v>18213</v>
      </c>
      <c r="AU8060" s="3" t="s">
        <v>18066</v>
      </c>
      <c r="AV8060" s="3" t="s">
        <v>15039</v>
      </c>
      <c r="AW8060" s="3" t="s">
        <v>18218</v>
      </c>
      <c r="AX8060" s="3" t="s">
        <v>18219</v>
      </c>
      <c r="AY8060" s="3" t="s">
        <v>18220</v>
      </c>
      <c r="AZ8060" s="3" t="s">
        <v>18221</v>
      </c>
      <c r="BA8060" s="3" t="s">
        <v>18222</v>
      </c>
      <c r="BB8060" s="3" t="s">
        <v>18223</v>
      </c>
      <c r="BC8060" s="3" t="s">
        <v>14174</v>
      </c>
      <c r="BD8060" s="3" t="s">
        <v>18224</v>
      </c>
      <c r="BE8060" s="3" t="s">
        <v>18213</v>
      </c>
      <c r="BF8060" s="3" t="s">
        <v>14174</v>
      </c>
      <c r="BG8060" s="3" t="s">
        <v>16707</v>
      </c>
      <c r="BH8060" s="3" t="s">
        <v>10618</v>
      </c>
      <c r="BI8060" s="3" t="s">
        <v>13151</v>
      </c>
      <c r="BJ8060" s="3" t="s">
        <v>15044</v>
      </c>
      <c r="BK8060" s="3" t="s">
        <v>15045</v>
      </c>
      <c r="BL8060" s="3" t="s">
        <v>15046</v>
      </c>
      <c r="BM8060" s="3" t="s">
        <v>15047</v>
      </c>
      <c r="BN8060" s="3" t="s">
        <v>12559</v>
      </c>
      <c r="BO8060" s="3" t="s">
        <v>18214</v>
      </c>
    </row>
    <row r="8061">
      <c r="A8061" s="3">
        <v>2428.0</v>
      </c>
      <c r="B8061" s="3" t="s">
        <v>11280</v>
      </c>
      <c r="C8061" s="3" t="s">
        <v>11281</v>
      </c>
      <c r="D8061" s="3" t="s">
        <v>18225</v>
      </c>
      <c r="E8061" s="3" t="s">
        <v>18226</v>
      </c>
      <c r="F8061" s="3" t="s">
        <v>18225</v>
      </c>
    </row>
    <row r="8062">
      <c r="A8062" s="3">
        <v>2429.0</v>
      </c>
      <c r="B8062" s="3" t="s">
        <v>11280</v>
      </c>
      <c r="C8062" s="3" t="s">
        <v>11281</v>
      </c>
      <c r="D8062" s="3" t="s">
        <v>18227</v>
      </c>
      <c r="E8062" s="3" t="s">
        <v>18228</v>
      </c>
      <c r="F8062" s="3" t="s">
        <v>18227</v>
      </c>
    </row>
    <row r="8063">
      <c r="A8063" s="3">
        <v>2430.0</v>
      </c>
      <c r="B8063" s="3" t="s">
        <v>11280</v>
      </c>
      <c r="C8063" s="3" t="s">
        <v>11281</v>
      </c>
      <c r="D8063" s="3" t="s">
        <v>18229</v>
      </c>
      <c r="E8063" s="3" t="s">
        <v>18230</v>
      </c>
      <c r="F8063" s="3" t="s">
        <v>18229</v>
      </c>
    </row>
    <row r="8064">
      <c r="A8064" s="3">
        <v>2431.0</v>
      </c>
      <c r="B8064" s="3" t="s">
        <v>11280</v>
      </c>
      <c r="C8064" s="3" t="s">
        <v>11281</v>
      </c>
      <c r="D8064" s="3" t="s">
        <v>18231</v>
      </c>
      <c r="E8064" s="3" t="s">
        <v>18232</v>
      </c>
      <c r="F8064" s="3" t="s">
        <v>18231</v>
      </c>
    </row>
    <row r="8065">
      <c r="A8065" s="3">
        <v>2432.0</v>
      </c>
      <c r="B8065" s="3" t="s">
        <v>11280</v>
      </c>
      <c r="C8065" s="3" t="s">
        <v>11281</v>
      </c>
      <c r="D8065" s="3" t="s">
        <v>18233</v>
      </c>
      <c r="E8065" s="3" t="s">
        <v>18234</v>
      </c>
      <c r="F8065" s="3" t="s">
        <v>18233</v>
      </c>
    </row>
    <row r="8066">
      <c r="A8066" s="3">
        <v>2433.0</v>
      </c>
      <c r="B8066" s="3" t="s">
        <v>11280</v>
      </c>
      <c r="C8066" s="3" t="s">
        <v>11281</v>
      </c>
      <c r="D8066" s="3" t="s">
        <v>18235</v>
      </c>
      <c r="E8066" s="3" t="s">
        <v>18236</v>
      </c>
      <c r="F8066" s="3" t="s">
        <v>18235</v>
      </c>
    </row>
    <row r="8067">
      <c r="A8067" s="3">
        <v>2434.0</v>
      </c>
      <c r="B8067" s="3" t="s">
        <v>11280</v>
      </c>
      <c r="C8067" s="3" t="s">
        <v>11281</v>
      </c>
      <c r="D8067" s="3" t="s">
        <v>18237</v>
      </c>
      <c r="E8067" s="3" t="s">
        <v>18238</v>
      </c>
      <c r="F8067" s="3" t="s">
        <v>18237</v>
      </c>
    </row>
    <row r="8068">
      <c r="A8068" s="3">
        <v>2435.0</v>
      </c>
      <c r="B8068" s="3" t="s">
        <v>11280</v>
      </c>
      <c r="C8068" s="3" t="s">
        <v>11281</v>
      </c>
      <c r="D8068" s="3" t="s">
        <v>18239</v>
      </c>
      <c r="E8068" s="3" t="s">
        <v>18240</v>
      </c>
      <c r="F8068" s="3" t="s">
        <v>18239</v>
      </c>
    </row>
    <row r="8069">
      <c r="A8069" s="3">
        <v>2436.0</v>
      </c>
      <c r="B8069" s="3" t="s">
        <v>11280</v>
      </c>
      <c r="C8069" s="3" t="s">
        <v>11281</v>
      </c>
      <c r="D8069" s="3" t="s">
        <v>18241</v>
      </c>
      <c r="E8069" s="3" t="s">
        <v>18242</v>
      </c>
      <c r="F8069" s="3" t="s">
        <v>18241</v>
      </c>
    </row>
    <row r="8070">
      <c r="A8070" s="3">
        <v>2437.0</v>
      </c>
      <c r="B8070" s="3" t="s">
        <v>11280</v>
      </c>
      <c r="C8070" s="3" t="s">
        <v>11281</v>
      </c>
      <c r="D8070" s="3" t="s">
        <v>18243</v>
      </c>
      <c r="E8070" s="3" t="s">
        <v>18244</v>
      </c>
      <c r="F8070" s="3" t="s">
        <v>18243</v>
      </c>
    </row>
    <row r="8071">
      <c r="A8071" s="3">
        <v>2438.0</v>
      </c>
      <c r="B8071" s="3" t="s">
        <v>11280</v>
      </c>
      <c r="C8071" s="3" t="s">
        <v>11281</v>
      </c>
      <c r="D8071" s="3" t="s">
        <v>18245</v>
      </c>
      <c r="E8071" s="3" t="s">
        <v>18246</v>
      </c>
      <c r="F8071" s="3" t="s">
        <v>18245</v>
      </c>
    </row>
    <row r="8072">
      <c r="A8072" s="3">
        <v>2439.0</v>
      </c>
      <c r="B8072" s="3" t="s">
        <v>11280</v>
      </c>
      <c r="C8072" s="3" t="s">
        <v>11281</v>
      </c>
      <c r="D8072" s="3" t="s">
        <v>18247</v>
      </c>
      <c r="E8072" s="3" t="s">
        <v>18248</v>
      </c>
      <c r="F8072" s="3" t="s">
        <v>18247</v>
      </c>
    </row>
    <row r="8073">
      <c r="A8073" s="3">
        <v>2440.0</v>
      </c>
      <c r="B8073" s="3" t="s">
        <v>11280</v>
      </c>
      <c r="C8073" s="3" t="s">
        <v>11281</v>
      </c>
      <c r="D8073" s="3" t="s">
        <v>18249</v>
      </c>
      <c r="E8073" s="3" t="s">
        <v>18250</v>
      </c>
      <c r="F8073" s="3" t="s">
        <v>18249</v>
      </c>
    </row>
    <row r="8074">
      <c r="A8074" s="3">
        <v>2441.0</v>
      </c>
      <c r="B8074" s="3" t="s">
        <v>11280</v>
      </c>
      <c r="C8074" s="3" t="s">
        <v>11281</v>
      </c>
      <c r="D8074" s="3" t="s">
        <v>18251</v>
      </c>
      <c r="E8074" s="3" t="s">
        <v>18252</v>
      </c>
      <c r="F8074" s="3" t="s">
        <v>18251</v>
      </c>
    </row>
    <row r="8075">
      <c r="A8075" s="3">
        <v>2442.0</v>
      </c>
      <c r="B8075" s="3" t="s">
        <v>11280</v>
      </c>
      <c r="C8075" s="3" t="s">
        <v>11281</v>
      </c>
      <c r="D8075" s="3" t="s">
        <v>18253</v>
      </c>
      <c r="E8075" s="3" t="s">
        <v>18254</v>
      </c>
      <c r="F8075" s="3" t="s">
        <v>18253</v>
      </c>
    </row>
    <row r="8076">
      <c r="A8076" s="3">
        <v>2443.0</v>
      </c>
      <c r="B8076" s="3" t="s">
        <v>11280</v>
      </c>
      <c r="C8076" s="3" t="s">
        <v>11281</v>
      </c>
      <c r="D8076" s="3" t="s">
        <v>18255</v>
      </c>
      <c r="E8076" s="3" t="s">
        <v>18256</v>
      </c>
      <c r="F8076" s="3" t="s">
        <v>18255</v>
      </c>
    </row>
    <row r="8077">
      <c r="A8077" s="3">
        <v>2444.0</v>
      </c>
      <c r="B8077" s="3" t="s">
        <v>11280</v>
      </c>
      <c r="C8077" s="3" t="s">
        <v>11281</v>
      </c>
      <c r="D8077" s="3" t="s">
        <v>18257</v>
      </c>
      <c r="E8077" s="3" t="s">
        <v>18258</v>
      </c>
      <c r="F8077" s="3" t="s">
        <v>18259</v>
      </c>
    </row>
    <row r="8078">
      <c r="A8078" s="3">
        <v>2445.0</v>
      </c>
      <c r="B8078" s="3" t="s">
        <v>11280</v>
      </c>
      <c r="C8078" s="3" t="s">
        <v>11281</v>
      </c>
      <c r="D8078" s="3" t="s">
        <v>18260</v>
      </c>
      <c r="E8078" s="3" t="s">
        <v>18261</v>
      </c>
      <c r="F8078" s="3" t="s">
        <v>18262</v>
      </c>
    </row>
    <row r="8079">
      <c r="A8079" s="3">
        <v>2446.0</v>
      </c>
      <c r="B8079" s="3" t="s">
        <v>11280</v>
      </c>
      <c r="C8079" s="3" t="s">
        <v>11281</v>
      </c>
      <c r="D8079" s="3" t="s">
        <v>1419</v>
      </c>
      <c r="E8079" s="3" t="s">
        <v>1418</v>
      </c>
      <c r="F8079" s="3" t="s">
        <v>1419</v>
      </c>
    </row>
    <row r="8080">
      <c r="A8080" s="3">
        <v>2447.0</v>
      </c>
      <c r="B8080" s="3" t="s">
        <v>11280</v>
      </c>
      <c r="C8080" s="3" t="s">
        <v>11281</v>
      </c>
      <c r="D8080" s="3" t="s">
        <v>7761</v>
      </c>
      <c r="E8080" s="3" t="s">
        <v>7762</v>
      </c>
      <c r="F8080" s="3" t="s">
        <v>7761</v>
      </c>
    </row>
    <row r="8081">
      <c r="A8081" s="3">
        <v>2448.0</v>
      </c>
      <c r="B8081" s="3" t="s">
        <v>11280</v>
      </c>
      <c r="C8081" s="3" t="s">
        <v>11281</v>
      </c>
      <c r="D8081" s="3" t="s">
        <v>18263</v>
      </c>
      <c r="E8081" s="3" t="s">
        <v>18264</v>
      </c>
      <c r="F8081" s="3" t="s">
        <v>18263</v>
      </c>
    </row>
    <row r="8082">
      <c r="A8082" s="3">
        <v>2449.0</v>
      </c>
      <c r="B8082" s="3" t="s">
        <v>11280</v>
      </c>
      <c r="C8082" s="3" t="s">
        <v>11281</v>
      </c>
      <c r="D8082" s="3" t="s">
        <v>18265</v>
      </c>
      <c r="E8082" s="3" t="s">
        <v>18266</v>
      </c>
      <c r="F8082" s="3" t="s">
        <v>18267</v>
      </c>
    </row>
    <row r="8083">
      <c r="A8083" s="3">
        <v>2450.0</v>
      </c>
      <c r="B8083" s="3" t="s">
        <v>11280</v>
      </c>
      <c r="C8083" s="3" t="s">
        <v>11281</v>
      </c>
      <c r="D8083" s="3" t="s">
        <v>18268</v>
      </c>
      <c r="E8083" s="3" t="s">
        <v>18269</v>
      </c>
      <c r="F8083" s="3" t="s">
        <v>18270</v>
      </c>
    </row>
    <row r="8084">
      <c r="A8084" s="3">
        <v>2451.0</v>
      </c>
      <c r="B8084" s="3" t="s">
        <v>11280</v>
      </c>
      <c r="C8084" s="3" t="s">
        <v>11281</v>
      </c>
      <c r="D8084" s="3" t="s">
        <v>18271</v>
      </c>
      <c r="E8084" s="3" t="s">
        <v>18272</v>
      </c>
      <c r="F8084" s="3" t="s">
        <v>18271</v>
      </c>
      <c r="G8084" s="3"/>
      <c r="H8084" s="3" t="s">
        <v>14387</v>
      </c>
      <c r="I8084" s="3" t="s">
        <v>14377</v>
      </c>
      <c r="J8084" s="3" t="s">
        <v>14388</v>
      </c>
    </row>
    <row r="8085">
      <c r="A8085" s="3">
        <v>2452.0</v>
      </c>
      <c r="B8085" s="3" t="s">
        <v>11280</v>
      </c>
      <c r="C8085" s="3" t="s">
        <v>11281</v>
      </c>
      <c r="D8085" s="3" t="s">
        <v>18273</v>
      </c>
      <c r="E8085" s="3" t="s">
        <v>18274</v>
      </c>
      <c r="F8085" s="3" t="s">
        <v>18273</v>
      </c>
    </row>
    <row r="8086">
      <c r="A8086" s="3">
        <v>2453.0</v>
      </c>
      <c r="B8086" s="3" t="s">
        <v>11280</v>
      </c>
      <c r="C8086" s="3" t="s">
        <v>11281</v>
      </c>
      <c r="D8086" s="3" t="s">
        <v>18275</v>
      </c>
      <c r="E8086" s="3" t="s">
        <v>18276</v>
      </c>
      <c r="F8086" s="3" t="s">
        <v>18275</v>
      </c>
    </row>
    <row r="8087">
      <c r="A8087" s="3">
        <v>2454.0</v>
      </c>
      <c r="B8087" s="3" t="s">
        <v>11280</v>
      </c>
      <c r="C8087" s="3" t="s">
        <v>11281</v>
      </c>
      <c r="D8087" s="3" t="s">
        <v>18277</v>
      </c>
      <c r="E8087" s="3" t="s">
        <v>18278</v>
      </c>
      <c r="F8087" s="3" t="s">
        <v>18277</v>
      </c>
    </row>
    <row r="8088">
      <c r="A8088" s="3">
        <v>2455.0</v>
      </c>
      <c r="B8088" s="3" t="s">
        <v>11280</v>
      </c>
      <c r="C8088" s="3" t="s">
        <v>11281</v>
      </c>
      <c r="D8088" s="3" t="s">
        <v>7763</v>
      </c>
      <c r="E8088" s="3" t="s">
        <v>18279</v>
      </c>
      <c r="F8088" s="3" t="s">
        <v>7763</v>
      </c>
    </row>
    <row r="8089">
      <c r="A8089" s="3">
        <v>2456.0</v>
      </c>
      <c r="B8089" s="3" t="s">
        <v>11280</v>
      </c>
      <c r="C8089" s="3" t="s">
        <v>11281</v>
      </c>
      <c r="D8089" s="3" t="s">
        <v>1389</v>
      </c>
      <c r="E8089" s="3" t="s">
        <v>1388</v>
      </c>
      <c r="F8089" s="3" t="s">
        <v>1389</v>
      </c>
    </row>
    <row r="8090">
      <c r="A8090" s="3">
        <v>2457.0</v>
      </c>
      <c r="B8090" s="3" t="s">
        <v>11280</v>
      </c>
      <c r="C8090" s="3" t="s">
        <v>11281</v>
      </c>
      <c r="D8090" s="3" t="s">
        <v>5527</v>
      </c>
      <c r="E8090" s="3" t="s">
        <v>5526</v>
      </c>
      <c r="F8090" s="3" t="s">
        <v>5527</v>
      </c>
    </row>
    <row r="8091">
      <c r="A8091" s="3">
        <v>2458.0</v>
      </c>
      <c r="B8091" s="3" t="s">
        <v>11280</v>
      </c>
      <c r="C8091" s="3" t="s">
        <v>11281</v>
      </c>
      <c r="D8091" s="3" t="s">
        <v>18280</v>
      </c>
      <c r="E8091" s="3" t="s">
        <v>18281</v>
      </c>
      <c r="F8091" s="3" t="s">
        <v>18280</v>
      </c>
    </row>
    <row r="8092">
      <c r="A8092" s="3">
        <v>2459.0</v>
      </c>
      <c r="B8092" s="3" t="s">
        <v>11280</v>
      </c>
      <c r="C8092" s="3" t="s">
        <v>11281</v>
      </c>
      <c r="D8092" s="3" t="s">
        <v>18282</v>
      </c>
      <c r="E8092" s="3" t="s">
        <v>18283</v>
      </c>
      <c r="F8092" s="3" t="s">
        <v>18282</v>
      </c>
    </row>
    <row r="8093">
      <c r="A8093" s="3">
        <v>2460.0</v>
      </c>
      <c r="B8093" s="3" t="s">
        <v>11280</v>
      </c>
      <c r="C8093" s="3" t="s">
        <v>11281</v>
      </c>
      <c r="D8093" s="3" t="s">
        <v>18284</v>
      </c>
      <c r="E8093" s="3" t="s">
        <v>18285</v>
      </c>
      <c r="F8093" s="3" t="s">
        <v>18284</v>
      </c>
    </row>
    <row r="8094">
      <c r="A8094" s="3">
        <v>2461.0</v>
      </c>
      <c r="B8094" s="3" t="s">
        <v>11280</v>
      </c>
      <c r="C8094" s="3" t="s">
        <v>11281</v>
      </c>
      <c r="D8094" s="3" t="s">
        <v>18286</v>
      </c>
      <c r="E8094" s="3" t="s">
        <v>18287</v>
      </c>
      <c r="F8094" s="3" t="s">
        <v>18286</v>
      </c>
    </row>
    <row r="8095">
      <c r="A8095" s="3">
        <v>2462.0</v>
      </c>
      <c r="B8095" s="3" t="s">
        <v>11280</v>
      </c>
      <c r="C8095" s="3" t="s">
        <v>11281</v>
      </c>
      <c r="D8095" s="3" t="s">
        <v>9734</v>
      </c>
      <c r="E8095" s="3" t="s">
        <v>9733</v>
      </c>
      <c r="F8095" s="3" t="s">
        <v>9734</v>
      </c>
    </row>
    <row r="8096">
      <c r="A8096" s="3">
        <v>2463.0</v>
      </c>
      <c r="B8096" s="3" t="s">
        <v>11280</v>
      </c>
      <c r="C8096" s="3" t="s">
        <v>11281</v>
      </c>
      <c r="D8096" s="3" t="s">
        <v>18288</v>
      </c>
      <c r="E8096" s="3" t="s">
        <v>18289</v>
      </c>
      <c r="F8096" s="3" t="s">
        <v>18288</v>
      </c>
    </row>
    <row r="8097">
      <c r="A8097" s="3">
        <v>2464.0</v>
      </c>
      <c r="B8097" s="3" t="s">
        <v>11280</v>
      </c>
      <c r="C8097" s="3" t="s">
        <v>11281</v>
      </c>
      <c r="D8097" s="3" t="s">
        <v>18290</v>
      </c>
      <c r="E8097" s="3" t="s">
        <v>18291</v>
      </c>
      <c r="F8097" s="3" t="s">
        <v>18290</v>
      </c>
    </row>
    <row r="8098">
      <c r="A8098" s="3">
        <v>2465.0</v>
      </c>
      <c r="B8098" s="3" t="s">
        <v>11280</v>
      </c>
      <c r="C8098" s="3" t="s">
        <v>11281</v>
      </c>
      <c r="D8098" s="3" t="s">
        <v>18292</v>
      </c>
      <c r="E8098" s="3" t="s">
        <v>18293</v>
      </c>
      <c r="F8098" s="3" t="s">
        <v>18292</v>
      </c>
    </row>
    <row r="8099">
      <c r="A8099" s="3">
        <v>2466.0</v>
      </c>
      <c r="B8099" s="3" t="s">
        <v>11280</v>
      </c>
      <c r="C8099" s="3" t="s">
        <v>11281</v>
      </c>
      <c r="D8099" s="3" t="s">
        <v>7777</v>
      </c>
      <c r="E8099" s="3" t="s">
        <v>7778</v>
      </c>
      <c r="F8099" s="3" t="s">
        <v>7777</v>
      </c>
    </row>
    <row r="8100">
      <c r="A8100" s="3">
        <v>2467.0</v>
      </c>
      <c r="B8100" s="3" t="s">
        <v>11280</v>
      </c>
      <c r="C8100" s="3" t="s">
        <v>11281</v>
      </c>
      <c r="D8100" s="3" t="s">
        <v>18294</v>
      </c>
      <c r="E8100" s="3" t="s">
        <v>18295</v>
      </c>
      <c r="F8100" s="3" t="s">
        <v>18294</v>
      </c>
    </row>
    <row r="8101">
      <c r="A8101" s="3">
        <v>2468.0</v>
      </c>
      <c r="B8101" s="3" t="s">
        <v>11280</v>
      </c>
      <c r="C8101" s="3" t="s">
        <v>11281</v>
      </c>
      <c r="D8101" s="3" t="s">
        <v>18296</v>
      </c>
      <c r="E8101" s="3" t="s">
        <v>18297</v>
      </c>
      <c r="F8101" s="3" t="s">
        <v>18296</v>
      </c>
    </row>
    <row r="8102">
      <c r="A8102" s="3">
        <v>2469.0</v>
      </c>
      <c r="B8102" s="3" t="s">
        <v>11280</v>
      </c>
      <c r="C8102" s="3" t="s">
        <v>11281</v>
      </c>
      <c r="D8102" s="3" t="s">
        <v>18298</v>
      </c>
      <c r="E8102" s="3" t="s">
        <v>18299</v>
      </c>
      <c r="F8102" s="3" t="s">
        <v>18298</v>
      </c>
    </row>
    <row r="8103">
      <c r="A8103" s="3">
        <v>2470.0</v>
      </c>
      <c r="B8103" s="3" t="s">
        <v>11280</v>
      </c>
      <c r="C8103" s="3" t="s">
        <v>11281</v>
      </c>
      <c r="D8103" s="3" t="s">
        <v>18300</v>
      </c>
      <c r="E8103" s="3" t="s">
        <v>18301</v>
      </c>
      <c r="F8103" s="3" t="s">
        <v>18300</v>
      </c>
    </row>
    <row r="8104">
      <c r="A8104" s="3">
        <v>2471.0</v>
      </c>
      <c r="B8104" s="3" t="s">
        <v>11280</v>
      </c>
      <c r="C8104" s="3" t="s">
        <v>11281</v>
      </c>
      <c r="D8104" s="3" t="s">
        <v>18302</v>
      </c>
      <c r="E8104" s="3" t="s">
        <v>18303</v>
      </c>
      <c r="F8104" s="3" t="s">
        <v>18302</v>
      </c>
    </row>
    <row r="8105">
      <c r="A8105" s="3">
        <v>2472.0</v>
      </c>
      <c r="B8105" s="3" t="s">
        <v>11280</v>
      </c>
      <c r="C8105" s="3" t="s">
        <v>11281</v>
      </c>
      <c r="D8105" s="3" t="s">
        <v>7782</v>
      </c>
      <c r="E8105" s="3" t="s">
        <v>7784</v>
      </c>
      <c r="F8105" s="3" t="s">
        <v>7782</v>
      </c>
    </row>
    <row r="8106">
      <c r="A8106" s="3">
        <v>2473.0</v>
      </c>
      <c r="B8106" s="3" t="s">
        <v>11280</v>
      </c>
      <c r="C8106" s="3" t="s">
        <v>11281</v>
      </c>
      <c r="D8106" s="3" t="s">
        <v>18304</v>
      </c>
      <c r="E8106" s="3" t="s">
        <v>18305</v>
      </c>
      <c r="F8106" s="3" t="s">
        <v>18306</v>
      </c>
    </row>
    <row r="8107">
      <c r="A8107" s="3">
        <v>2474.0</v>
      </c>
      <c r="B8107" s="3" t="s">
        <v>11280</v>
      </c>
      <c r="C8107" s="3" t="s">
        <v>11281</v>
      </c>
      <c r="D8107" s="3" t="s">
        <v>18307</v>
      </c>
      <c r="E8107" s="3" t="s">
        <v>18308</v>
      </c>
      <c r="F8107" s="3" t="s">
        <v>18309</v>
      </c>
    </row>
    <row r="8108">
      <c r="A8108" s="3">
        <v>2475.0</v>
      </c>
      <c r="B8108" s="3" t="s">
        <v>11280</v>
      </c>
      <c r="C8108" s="3" t="s">
        <v>11281</v>
      </c>
      <c r="D8108" s="3" t="s">
        <v>18310</v>
      </c>
      <c r="E8108" s="3" t="s">
        <v>18311</v>
      </c>
      <c r="F8108" s="3" t="s">
        <v>18312</v>
      </c>
      <c r="G8108" s="3"/>
      <c r="H8108" s="3" t="s">
        <v>18313</v>
      </c>
      <c r="I8108" s="3" t="s">
        <v>18314</v>
      </c>
      <c r="J8108" s="3" t="s">
        <v>18315</v>
      </c>
      <c r="K8108" s="3" t="s">
        <v>18316</v>
      </c>
      <c r="L8108" s="3" t="s">
        <v>18317</v>
      </c>
      <c r="M8108" s="3" t="s">
        <v>14954</v>
      </c>
    </row>
    <row r="8109">
      <c r="A8109" s="3">
        <v>2476.0</v>
      </c>
      <c r="B8109" s="3" t="s">
        <v>11280</v>
      </c>
      <c r="C8109" s="3" t="s">
        <v>11281</v>
      </c>
      <c r="D8109" s="3" t="s">
        <v>18318</v>
      </c>
      <c r="E8109" s="3" t="s">
        <v>18319</v>
      </c>
      <c r="F8109" s="3" t="s">
        <v>18320</v>
      </c>
    </row>
    <row r="8110">
      <c r="A8110" s="3">
        <v>2477.0</v>
      </c>
      <c r="B8110" s="3" t="s">
        <v>11280</v>
      </c>
      <c r="C8110" s="3" t="s">
        <v>11281</v>
      </c>
      <c r="D8110" s="3" t="s">
        <v>18321</v>
      </c>
      <c r="E8110" s="3" t="s">
        <v>18322</v>
      </c>
      <c r="F8110" s="3" t="s">
        <v>18323</v>
      </c>
    </row>
    <row r="8111">
      <c r="A8111" s="3">
        <v>2478.0</v>
      </c>
      <c r="B8111" s="3" t="s">
        <v>11280</v>
      </c>
      <c r="C8111" s="3" t="s">
        <v>11281</v>
      </c>
      <c r="D8111" s="3" t="s">
        <v>18324</v>
      </c>
      <c r="E8111" s="3" t="s">
        <v>18325</v>
      </c>
      <c r="F8111" s="3" t="s">
        <v>18326</v>
      </c>
    </row>
    <row r="8112">
      <c r="A8112" s="3">
        <v>2479.0</v>
      </c>
      <c r="B8112" s="3" t="s">
        <v>11280</v>
      </c>
      <c r="C8112" s="3" t="s">
        <v>11281</v>
      </c>
      <c r="D8112" s="3" t="s">
        <v>18327</v>
      </c>
      <c r="E8112" s="3" t="s">
        <v>18328</v>
      </c>
      <c r="F8112" s="3" t="s">
        <v>18329</v>
      </c>
    </row>
    <row r="8113">
      <c r="A8113" s="3">
        <v>2480.0</v>
      </c>
      <c r="B8113" s="3" t="s">
        <v>11280</v>
      </c>
      <c r="C8113" s="3" t="s">
        <v>11281</v>
      </c>
      <c r="D8113" s="3" t="s">
        <v>18330</v>
      </c>
      <c r="E8113" s="3" t="s">
        <v>18331</v>
      </c>
      <c r="F8113" s="3" t="s">
        <v>18330</v>
      </c>
    </row>
    <row r="8114">
      <c r="A8114" s="3">
        <v>2481.0</v>
      </c>
      <c r="B8114" s="3" t="s">
        <v>11280</v>
      </c>
      <c r="C8114" s="3" t="s">
        <v>11281</v>
      </c>
      <c r="D8114" s="3" t="s">
        <v>18332</v>
      </c>
      <c r="E8114" s="3" t="s">
        <v>18333</v>
      </c>
      <c r="F8114" s="3" t="s">
        <v>18332</v>
      </c>
    </row>
    <row r="8115">
      <c r="A8115" s="3">
        <v>2482.0</v>
      </c>
      <c r="B8115" s="3" t="s">
        <v>11280</v>
      </c>
      <c r="C8115" s="3" t="s">
        <v>11281</v>
      </c>
      <c r="D8115" s="3" t="s">
        <v>18334</v>
      </c>
      <c r="E8115" s="3" t="s">
        <v>18335</v>
      </c>
      <c r="F8115" s="3" t="s">
        <v>18334</v>
      </c>
    </row>
    <row r="8116">
      <c r="A8116" s="3">
        <v>2483.0</v>
      </c>
      <c r="B8116" s="3" t="s">
        <v>11280</v>
      </c>
      <c r="C8116" s="3" t="s">
        <v>11281</v>
      </c>
      <c r="D8116" s="3" t="s">
        <v>18336</v>
      </c>
      <c r="E8116" s="3" t="s">
        <v>18337</v>
      </c>
      <c r="F8116" s="3" t="s">
        <v>18336</v>
      </c>
    </row>
    <row r="8117">
      <c r="A8117" s="3">
        <v>2484.0</v>
      </c>
      <c r="B8117" s="3" t="s">
        <v>11280</v>
      </c>
      <c r="C8117" s="3" t="s">
        <v>11281</v>
      </c>
      <c r="D8117" s="3" t="s">
        <v>18338</v>
      </c>
      <c r="E8117" s="3" t="s">
        <v>18339</v>
      </c>
      <c r="F8117" s="3" t="s">
        <v>18338</v>
      </c>
    </row>
    <row r="8118">
      <c r="A8118" s="3">
        <v>2485.0</v>
      </c>
      <c r="B8118" s="3" t="s">
        <v>11280</v>
      </c>
      <c r="C8118" s="3" t="s">
        <v>11281</v>
      </c>
      <c r="D8118" s="3" t="s">
        <v>18340</v>
      </c>
      <c r="E8118" s="3" t="s">
        <v>18341</v>
      </c>
      <c r="F8118" s="3" t="s">
        <v>18340</v>
      </c>
    </row>
    <row r="8119">
      <c r="A8119" s="3">
        <v>2486.0</v>
      </c>
      <c r="B8119" s="3" t="s">
        <v>11280</v>
      </c>
      <c r="C8119" s="3" t="s">
        <v>11281</v>
      </c>
      <c r="D8119" s="3" t="s">
        <v>18342</v>
      </c>
      <c r="E8119" s="3" t="s">
        <v>18343</v>
      </c>
      <c r="F8119" s="3" t="s">
        <v>18342</v>
      </c>
    </row>
    <row r="8120">
      <c r="A8120" s="3">
        <v>2487.0</v>
      </c>
      <c r="B8120" s="3" t="s">
        <v>11280</v>
      </c>
      <c r="C8120" s="3" t="s">
        <v>11281</v>
      </c>
      <c r="D8120" s="3" t="s">
        <v>18344</v>
      </c>
      <c r="E8120" s="3" t="s">
        <v>18345</v>
      </c>
      <c r="F8120" s="3" t="s">
        <v>18344</v>
      </c>
    </row>
    <row r="8121">
      <c r="A8121" s="3">
        <v>2488.0</v>
      </c>
      <c r="B8121" s="3" t="s">
        <v>11280</v>
      </c>
      <c r="C8121" s="3" t="s">
        <v>11281</v>
      </c>
      <c r="D8121" s="3" t="s">
        <v>18346</v>
      </c>
      <c r="E8121" s="3" t="s">
        <v>1451</v>
      </c>
      <c r="F8121" s="3" t="s">
        <v>1452</v>
      </c>
    </row>
    <row r="8122">
      <c r="A8122" s="3">
        <v>2489.0</v>
      </c>
      <c r="B8122" s="3" t="s">
        <v>11280</v>
      </c>
      <c r="C8122" s="3" t="s">
        <v>11281</v>
      </c>
      <c r="D8122" s="3" t="s">
        <v>1910</v>
      </c>
      <c r="E8122" s="3" t="s">
        <v>1909</v>
      </c>
      <c r="F8122" s="3" t="s">
        <v>1910</v>
      </c>
      <c r="G8122" s="3"/>
      <c r="H8122" s="3" t="s">
        <v>7912</v>
      </c>
      <c r="I8122" s="3" t="s">
        <v>18347</v>
      </c>
      <c r="J8122" s="3" t="s">
        <v>1910</v>
      </c>
    </row>
    <row r="8123">
      <c r="A8123" s="3">
        <v>2490.0</v>
      </c>
      <c r="B8123" s="3" t="s">
        <v>11280</v>
      </c>
      <c r="C8123" s="3" t="s">
        <v>11281</v>
      </c>
      <c r="D8123" s="3" t="s">
        <v>18348</v>
      </c>
      <c r="E8123" s="3" t="s">
        <v>18349</v>
      </c>
      <c r="F8123" s="3" t="s">
        <v>18350</v>
      </c>
    </row>
    <row r="8124">
      <c r="A8124" s="3">
        <v>2491.0</v>
      </c>
      <c r="B8124" s="3" t="s">
        <v>11280</v>
      </c>
      <c r="C8124" s="3" t="s">
        <v>11281</v>
      </c>
      <c r="D8124" s="3" t="s">
        <v>18351</v>
      </c>
      <c r="E8124" s="3" t="s">
        <v>18352</v>
      </c>
      <c r="F8124" s="3" t="s">
        <v>18353</v>
      </c>
    </row>
    <row r="8125">
      <c r="A8125" s="3">
        <v>2492.0</v>
      </c>
      <c r="B8125" s="3" t="s">
        <v>11280</v>
      </c>
      <c r="C8125" s="3" t="s">
        <v>11281</v>
      </c>
      <c r="D8125" s="3" t="s">
        <v>18354</v>
      </c>
      <c r="E8125" s="3" t="s">
        <v>18355</v>
      </c>
      <c r="F8125" s="3" t="s">
        <v>18356</v>
      </c>
    </row>
    <row r="8126">
      <c r="A8126" s="3">
        <v>2493.0</v>
      </c>
      <c r="B8126" s="3" t="s">
        <v>11280</v>
      </c>
      <c r="C8126" s="3" t="s">
        <v>11281</v>
      </c>
      <c r="D8126" s="3" t="s">
        <v>18357</v>
      </c>
      <c r="E8126" s="3" t="s">
        <v>18358</v>
      </c>
      <c r="F8126" s="3" t="s">
        <v>18359</v>
      </c>
    </row>
    <row r="8127">
      <c r="A8127" s="3">
        <v>2494.0</v>
      </c>
      <c r="B8127" s="3" t="s">
        <v>11280</v>
      </c>
      <c r="C8127" s="3" t="s">
        <v>11281</v>
      </c>
      <c r="D8127" s="3" t="s">
        <v>18360</v>
      </c>
      <c r="E8127" s="3" t="s">
        <v>18361</v>
      </c>
      <c r="F8127" s="3" t="s">
        <v>18362</v>
      </c>
    </row>
    <row r="8128">
      <c r="A8128" s="3">
        <v>2495.0</v>
      </c>
      <c r="B8128" s="3" t="s">
        <v>11280</v>
      </c>
      <c r="C8128" s="3" t="s">
        <v>11281</v>
      </c>
      <c r="D8128" s="3" t="s">
        <v>18363</v>
      </c>
      <c r="E8128" s="3" t="s">
        <v>18364</v>
      </c>
      <c r="F8128" s="3" t="s">
        <v>18365</v>
      </c>
    </row>
    <row r="8129">
      <c r="A8129" s="3">
        <v>2496.0</v>
      </c>
      <c r="B8129" s="3" t="s">
        <v>11280</v>
      </c>
      <c r="C8129" s="3" t="s">
        <v>11281</v>
      </c>
      <c r="D8129" s="3" t="s">
        <v>18366</v>
      </c>
      <c r="E8129" s="3" t="s">
        <v>18367</v>
      </c>
      <c r="F8129" s="3" t="s">
        <v>18368</v>
      </c>
    </row>
    <row r="8130">
      <c r="A8130" s="3">
        <v>2497.0</v>
      </c>
      <c r="B8130" s="3" t="s">
        <v>11280</v>
      </c>
      <c r="C8130" s="3" t="s">
        <v>11281</v>
      </c>
      <c r="D8130" s="3" t="s">
        <v>18369</v>
      </c>
      <c r="E8130" s="3" t="s">
        <v>18370</v>
      </c>
      <c r="F8130" s="3" t="s">
        <v>18371</v>
      </c>
    </row>
    <row r="8131">
      <c r="A8131" s="3">
        <v>2498.0</v>
      </c>
      <c r="B8131" s="3" t="s">
        <v>11280</v>
      </c>
      <c r="C8131" s="3" t="s">
        <v>11281</v>
      </c>
      <c r="D8131" s="3" t="s">
        <v>18372</v>
      </c>
      <c r="E8131" s="3" t="s">
        <v>18373</v>
      </c>
      <c r="F8131" s="3" t="s">
        <v>18374</v>
      </c>
    </row>
    <row r="8132">
      <c r="A8132" s="3">
        <v>2499.0</v>
      </c>
      <c r="B8132" s="3" t="s">
        <v>11280</v>
      </c>
      <c r="C8132" s="3" t="s">
        <v>11281</v>
      </c>
      <c r="D8132" s="3" t="s">
        <v>18375</v>
      </c>
      <c r="E8132" s="3" t="s">
        <v>18376</v>
      </c>
      <c r="F8132" s="3" t="s">
        <v>18377</v>
      </c>
    </row>
    <row r="8133">
      <c r="A8133" s="3">
        <v>2500.0</v>
      </c>
      <c r="B8133" s="3" t="s">
        <v>11280</v>
      </c>
      <c r="C8133" s="3" t="s">
        <v>11281</v>
      </c>
      <c r="D8133" s="3" t="s">
        <v>18378</v>
      </c>
      <c r="E8133" s="3" t="s">
        <v>18379</v>
      </c>
      <c r="F8133" s="3" t="s">
        <v>18378</v>
      </c>
      <c r="G8133" s="3"/>
      <c r="H8133" s="3" t="s">
        <v>18380</v>
      </c>
      <c r="I8133" s="3" t="s">
        <v>18381</v>
      </c>
      <c r="J8133" s="3" t="s">
        <v>18380</v>
      </c>
      <c r="K8133" s="3" t="s">
        <v>18382</v>
      </c>
      <c r="L8133" s="3" t="s">
        <v>18383</v>
      </c>
      <c r="M8133" s="3" t="s">
        <v>5849</v>
      </c>
    </row>
    <row r="8134">
      <c r="A8134" s="3">
        <v>2501.0</v>
      </c>
      <c r="B8134" s="3" t="s">
        <v>11280</v>
      </c>
      <c r="C8134" s="3" t="s">
        <v>11281</v>
      </c>
      <c r="D8134" s="3" t="s">
        <v>18384</v>
      </c>
      <c r="E8134" s="3" t="s">
        <v>18385</v>
      </c>
      <c r="F8134" s="3" t="s">
        <v>18384</v>
      </c>
      <c r="G8134" s="3"/>
      <c r="H8134" s="3" t="s">
        <v>18386</v>
      </c>
    </row>
    <row r="8135">
      <c r="A8135" s="3">
        <v>2502.0</v>
      </c>
      <c r="B8135" s="3" t="s">
        <v>11280</v>
      </c>
      <c r="C8135" s="3" t="s">
        <v>11281</v>
      </c>
      <c r="D8135" s="3" t="s">
        <v>18387</v>
      </c>
      <c r="E8135" s="3" t="s">
        <v>18388</v>
      </c>
      <c r="F8135" s="3" t="s">
        <v>18387</v>
      </c>
    </row>
    <row r="8136">
      <c r="A8136" s="3">
        <v>2503.0</v>
      </c>
      <c r="B8136" s="3" t="s">
        <v>11280</v>
      </c>
      <c r="C8136" s="3" t="s">
        <v>11281</v>
      </c>
      <c r="D8136" s="3" t="s">
        <v>14134</v>
      </c>
      <c r="E8136" s="3" t="s">
        <v>14133</v>
      </c>
      <c r="F8136" s="3" t="s">
        <v>14134</v>
      </c>
    </row>
    <row r="8137">
      <c r="A8137" s="3">
        <v>2504.0</v>
      </c>
      <c r="B8137" s="3" t="s">
        <v>11280</v>
      </c>
      <c r="C8137" s="3" t="s">
        <v>11281</v>
      </c>
      <c r="D8137" s="3" t="s">
        <v>14139</v>
      </c>
      <c r="E8137" s="3" t="s">
        <v>14138</v>
      </c>
      <c r="F8137" s="3" t="s">
        <v>14139</v>
      </c>
    </row>
    <row r="8138">
      <c r="A8138" s="3">
        <v>2505.0</v>
      </c>
      <c r="B8138" s="3" t="s">
        <v>11280</v>
      </c>
      <c r="C8138" s="3" t="s">
        <v>11281</v>
      </c>
      <c r="D8138" s="3" t="s">
        <v>3682</v>
      </c>
      <c r="E8138" s="3" t="s">
        <v>18389</v>
      </c>
      <c r="F8138" s="3" t="s">
        <v>3682</v>
      </c>
      <c r="G8138" s="3"/>
      <c r="H8138" s="3" t="s">
        <v>3677</v>
      </c>
      <c r="I8138" s="3" t="s">
        <v>3682</v>
      </c>
      <c r="J8138" s="3" t="s">
        <v>18390</v>
      </c>
      <c r="K8138" s="3" t="s">
        <v>10823</v>
      </c>
      <c r="L8138" s="3" t="s">
        <v>3682</v>
      </c>
      <c r="M8138" s="3" t="s">
        <v>3677</v>
      </c>
      <c r="N8138" s="3" t="s">
        <v>3682</v>
      </c>
      <c r="O8138" s="3" t="s">
        <v>3682</v>
      </c>
    </row>
    <row r="8139">
      <c r="A8139" s="3">
        <v>2506.0</v>
      </c>
      <c r="B8139" s="3" t="s">
        <v>11280</v>
      </c>
      <c r="C8139" s="3" t="s">
        <v>11281</v>
      </c>
      <c r="D8139" s="3" t="s">
        <v>18391</v>
      </c>
      <c r="E8139" s="3" t="s">
        <v>18392</v>
      </c>
      <c r="F8139" s="3" t="s">
        <v>18391</v>
      </c>
    </row>
    <row r="8140">
      <c r="A8140" s="3">
        <v>2507.0</v>
      </c>
      <c r="B8140" s="3" t="s">
        <v>11280</v>
      </c>
      <c r="C8140" s="3" t="s">
        <v>11281</v>
      </c>
      <c r="D8140" s="3" t="s">
        <v>18393</v>
      </c>
      <c r="E8140" s="3" t="s">
        <v>18394</v>
      </c>
      <c r="F8140" s="3" t="s">
        <v>18393</v>
      </c>
    </row>
    <row r="8141">
      <c r="A8141" s="3">
        <v>2508.0</v>
      </c>
      <c r="B8141" s="3" t="s">
        <v>11280</v>
      </c>
      <c r="C8141" s="3" t="s">
        <v>11281</v>
      </c>
      <c r="D8141" s="3" t="s">
        <v>18395</v>
      </c>
      <c r="E8141" s="3" t="s">
        <v>18396</v>
      </c>
      <c r="F8141" s="3" t="s">
        <v>18395</v>
      </c>
      <c r="G8141" s="3"/>
      <c r="H8141" s="3" t="s">
        <v>315</v>
      </c>
      <c r="I8141" s="3" t="s">
        <v>15281</v>
      </c>
      <c r="J8141" s="3" t="s">
        <v>18397</v>
      </c>
      <c r="K8141" s="3" t="s">
        <v>18398</v>
      </c>
      <c r="L8141" s="3" t="s">
        <v>11170</v>
      </c>
      <c r="M8141" s="3" t="s">
        <v>18399</v>
      </c>
      <c r="N8141" s="3" t="s">
        <v>18400</v>
      </c>
      <c r="O8141" s="3" t="s">
        <v>3522</v>
      </c>
      <c r="P8141" s="3" t="s">
        <v>14958</v>
      </c>
      <c r="Q8141" s="3" t="s">
        <v>12870</v>
      </c>
      <c r="R8141" s="3" t="s">
        <v>11170</v>
      </c>
      <c r="S8141" s="3" t="s">
        <v>18398</v>
      </c>
      <c r="T8141" s="3" t="s">
        <v>18401</v>
      </c>
    </row>
    <row r="8142">
      <c r="A8142" s="3">
        <v>2509.0</v>
      </c>
      <c r="B8142" s="3" t="s">
        <v>11280</v>
      </c>
      <c r="C8142" s="3" t="s">
        <v>11281</v>
      </c>
      <c r="D8142" s="3" t="s">
        <v>18402</v>
      </c>
      <c r="E8142" s="3" t="s">
        <v>18403</v>
      </c>
      <c r="F8142" s="3" t="s">
        <v>18402</v>
      </c>
    </row>
    <row r="8143">
      <c r="A8143" s="3">
        <v>2510.0</v>
      </c>
      <c r="B8143" s="3" t="s">
        <v>11280</v>
      </c>
      <c r="C8143" s="3" t="s">
        <v>11281</v>
      </c>
      <c r="D8143" s="3" t="s">
        <v>18404</v>
      </c>
      <c r="E8143" s="3" t="s">
        <v>18405</v>
      </c>
      <c r="F8143" s="3" t="s">
        <v>18404</v>
      </c>
    </row>
    <row r="8144">
      <c r="A8144" s="3">
        <v>2511.0</v>
      </c>
      <c r="B8144" s="3" t="s">
        <v>11280</v>
      </c>
      <c r="C8144" s="3" t="s">
        <v>11281</v>
      </c>
      <c r="D8144" s="3" t="s">
        <v>18406</v>
      </c>
      <c r="E8144" s="3" t="s">
        <v>18407</v>
      </c>
      <c r="F8144" s="3" t="s">
        <v>18406</v>
      </c>
    </row>
    <row r="8145">
      <c r="A8145" s="3">
        <v>2512.0</v>
      </c>
      <c r="B8145" s="3" t="s">
        <v>11280</v>
      </c>
      <c r="C8145" s="3" t="s">
        <v>11281</v>
      </c>
      <c r="D8145" s="3" t="s">
        <v>18408</v>
      </c>
      <c r="E8145" s="3" t="s">
        <v>18409</v>
      </c>
      <c r="F8145" s="3" t="s">
        <v>18408</v>
      </c>
    </row>
    <row r="8146">
      <c r="A8146" s="3">
        <v>2513.0</v>
      </c>
      <c r="B8146" s="3" t="s">
        <v>11280</v>
      </c>
      <c r="C8146" s="3" t="s">
        <v>11281</v>
      </c>
      <c r="D8146" s="3" t="s">
        <v>5828</v>
      </c>
      <c r="E8146" s="3" t="s">
        <v>7794</v>
      </c>
      <c r="F8146" s="3" t="s">
        <v>5828</v>
      </c>
    </row>
    <row r="8147">
      <c r="A8147" s="3">
        <v>2514.0</v>
      </c>
      <c r="B8147" s="3" t="s">
        <v>11280</v>
      </c>
      <c r="C8147" s="3" t="s">
        <v>11281</v>
      </c>
      <c r="D8147" s="3" t="s">
        <v>18410</v>
      </c>
      <c r="E8147" s="3" t="s">
        <v>18411</v>
      </c>
      <c r="F8147" s="3" t="s">
        <v>18410</v>
      </c>
      <c r="G8147" s="3"/>
      <c r="H8147" s="3" t="s">
        <v>18410</v>
      </c>
    </row>
    <row r="8148">
      <c r="A8148" s="3">
        <v>2515.0</v>
      </c>
      <c r="B8148" s="3" t="s">
        <v>11280</v>
      </c>
      <c r="C8148" s="3" t="s">
        <v>11281</v>
      </c>
      <c r="D8148" s="3" t="s">
        <v>18412</v>
      </c>
      <c r="E8148" s="3" t="s">
        <v>18413</v>
      </c>
      <c r="F8148" s="3" t="s">
        <v>18412</v>
      </c>
    </row>
    <row r="8149">
      <c r="A8149" s="3">
        <v>2516.0</v>
      </c>
      <c r="B8149" s="3" t="s">
        <v>11280</v>
      </c>
      <c r="C8149" s="3" t="s">
        <v>11281</v>
      </c>
      <c r="D8149" s="3" t="s">
        <v>18414</v>
      </c>
      <c r="E8149" s="3" t="s">
        <v>18415</v>
      </c>
      <c r="F8149" s="3" t="s">
        <v>18416</v>
      </c>
    </row>
    <row r="8150">
      <c r="A8150" s="3">
        <v>2517.0</v>
      </c>
      <c r="B8150" s="3" t="s">
        <v>11280</v>
      </c>
      <c r="C8150" s="3" t="s">
        <v>11281</v>
      </c>
      <c r="D8150" s="3" t="s">
        <v>18417</v>
      </c>
      <c r="E8150" s="3" t="s">
        <v>18418</v>
      </c>
      <c r="F8150" s="3" t="s">
        <v>18419</v>
      </c>
    </row>
    <row r="8151">
      <c r="A8151" s="3">
        <v>2518.0</v>
      </c>
      <c r="B8151" s="3" t="s">
        <v>11280</v>
      </c>
      <c r="C8151" s="3" t="s">
        <v>11281</v>
      </c>
      <c r="D8151" s="3" t="s">
        <v>18420</v>
      </c>
      <c r="E8151" s="3" t="s">
        <v>18421</v>
      </c>
      <c r="F8151" s="3" t="s">
        <v>18420</v>
      </c>
    </row>
    <row r="8152">
      <c r="A8152" s="3">
        <v>2519.0</v>
      </c>
      <c r="B8152" s="3" t="s">
        <v>11280</v>
      </c>
      <c r="C8152" s="3" t="s">
        <v>11281</v>
      </c>
      <c r="D8152" s="3" t="s">
        <v>18422</v>
      </c>
      <c r="E8152" s="3" t="s">
        <v>18423</v>
      </c>
      <c r="F8152" s="3" t="s">
        <v>18422</v>
      </c>
    </row>
    <row r="8153">
      <c r="A8153" s="3">
        <v>2520.0</v>
      </c>
      <c r="B8153" s="3" t="s">
        <v>11280</v>
      </c>
      <c r="C8153" s="3" t="s">
        <v>11281</v>
      </c>
      <c r="D8153" s="3" t="s">
        <v>18424</v>
      </c>
      <c r="E8153" s="3" t="s">
        <v>18425</v>
      </c>
      <c r="F8153" s="3" t="s">
        <v>18424</v>
      </c>
    </row>
    <row r="8154">
      <c r="A8154" s="3">
        <v>2521.0</v>
      </c>
      <c r="B8154" s="3" t="s">
        <v>11280</v>
      </c>
      <c r="C8154" s="3" t="s">
        <v>11281</v>
      </c>
      <c r="D8154" s="3" t="s">
        <v>18426</v>
      </c>
      <c r="E8154" s="3" t="s">
        <v>18427</v>
      </c>
      <c r="F8154" s="3" t="s">
        <v>18426</v>
      </c>
    </row>
    <row r="8155">
      <c r="A8155" s="3">
        <v>2522.0</v>
      </c>
      <c r="B8155" s="3" t="s">
        <v>11280</v>
      </c>
      <c r="C8155" s="3" t="s">
        <v>11281</v>
      </c>
      <c r="D8155" s="3" t="s">
        <v>18428</v>
      </c>
      <c r="E8155" s="3" t="s">
        <v>18429</v>
      </c>
      <c r="F8155" s="3" t="s">
        <v>18428</v>
      </c>
    </row>
    <row r="8156">
      <c r="A8156" s="3">
        <v>2523.0</v>
      </c>
      <c r="B8156" s="3" t="s">
        <v>11280</v>
      </c>
      <c r="C8156" s="3" t="s">
        <v>11281</v>
      </c>
      <c r="D8156" s="3" t="s">
        <v>18430</v>
      </c>
      <c r="E8156" s="3" t="s">
        <v>18431</v>
      </c>
      <c r="F8156" s="3" t="s">
        <v>18430</v>
      </c>
    </row>
    <row r="8157">
      <c r="A8157" s="3">
        <v>2524.0</v>
      </c>
      <c r="B8157" s="3" t="s">
        <v>11280</v>
      </c>
      <c r="C8157" s="3" t="s">
        <v>11281</v>
      </c>
      <c r="D8157" s="3" t="s">
        <v>18432</v>
      </c>
      <c r="E8157" s="3" t="s">
        <v>18433</v>
      </c>
      <c r="F8157" s="3" t="s">
        <v>18432</v>
      </c>
    </row>
    <row r="8158">
      <c r="A8158" s="3">
        <v>2525.0</v>
      </c>
      <c r="B8158" s="3" t="s">
        <v>11280</v>
      </c>
      <c r="C8158" s="3" t="s">
        <v>11281</v>
      </c>
      <c r="D8158" s="3" t="s">
        <v>18434</v>
      </c>
      <c r="E8158" s="3" t="s">
        <v>18435</v>
      </c>
      <c r="F8158" s="3" t="s">
        <v>18434</v>
      </c>
    </row>
    <row r="8159">
      <c r="A8159" s="3">
        <v>2526.0</v>
      </c>
      <c r="B8159" s="3" t="s">
        <v>11280</v>
      </c>
      <c r="C8159" s="3" t="s">
        <v>11281</v>
      </c>
      <c r="D8159" s="3" t="s">
        <v>1973</v>
      </c>
      <c r="E8159" s="3" t="s">
        <v>7051</v>
      </c>
      <c r="F8159" s="3" t="s">
        <v>1973</v>
      </c>
    </row>
    <row r="8160">
      <c r="A8160" s="3">
        <v>2527.0</v>
      </c>
      <c r="B8160" s="3" t="s">
        <v>11280</v>
      </c>
      <c r="C8160" s="3" t="s">
        <v>11281</v>
      </c>
      <c r="D8160" s="3" t="s">
        <v>1982</v>
      </c>
      <c r="E8160" s="3" t="s">
        <v>7054</v>
      </c>
      <c r="F8160" s="3" t="s">
        <v>1982</v>
      </c>
    </row>
    <row r="8161">
      <c r="A8161" s="3">
        <v>2528.0</v>
      </c>
      <c r="B8161" s="3" t="s">
        <v>11280</v>
      </c>
      <c r="C8161" s="3" t="s">
        <v>11281</v>
      </c>
      <c r="D8161" s="3" t="s">
        <v>5669</v>
      </c>
      <c r="E8161" s="3" t="s">
        <v>5668</v>
      </c>
      <c r="F8161" s="3" t="s">
        <v>5669</v>
      </c>
    </row>
    <row r="8162">
      <c r="A8162" s="3">
        <v>2529.0</v>
      </c>
      <c r="B8162" s="3" t="s">
        <v>11280</v>
      </c>
      <c r="C8162" s="3" t="s">
        <v>11281</v>
      </c>
      <c r="D8162" s="3" t="s">
        <v>5672</v>
      </c>
      <c r="E8162" s="3" t="s">
        <v>7765</v>
      </c>
      <c r="F8162" s="3" t="s">
        <v>5672</v>
      </c>
      <c r="G8162" s="3"/>
      <c r="H8162" s="3" t="s">
        <v>18436</v>
      </c>
      <c r="I8162" s="3" t="s">
        <v>18437</v>
      </c>
      <c r="J8162" s="3" t="s">
        <v>18438</v>
      </c>
    </row>
    <row r="8163">
      <c r="A8163" s="3">
        <v>2530.0</v>
      </c>
      <c r="B8163" s="3" t="s">
        <v>11280</v>
      </c>
      <c r="C8163" s="3" t="s">
        <v>11281</v>
      </c>
      <c r="D8163" s="3" t="s">
        <v>5681</v>
      </c>
      <c r="E8163" s="3" t="s">
        <v>7768</v>
      </c>
      <c r="F8163" s="3" t="s">
        <v>5681</v>
      </c>
    </row>
    <row r="8164">
      <c r="A8164" s="3">
        <v>2531.0</v>
      </c>
      <c r="B8164" s="3" t="s">
        <v>11280</v>
      </c>
      <c r="C8164" s="3" t="s">
        <v>11281</v>
      </c>
      <c r="D8164" s="3" t="s">
        <v>6093</v>
      </c>
      <c r="E8164" s="3" t="s">
        <v>18439</v>
      </c>
      <c r="F8164" s="3" t="s">
        <v>6093</v>
      </c>
      <c r="G8164" s="3"/>
      <c r="H8164" s="3" t="s">
        <v>18440</v>
      </c>
      <c r="I8164" s="3" t="s">
        <v>18441</v>
      </c>
      <c r="J8164" s="3" t="s">
        <v>858</v>
      </c>
      <c r="K8164" s="3" t="s">
        <v>18442</v>
      </c>
      <c r="L8164" s="3" t="s">
        <v>18443</v>
      </c>
      <c r="M8164" s="3" t="s">
        <v>18444</v>
      </c>
      <c r="N8164" s="3" t="s">
        <v>18445</v>
      </c>
      <c r="O8164" s="3" t="s">
        <v>18442</v>
      </c>
      <c r="P8164" s="3" t="s">
        <v>18446</v>
      </c>
      <c r="Q8164" s="3" t="s">
        <v>18443</v>
      </c>
      <c r="R8164" s="3" t="s">
        <v>18442</v>
      </c>
      <c r="S8164" s="3" t="s">
        <v>18440</v>
      </c>
      <c r="T8164" s="3" t="s">
        <v>18447</v>
      </c>
      <c r="U8164" s="3" t="s">
        <v>18442</v>
      </c>
      <c r="V8164" s="3" t="s">
        <v>18448</v>
      </c>
      <c r="W8164" s="3" t="s">
        <v>18446</v>
      </c>
      <c r="X8164" s="3" t="s">
        <v>18449</v>
      </c>
    </row>
    <row r="8165">
      <c r="A8165" s="3">
        <v>2532.0</v>
      </c>
      <c r="B8165" s="3" t="s">
        <v>11280</v>
      </c>
      <c r="C8165" s="3" t="s">
        <v>11281</v>
      </c>
      <c r="D8165" s="3" t="s">
        <v>18450</v>
      </c>
      <c r="E8165" s="3" t="s">
        <v>18451</v>
      </c>
      <c r="F8165" s="3" t="s">
        <v>18452</v>
      </c>
    </row>
    <row r="8166">
      <c r="A8166" s="3">
        <v>2533.0</v>
      </c>
      <c r="B8166" s="3" t="s">
        <v>11280</v>
      </c>
      <c r="C8166" s="3" t="s">
        <v>11281</v>
      </c>
      <c r="D8166" s="3" t="s">
        <v>18453</v>
      </c>
      <c r="E8166" s="3" t="s">
        <v>18454</v>
      </c>
      <c r="F8166" s="3" t="s">
        <v>18455</v>
      </c>
    </row>
    <row r="8167">
      <c r="A8167" s="3">
        <v>2534.0</v>
      </c>
      <c r="B8167" s="3" t="s">
        <v>11280</v>
      </c>
      <c r="C8167" s="3" t="s">
        <v>11281</v>
      </c>
      <c r="D8167" s="3" t="s">
        <v>18456</v>
      </c>
      <c r="E8167" s="3" t="s">
        <v>18457</v>
      </c>
      <c r="F8167" s="3" t="s">
        <v>18456</v>
      </c>
    </row>
    <row r="8168">
      <c r="A8168" s="3">
        <v>2535.0</v>
      </c>
      <c r="B8168" s="3" t="s">
        <v>11280</v>
      </c>
      <c r="C8168" s="3" t="s">
        <v>11281</v>
      </c>
      <c r="D8168" s="3" t="s">
        <v>18458</v>
      </c>
      <c r="E8168" s="3" t="s">
        <v>18459</v>
      </c>
      <c r="F8168" s="3" t="s">
        <v>18458</v>
      </c>
      <c r="G8168" s="3"/>
      <c r="H8168" s="3" t="s">
        <v>18460</v>
      </c>
      <c r="I8168" s="3" t="s">
        <v>18461</v>
      </c>
      <c r="J8168" s="3" t="s">
        <v>18462</v>
      </c>
      <c r="K8168" s="3" t="s">
        <v>18463</v>
      </c>
      <c r="L8168" s="3" t="s">
        <v>18443</v>
      </c>
      <c r="M8168" s="3" t="s">
        <v>18464</v>
      </c>
      <c r="N8168" s="3" t="s">
        <v>18465</v>
      </c>
      <c r="O8168" s="3" t="s">
        <v>18442</v>
      </c>
      <c r="P8168" s="3" t="s">
        <v>18466</v>
      </c>
      <c r="Q8168" s="3" t="s">
        <v>18467</v>
      </c>
      <c r="R8168" s="3" t="s">
        <v>18468</v>
      </c>
      <c r="S8168" s="3" t="s">
        <v>18462</v>
      </c>
      <c r="T8168" s="3" t="s">
        <v>18463</v>
      </c>
      <c r="U8168" s="3" t="s">
        <v>18469</v>
      </c>
      <c r="V8168" s="3" t="s">
        <v>18470</v>
      </c>
      <c r="W8168" s="3" t="s">
        <v>18443</v>
      </c>
      <c r="X8168" s="3" t="s">
        <v>323</v>
      </c>
      <c r="Y8168" s="3" t="s">
        <v>18470</v>
      </c>
      <c r="Z8168" s="3" t="s">
        <v>15046</v>
      </c>
      <c r="AA8168" s="3" t="s">
        <v>18446</v>
      </c>
    </row>
    <row r="8169">
      <c r="A8169" s="3">
        <v>2536.0</v>
      </c>
      <c r="B8169" s="3" t="s">
        <v>11280</v>
      </c>
      <c r="C8169" s="3" t="s">
        <v>11281</v>
      </c>
      <c r="D8169" s="3" t="s">
        <v>18471</v>
      </c>
      <c r="E8169" s="3" t="s">
        <v>18472</v>
      </c>
      <c r="F8169" s="3" t="s">
        <v>18471</v>
      </c>
    </row>
    <row r="8170">
      <c r="A8170" s="3">
        <v>2537.0</v>
      </c>
      <c r="B8170" s="3" t="s">
        <v>11280</v>
      </c>
      <c r="C8170" s="3" t="s">
        <v>11281</v>
      </c>
      <c r="D8170" s="3" t="s">
        <v>18473</v>
      </c>
      <c r="E8170" s="3" t="s">
        <v>18474</v>
      </c>
      <c r="F8170" s="3" t="s">
        <v>18473</v>
      </c>
    </row>
    <row r="8171">
      <c r="A8171" s="3">
        <v>2538.0</v>
      </c>
      <c r="B8171" s="3" t="s">
        <v>11280</v>
      </c>
      <c r="C8171" s="3" t="s">
        <v>11281</v>
      </c>
      <c r="D8171" s="3" t="s">
        <v>18475</v>
      </c>
      <c r="E8171" s="3" t="s">
        <v>18476</v>
      </c>
      <c r="F8171" s="3" t="s">
        <v>18475</v>
      </c>
    </row>
    <row r="8172">
      <c r="A8172" s="3">
        <v>2539.0</v>
      </c>
      <c r="B8172" s="3" t="s">
        <v>11280</v>
      </c>
      <c r="C8172" s="3" t="s">
        <v>11281</v>
      </c>
      <c r="D8172" s="3" t="s">
        <v>18477</v>
      </c>
      <c r="E8172" s="3" t="s">
        <v>18478</v>
      </c>
      <c r="F8172" s="3" t="s">
        <v>18477</v>
      </c>
    </row>
    <row r="8173">
      <c r="A8173" s="3">
        <v>2540.0</v>
      </c>
      <c r="B8173" s="3" t="s">
        <v>11280</v>
      </c>
      <c r="C8173" s="3" t="s">
        <v>11281</v>
      </c>
      <c r="D8173" s="3" t="s">
        <v>18479</v>
      </c>
      <c r="E8173" s="3" t="s">
        <v>18480</v>
      </c>
      <c r="F8173" s="3" t="s">
        <v>18479</v>
      </c>
      <c r="G8173" s="3"/>
      <c r="H8173" s="3" t="s">
        <v>17481</v>
      </c>
    </row>
    <row r="8174">
      <c r="A8174" s="3">
        <v>2541.0</v>
      </c>
      <c r="B8174" s="3" t="s">
        <v>11280</v>
      </c>
      <c r="C8174" s="3" t="s">
        <v>11281</v>
      </c>
      <c r="D8174" s="3" t="s">
        <v>18481</v>
      </c>
      <c r="E8174" s="3" t="s">
        <v>18482</v>
      </c>
      <c r="F8174" s="3" t="s">
        <v>18481</v>
      </c>
    </row>
    <row r="8175">
      <c r="A8175" s="3">
        <v>2542.0</v>
      </c>
      <c r="B8175" s="3" t="s">
        <v>11280</v>
      </c>
      <c r="C8175" s="3" t="s">
        <v>11281</v>
      </c>
      <c r="D8175" s="3" t="s">
        <v>18483</v>
      </c>
      <c r="E8175" s="3" t="s">
        <v>18484</v>
      </c>
      <c r="F8175" s="3" t="s">
        <v>18483</v>
      </c>
    </row>
    <row r="8176">
      <c r="A8176" s="3">
        <v>2543.0</v>
      </c>
      <c r="B8176" s="3" t="s">
        <v>11280</v>
      </c>
      <c r="C8176" s="3" t="s">
        <v>11281</v>
      </c>
      <c r="D8176" s="3" t="s">
        <v>18485</v>
      </c>
      <c r="E8176" s="3" t="s">
        <v>18486</v>
      </c>
      <c r="F8176" s="3" t="s">
        <v>18485</v>
      </c>
    </row>
    <row r="8177">
      <c r="A8177" s="3">
        <v>2544.0</v>
      </c>
      <c r="B8177" s="3" t="s">
        <v>11280</v>
      </c>
      <c r="C8177" s="3" t="s">
        <v>11281</v>
      </c>
      <c r="D8177" s="3" t="s">
        <v>18487</v>
      </c>
      <c r="E8177" s="3" t="s">
        <v>18488</v>
      </c>
      <c r="F8177" s="3" t="s">
        <v>18487</v>
      </c>
    </row>
    <row r="8178">
      <c r="A8178" s="3">
        <v>2545.0</v>
      </c>
      <c r="B8178" s="3" t="s">
        <v>11280</v>
      </c>
      <c r="C8178" s="3" t="s">
        <v>11281</v>
      </c>
      <c r="D8178" s="3" t="s">
        <v>18489</v>
      </c>
      <c r="E8178" s="3" t="s">
        <v>18490</v>
      </c>
      <c r="F8178" s="3" t="s">
        <v>18489</v>
      </c>
    </row>
    <row r="8179">
      <c r="A8179" s="3">
        <v>2546.0</v>
      </c>
      <c r="B8179" s="3" t="s">
        <v>11280</v>
      </c>
      <c r="C8179" s="3" t="s">
        <v>11281</v>
      </c>
      <c r="D8179" s="3" t="s">
        <v>18491</v>
      </c>
      <c r="E8179" s="3" t="s">
        <v>18492</v>
      </c>
      <c r="F8179" s="3" t="s">
        <v>18491</v>
      </c>
    </row>
    <row r="8180">
      <c r="A8180" s="3">
        <v>2547.0</v>
      </c>
      <c r="B8180" s="3" t="s">
        <v>11280</v>
      </c>
      <c r="C8180" s="3" t="s">
        <v>11281</v>
      </c>
      <c r="D8180" s="3" t="s">
        <v>18493</v>
      </c>
      <c r="E8180" s="3" t="s">
        <v>18494</v>
      </c>
      <c r="F8180" s="3" t="s">
        <v>18493</v>
      </c>
    </row>
    <row r="8181">
      <c r="A8181" s="3">
        <v>2548.0</v>
      </c>
      <c r="B8181" s="3" t="s">
        <v>11280</v>
      </c>
      <c r="C8181" s="3" t="s">
        <v>11281</v>
      </c>
      <c r="D8181" s="3" t="s">
        <v>18495</v>
      </c>
      <c r="E8181" s="3" t="s">
        <v>18496</v>
      </c>
      <c r="F8181" s="3" t="s">
        <v>18495</v>
      </c>
    </row>
    <row r="8182">
      <c r="A8182" s="3">
        <v>2549.0</v>
      </c>
      <c r="B8182" s="3" t="s">
        <v>11280</v>
      </c>
      <c r="C8182" s="3" t="s">
        <v>11281</v>
      </c>
      <c r="D8182" s="3" t="s">
        <v>18497</v>
      </c>
      <c r="E8182" s="3" t="s">
        <v>18498</v>
      </c>
      <c r="F8182" s="3" t="s">
        <v>18497</v>
      </c>
      <c r="G8182" s="3"/>
      <c r="H8182" s="3" t="s">
        <v>18499</v>
      </c>
      <c r="I8182" s="3" t="s">
        <v>18500</v>
      </c>
      <c r="J8182" s="3" t="s">
        <v>18501</v>
      </c>
      <c r="K8182" s="3" t="s">
        <v>18502</v>
      </c>
      <c r="L8182" s="3" t="s">
        <v>13419</v>
      </c>
      <c r="M8182" s="3" t="s">
        <v>18503</v>
      </c>
      <c r="N8182" s="3" t="s">
        <v>12744</v>
      </c>
    </row>
    <row r="8183">
      <c r="A8183" s="3">
        <v>2550.0</v>
      </c>
      <c r="B8183" s="3" t="s">
        <v>11280</v>
      </c>
      <c r="C8183" s="3" t="s">
        <v>11281</v>
      </c>
      <c r="D8183" s="3" t="s">
        <v>18504</v>
      </c>
      <c r="E8183" s="3" t="s">
        <v>18505</v>
      </c>
      <c r="F8183" s="3" t="s">
        <v>18504</v>
      </c>
    </row>
    <row r="8184">
      <c r="A8184" s="3">
        <v>2551.0</v>
      </c>
      <c r="B8184" s="3" t="s">
        <v>11280</v>
      </c>
      <c r="C8184" s="3" t="s">
        <v>11281</v>
      </c>
      <c r="D8184" s="3" t="s">
        <v>18506</v>
      </c>
      <c r="E8184" s="3" t="s">
        <v>18507</v>
      </c>
      <c r="F8184" s="3" t="s">
        <v>18506</v>
      </c>
    </row>
    <row r="8185">
      <c r="A8185" s="3">
        <v>2552.0</v>
      </c>
      <c r="B8185" s="3" t="s">
        <v>11280</v>
      </c>
      <c r="C8185" s="3" t="s">
        <v>11281</v>
      </c>
      <c r="D8185" s="3" t="s">
        <v>18508</v>
      </c>
      <c r="E8185" s="3" t="s">
        <v>18509</v>
      </c>
      <c r="F8185" s="3" t="s">
        <v>18508</v>
      </c>
    </row>
    <row r="8186">
      <c r="A8186" s="3">
        <v>2553.0</v>
      </c>
      <c r="B8186" s="3" t="s">
        <v>11280</v>
      </c>
      <c r="C8186" s="3" t="s">
        <v>11281</v>
      </c>
      <c r="D8186" s="3" t="s">
        <v>18510</v>
      </c>
      <c r="E8186" s="3" t="s">
        <v>18511</v>
      </c>
      <c r="F8186" s="3" t="s">
        <v>18510</v>
      </c>
    </row>
    <row r="8187">
      <c r="A8187" s="3">
        <v>2554.0</v>
      </c>
      <c r="B8187" s="3" t="s">
        <v>11280</v>
      </c>
      <c r="C8187" s="3" t="s">
        <v>11281</v>
      </c>
      <c r="D8187" s="3" t="s">
        <v>18512</v>
      </c>
      <c r="E8187" s="3" t="s">
        <v>18513</v>
      </c>
      <c r="F8187" s="3" t="s">
        <v>18512</v>
      </c>
      <c r="G8187" s="3"/>
      <c r="H8187" s="3" t="s">
        <v>18514</v>
      </c>
      <c r="I8187" s="3" t="s">
        <v>10125</v>
      </c>
      <c r="J8187" s="3" t="s">
        <v>10126</v>
      </c>
      <c r="K8187" s="3" t="s">
        <v>10127</v>
      </c>
      <c r="L8187" s="3" t="s">
        <v>5450</v>
      </c>
    </row>
    <row r="8188">
      <c r="A8188" s="3">
        <v>2555.0</v>
      </c>
      <c r="B8188" s="3" t="s">
        <v>11280</v>
      </c>
      <c r="C8188" s="3" t="s">
        <v>11281</v>
      </c>
      <c r="D8188" s="3" t="s">
        <v>185</v>
      </c>
      <c r="E8188" s="3" t="s">
        <v>186</v>
      </c>
      <c r="F8188" s="3" t="s">
        <v>185</v>
      </c>
      <c r="G8188" s="3"/>
      <c r="H8188" s="3" t="s">
        <v>18515</v>
      </c>
      <c r="I8188" s="3" t="s">
        <v>18516</v>
      </c>
      <c r="J8188" s="3" t="s">
        <v>18517</v>
      </c>
      <c r="K8188" s="3" t="s">
        <v>5270</v>
      </c>
      <c r="L8188" s="3" t="s">
        <v>18518</v>
      </c>
      <c r="M8188" s="3" t="s">
        <v>18519</v>
      </c>
      <c r="N8188" s="3" t="s">
        <v>18520</v>
      </c>
    </row>
    <row r="8189">
      <c r="A8189" s="3">
        <v>2556.0</v>
      </c>
      <c r="B8189" s="3" t="s">
        <v>11280</v>
      </c>
      <c r="C8189" s="3" t="s">
        <v>11281</v>
      </c>
      <c r="D8189" s="3" t="s">
        <v>18521</v>
      </c>
      <c r="E8189" s="3" t="s">
        <v>18522</v>
      </c>
      <c r="F8189" s="3" t="s">
        <v>18521</v>
      </c>
    </row>
    <row r="8190">
      <c r="A8190" s="3">
        <v>2557.0</v>
      </c>
      <c r="B8190" s="3" t="s">
        <v>11280</v>
      </c>
      <c r="C8190" s="3" t="s">
        <v>11281</v>
      </c>
      <c r="D8190" s="3" t="s">
        <v>18523</v>
      </c>
      <c r="E8190" s="3" t="s">
        <v>18524</v>
      </c>
      <c r="F8190" s="3" t="s">
        <v>18523</v>
      </c>
    </row>
    <row r="8191">
      <c r="A8191" s="3">
        <v>2558.0</v>
      </c>
      <c r="B8191" s="3" t="s">
        <v>11280</v>
      </c>
      <c r="C8191" s="3" t="s">
        <v>11281</v>
      </c>
      <c r="D8191" s="3" t="s">
        <v>18525</v>
      </c>
      <c r="E8191" s="3" t="s">
        <v>18526</v>
      </c>
      <c r="F8191" s="3" t="s">
        <v>18525</v>
      </c>
      <c r="G8191" s="3"/>
      <c r="H8191" s="3" t="s">
        <v>18527</v>
      </c>
      <c r="I8191" s="3" t="s">
        <v>18528</v>
      </c>
      <c r="J8191" s="3" t="s">
        <v>18529</v>
      </c>
      <c r="K8191" s="3" t="s">
        <v>18530</v>
      </c>
      <c r="L8191" s="3" t="s">
        <v>18529</v>
      </c>
      <c r="M8191" s="3" t="s">
        <v>18529</v>
      </c>
      <c r="N8191" s="3" t="s">
        <v>18531</v>
      </c>
    </row>
    <row r="8192">
      <c r="A8192" s="3">
        <v>2559.0</v>
      </c>
      <c r="B8192" s="3" t="s">
        <v>11280</v>
      </c>
      <c r="C8192" s="3" t="s">
        <v>11281</v>
      </c>
      <c r="D8192" s="3" t="s">
        <v>18532</v>
      </c>
      <c r="E8192" s="3" t="s">
        <v>18533</v>
      </c>
      <c r="F8192" s="3" t="s">
        <v>18534</v>
      </c>
    </row>
    <row r="8193">
      <c r="A8193" s="3">
        <v>2560.0</v>
      </c>
      <c r="B8193" s="3" t="s">
        <v>11280</v>
      </c>
      <c r="C8193" s="3" t="s">
        <v>11281</v>
      </c>
      <c r="D8193" s="3" t="s">
        <v>18535</v>
      </c>
      <c r="E8193" s="3" t="s">
        <v>18536</v>
      </c>
      <c r="F8193" s="3" t="s">
        <v>18537</v>
      </c>
    </row>
    <row r="8194">
      <c r="A8194" s="3">
        <v>2561.0</v>
      </c>
      <c r="B8194" s="3" t="s">
        <v>11280</v>
      </c>
      <c r="C8194" s="3" t="s">
        <v>11281</v>
      </c>
      <c r="D8194" s="3" t="s">
        <v>18538</v>
      </c>
      <c r="E8194" s="3" t="s">
        <v>18539</v>
      </c>
      <c r="F8194" s="3" t="s">
        <v>18540</v>
      </c>
    </row>
    <row r="8195">
      <c r="A8195" s="3">
        <v>2562.0</v>
      </c>
      <c r="B8195" s="3" t="s">
        <v>11280</v>
      </c>
      <c r="C8195" s="3" t="s">
        <v>11281</v>
      </c>
      <c r="D8195" s="3" t="s">
        <v>18541</v>
      </c>
      <c r="E8195" s="3" t="s">
        <v>18542</v>
      </c>
      <c r="F8195" s="3" t="s">
        <v>18543</v>
      </c>
    </row>
    <row r="8196">
      <c r="A8196" s="3">
        <v>2563.0</v>
      </c>
      <c r="B8196" s="3" t="s">
        <v>11280</v>
      </c>
      <c r="C8196" s="3" t="s">
        <v>11281</v>
      </c>
      <c r="D8196" s="3" t="s">
        <v>18544</v>
      </c>
      <c r="E8196" s="3" t="s">
        <v>18545</v>
      </c>
      <c r="F8196" s="3" t="s">
        <v>18546</v>
      </c>
    </row>
    <row r="8197">
      <c r="A8197" s="3">
        <v>2564.0</v>
      </c>
      <c r="B8197" s="3" t="s">
        <v>11280</v>
      </c>
      <c r="C8197" s="3" t="s">
        <v>11281</v>
      </c>
      <c r="D8197" s="3" t="s">
        <v>18547</v>
      </c>
      <c r="E8197" s="3" t="s">
        <v>18548</v>
      </c>
      <c r="F8197" s="3" t="s">
        <v>18549</v>
      </c>
    </row>
    <row r="8198">
      <c r="A8198" s="3">
        <v>2565.0</v>
      </c>
      <c r="B8198" s="3" t="s">
        <v>11280</v>
      </c>
      <c r="C8198" s="3" t="s">
        <v>11281</v>
      </c>
      <c r="D8198" s="3" t="s">
        <v>18550</v>
      </c>
      <c r="E8198" s="3" t="s">
        <v>18551</v>
      </c>
      <c r="F8198" s="3" t="s">
        <v>18552</v>
      </c>
    </row>
    <row r="8199">
      <c r="A8199" s="3">
        <v>2566.0</v>
      </c>
      <c r="B8199" s="3" t="s">
        <v>11280</v>
      </c>
      <c r="C8199" s="3" t="s">
        <v>11281</v>
      </c>
      <c r="D8199" s="3" t="s">
        <v>18553</v>
      </c>
      <c r="E8199" s="3" t="s">
        <v>18554</v>
      </c>
      <c r="F8199" s="3" t="s">
        <v>18553</v>
      </c>
    </row>
    <row r="8200">
      <c r="A8200" s="3">
        <v>2567.0</v>
      </c>
      <c r="B8200" s="3" t="s">
        <v>11280</v>
      </c>
      <c r="C8200" s="3" t="s">
        <v>11281</v>
      </c>
      <c r="D8200" s="3" t="s">
        <v>18555</v>
      </c>
      <c r="E8200" s="3" t="s">
        <v>18556</v>
      </c>
      <c r="F8200" s="3" t="s">
        <v>18555</v>
      </c>
    </row>
    <row r="8201">
      <c r="A8201" s="3">
        <v>2568.0</v>
      </c>
      <c r="B8201" s="3" t="s">
        <v>11280</v>
      </c>
      <c r="C8201" s="3" t="s">
        <v>11281</v>
      </c>
      <c r="D8201" s="3" t="s">
        <v>18557</v>
      </c>
      <c r="E8201" s="3" t="s">
        <v>6430</v>
      </c>
      <c r="F8201" s="3" t="s">
        <v>6431</v>
      </c>
    </row>
    <row r="8202">
      <c r="A8202" s="3">
        <v>2569.0</v>
      </c>
      <c r="B8202" s="3" t="s">
        <v>11280</v>
      </c>
      <c r="C8202" s="3" t="s">
        <v>11281</v>
      </c>
      <c r="D8202" s="3" t="s">
        <v>18558</v>
      </c>
      <c r="E8202" s="3" t="s">
        <v>18559</v>
      </c>
      <c r="F8202" s="3" t="s">
        <v>18560</v>
      </c>
    </row>
    <row r="8203">
      <c r="A8203" s="3">
        <v>2570.0</v>
      </c>
      <c r="B8203" s="3" t="s">
        <v>11280</v>
      </c>
      <c r="C8203" s="3" t="s">
        <v>11281</v>
      </c>
      <c r="D8203" s="3" t="s">
        <v>18561</v>
      </c>
      <c r="E8203" s="3" t="s">
        <v>18562</v>
      </c>
      <c r="F8203" s="3" t="s">
        <v>18563</v>
      </c>
    </row>
    <row r="8204">
      <c r="A8204" s="3">
        <v>2571.0</v>
      </c>
      <c r="B8204" s="3" t="s">
        <v>11280</v>
      </c>
      <c r="C8204" s="3" t="s">
        <v>11281</v>
      </c>
      <c r="D8204" s="3" t="s">
        <v>18564</v>
      </c>
      <c r="E8204" s="3" t="s">
        <v>18565</v>
      </c>
      <c r="F8204" s="3" t="s">
        <v>18566</v>
      </c>
    </row>
    <row r="8205">
      <c r="A8205" s="3">
        <v>2572.0</v>
      </c>
      <c r="B8205" s="3" t="s">
        <v>11280</v>
      </c>
      <c r="C8205" s="3" t="s">
        <v>11281</v>
      </c>
      <c r="D8205" s="3" t="s">
        <v>18567</v>
      </c>
      <c r="E8205" s="3" t="s">
        <v>18568</v>
      </c>
      <c r="F8205" s="3" t="s">
        <v>18569</v>
      </c>
    </row>
    <row r="8206">
      <c r="A8206" s="3">
        <v>2573.0</v>
      </c>
      <c r="B8206" s="3" t="s">
        <v>11280</v>
      </c>
      <c r="C8206" s="3" t="s">
        <v>11281</v>
      </c>
      <c r="D8206" s="3" t="s">
        <v>18570</v>
      </c>
      <c r="E8206" s="3" t="s">
        <v>9166</v>
      </c>
      <c r="F8206" s="3" t="s">
        <v>9167</v>
      </c>
    </row>
    <row r="8207">
      <c r="A8207" s="3">
        <v>2574.0</v>
      </c>
      <c r="B8207" s="3" t="s">
        <v>11280</v>
      </c>
      <c r="C8207" s="3" t="s">
        <v>11281</v>
      </c>
      <c r="D8207" s="3" t="s">
        <v>18571</v>
      </c>
      <c r="E8207" s="3" t="s">
        <v>18572</v>
      </c>
      <c r="F8207" s="3" t="s">
        <v>18573</v>
      </c>
    </row>
    <row r="8208">
      <c r="A8208" s="3">
        <v>2575.0</v>
      </c>
      <c r="B8208" s="3" t="s">
        <v>11280</v>
      </c>
      <c r="C8208" s="3" t="s">
        <v>11281</v>
      </c>
      <c r="D8208" s="3" t="s">
        <v>18574</v>
      </c>
      <c r="E8208" s="3" t="s">
        <v>18575</v>
      </c>
      <c r="F8208" s="3" t="s">
        <v>18576</v>
      </c>
    </row>
    <row r="8209">
      <c r="A8209" s="3">
        <v>2576.0</v>
      </c>
      <c r="B8209" s="3" t="s">
        <v>11280</v>
      </c>
      <c r="C8209" s="3" t="s">
        <v>11281</v>
      </c>
      <c r="D8209" s="3" t="s">
        <v>18577</v>
      </c>
      <c r="E8209" s="3" t="s">
        <v>18578</v>
      </c>
      <c r="F8209" s="3" t="s">
        <v>18579</v>
      </c>
    </row>
    <row r="8210">
      <c r="A8210" s="3">
        <v>2577.0</v>
      </c>
      <c r="B8210" s="3" t="s">
        <v>11280</v>
      </c>
      <c r="C8210" s="3" t="s">
        <v>11281</v>
      </c>
      <c r="D8210" s="3" t="s">
        <v>18580</v>
      </c>
      <c r="E8210" s="3" t="s">
        <v>18581</v>
      </c>
      <c r="F8210" s="3" t="s">
        <v>18582</v>
      </c>
    </row>
    <row r="8211">
      <c r="A8211" s="3">
        <v>2578.0</v>
      </c>
      <c r="B8211" s="3" t="s">
        <v>11280</v>
      </c>
      <c r="C8211" s="3" t="s">
        <v>11281</v>
      </c>
      <c r="D8211" s="3" t="s">
        <v>18583</v>
      </c>
      <c r="E8211" s="3" t="s">
        <v>18584</v>
      </c>
      <c r="F8211" s="3" t="s">
        <v>18585</v>
      </c>
    </row>
    <row r="8212">
      <c r="A8212" s="3">
        <v>2579.0</v>
      </c>
      <c r="B8212" s="3" t="s">
        <v>11280</v>
      </c>
      <c r="C8212" s="3" t="s">
        <v>11281</v>
      </c>
      <c r="D8212" s="3" t="s">
        <v>18586</v>
      </c>
      <c r="E8212" s="3" t="s">
        <v>18587</v>
      </c>
      <c r="F8212" s="3" t="s">
        <v>18588</v>
      </c>
    </row>
    <row r="8213">
      <c r="A8213" s="3">
        <v>2580.0</v>
      </c>
      <c r="B8213" s="3" t="s">
        <v>11280</v>
      </c>
      <c r="C8213" s="3" t="s">
        <v>11281</v>
      </c>
      <c r="D8213" s="3" t="s">
        <v>18589</v>
      </c>
      <c r="E8213" s="3" t="s">
        <v>18590</v>
      </c>
      <c r="F8213" s="3" t="s">
        <v>18591</v>
      </c>
    </row>
    <row r="8214">
      <c r="A8214" s="3">
        <v>2581.0</v>
      </c>
      <c r="B8214" s="3" t="s">
        <v>11280</v>
      </c>
      <c r="C8214" s="3" t="s">
        <v>11281</v>
      </c>
      <c r="D8214" s="3" t="s">
        <v>18592</v>
      </c>
      <c r="E8214" s="3" t="s">
        <v>18593</v>
      </c>
      <c r="F8214" s="3" t="s">
        <v>6431</v>
      </c>
    </row>
    <row r="8215">
      <c r="A8215" s="3">
        <v>2582.0</v>
      </c>
      <c r="B8215" s="3" t="s">
        <v>11280</v>
      </c>
      <c r="C8215" s="3" t="s">
        <v>11281</v>
      </c>
      <c r="D8215" s="3" t="s">
        <v>18594</v>
      </c>
      <c r="E8215" s="3" t="s">
        <v>18595</v>
      </c>
      <c r="F8215" s="3" t="s">
        <v>18596</v>
      </c>
    </row>
    <row r="8216">
      <c r="A8216" s="3">
        <v>2583.0</v>
      </c>
      <c r="B8216" s="3" t="s">
        <v>11280</v>
      </c>
      <c r="C8216" s="3" t="s">
        <v>11281</v>
      </c>
      <c r="D8216" s="3" t="s">
        <v>18597</v>
      </c>
      <c r="E8216" s="3" t="s">
        <v>18598</v>
      </c>
      <c r="F8216" s="3" t="s">
        <v>18560</v>
      </c>
    </row>
    <row r="8217">
      <c r="A8217" s="3">
        <v>2584.0</v>
      </c>
      <c r="B8217" s="3" t="s">
        <v>11280</v>
      </c>
      <c r="C8217" s="3" t="s">
        <v>11281</v>
      </c>
      <c r="D8217" s="3" t="s">
        <v>18599</v>
      </c>
      <c r="E8217" s="3" t="s">
        <v>18600</v>
      </c>
      <c r="F8217" s="3" t="s">
        <v>18569</v>
      </c>
      <c r="G8217" s="3"/>
      <c r="H8217" s="3" t="s">
        <v>17606</v>
      </c>
      <c r="I8217" s="3" t="s">
        <v>18601</v>
      </c>
      <c r="J8217" s="3" t="s">
        <v>13848</v>
      </c>
    </row>
    <row r="8218">
      <c r="A8218" s="3">
        <v>2585.0</v>
      </c>
      <c r="B8218" s="3" t="s">
        <v>11280</v>
      </c>
      <c r="C8218" s="3" t="s">
        <v>11281</v>
      </c>
      <c r="D8218" s="3" t="s">
        <v>18602</v>
      </c>
      <c r="E8218" s="3" t="s">
        <v>18603</v>
      </c>
      <c r="F8218" s="3" t="s">
        <v>9167</v>
      </c>
    </row>
    <row r="8219">
      <c r="A8219" s="3">
        <v>2586.0</v>
      </c>
      <c r="B8219" s="3" t="s">
        <v>11280</v>
      </c>
      <c r="C8219" s="3" t="s">
        <v>11281</v>
      </c>
      <c r="D8219" s="3" t="s">
        <v>18604</v>
      </c>
      <c r="E8219" s="3" t="s">
        <v>18605</v>
      </c>
      <c r="F8219" s="3" t="s">
        <v>18573</v>
      </c>
    </row>
    <row r="8220">
      <c r="A8220" s="3">
        <v>2587.0</v>
      </c>
      <c r="B8220" s="3" t="s">
        <v>11280</v>
      </c>
      <c r="C8220" s="3" t="s">
        <v>11281</v>
      </c>
      <c r="D8220" s="3" t="s">
        <v>18606</v>
      </c>
      <c r="E8220" s="3" t="s">
        <v>18607</v>
      </c>
      <c r="F8220" s="3" t="s">
        <v>18576</v>
      </c>
    </row>
    <row r="8221">
      <c r="A8221" s="3">
        <v>2588.0</v>
      </c>
      <c r="B8221" s="3" t="s">
        <v>11280</v>
      </c>
      <c r="C8221" s="3" t="s">
        <v>11281</v>
      </c>
      <c r="D8221" s="3" t="s">
        <v>18608</v>
      </c>
      <c r="E8221" s="3" t="s">
        <v>18609</v>
      </c>
      <c r="F8221" s="3" t="s">
        <v>18579</v>
      </c>
    </row>
    <row r="8222">
      <c r="A8222" s="3">
        <v>2589.0</v>
      </c>
      <c r="B8222" s="3" t="s">
        <v>11280</v>
      </c>
      <c r="C8222" s="3" t="s">
        <v>11281</v>
      </c>
      <c r="D8222" s="3" t="s">
        <v>6327</v>
      </c>
      <c r="E8222" s="3" t="s">
        <v>6326</v>
      </c>
      <c r="F8222" s="3" t="s">
        <v>6327</v>
      </c>
    </row>
    <row r="8223">
      <c r="A8223" s="3">
        <v>2590.0</v>
      </c>
      <c r="B8223" s="3" t="s">
        <v>11280</v>
      </c>
      <c r="C8223" s="3" t="s">
        <v>11281</v>
      </c>
      <c r="D8223" s="3" t="s">
        <v>18610</v>
      </c>
      <c r="E8223" s="3" t="s">
        <v>18611</v>
      </c>
      <c r="F8223" s="3" t="s">
        <v>18610</v>
      </c>
    </row>
    <row r="8224">
      <c r="A8224" s="3">
        <v>2591.0</v>
      </c>
      <c r="B8224" s="3" t="s">
        <v>11280</v>
      </c>
      <c r="C8224" s="3" t="s">
        <v>11281</v>
      </c>
      <c r="D8224" s="3" t="s">
        <v>18612</v>
      </c>
      <c r="E8224" s="3" t="s">
        <v>18613</v>
      </c>
      <c r="F8224" s="3" t="s">
        <v>18612</v>
      </c>
    </row>
    <row r="8225">
      <c r="A8225" s="3">
        <v>2592.0</v>
      </c>
      <c r="B8225" s="3" t="s">
        <v>11280</v>
      </c>
      <c r="C8225" s="3" t="s">
        <v>11281</v>
      </c>
      <c r="D8225" s="3" t="s">
        <v>18614</v>
      </c>
      <c r="E8225" s="3" t="s">
        <v>18615</v>
      </c>
      <c r="F8225" s="3" t="s">
        <v>18614</v>
      </c>
      <c r="G8225" s="3"/>
      <c r="H8225" s="3" t="s">
        <v>18616</v>
      </c>
    </row>
    <row r="8226">
      <c r="A8226" s="3">
        <v>2593.0</v>
      </c>
      <c r="B8226" s="3" t="s">
        <v>11280</v>
      </c>
      <c r="C8226" s="3" t="s">
        <v>11281</v>
      </c>
      <c r="D8226" s="3" t="s">
        <v>18617</v>
      </c>
      <c r="E8226" s="3" t="s">
        <v>18618</v>
      </c>
      <c r="F8226" s="3" t="s">
        <v>18617</v>
      </c>
    </row>
    <row r="8227">
      <c r="A8227" s="3">
        <v>2594.0</v>
      </c>
      <c r="B8227" s="3" t="s">
        <v>11280</v>
      </c>
      <c r="C8227" s="3" t="s">
        <v>11281</v>
      </c>
      <c r="D8227" s="3" t="s">
        <v>18619</v>
      </c>
      <c r="E8227" s="3" t="s">
        <v>18620</v>
      </c>
      <c r="F8227" s="3" t="s">
        <v>18619</v>
      </c>
    </row>
    <row r="8228">
      <c r="A8228" s="3">
        <v>2595.0</v>
      </c>
      <c r="B8228" s="3" t="s">
        <v>11280</v>
      </c>
      <c r="C8228" s="3" t="s">
        <v>11281</v>
      </c>
      <c r="D8228" s="3" t="s">
        <v>18621</v>
      </c>
      <c r="E8228" s="3" t="s">
        <v>18622</v>
      </c>
      <c r="F8228" s="3" t="s">
        <v>18621</v>
      </c>
    </row>
    <row r="8229">
      <c r="A8229" s="3">
        <v>2596.0</v>
      </c>
      <c r="B8229" s="3" t="s">
        <v>11280</v>
      </c>
      <c r="C8229" s="3" t="s">
        <v>11281</v>
      </c>
      <c r="D8229" s="3" t="s">
        <v>18623</v>
      </c>
      <c r="E8229" s="3" t="s">
        <v>18624</v>
      </c>
      <c r="F8229" s="3" t="s">
        <v>18623</v>
      </c>
    </row>
    <row r="8230">
      <c r="A8230" s="3">
        <v>2597.0</v>
      </c>
      <c r="B8230" s="3" t="s">
        <v>11280</v>
      </c>
      <c r="C8230" s="3" t="s">
        <v>11281</v>
      </c>
      <c r="D8230" s="3" t="s">
        <v>18625</v>
      </c>
      <c r="E8230" s="3" t="s">
        <v>18626</v>
      </c>
      <c r="F8230" s="3" t="s">
        <v>18625</v>
      </c>
      <c r="G8230" s="3"/>
      <c r="H8230" s="3" t="s">
        <v>18627</v>
      </c>
      <c r="I8230" s="3" t="s">
        <v>18628</v>
      </c>
      <c r="J8230" s="3" t="s">
        <v>18628</v>
      </c>
      <c r="K8230" s="3" t="s">
        <v>2182</v>
      </c>
      <c r="L8230" s="3" t="s">
        <v>18629</v>
      </c>
      <c r="M8230" s="3" t="s">
        <v>6313</v>
      </c>
      <c r="N8230" s="3" t="s">
        <v>1964</v>
      </c>
      <c r="O8230" s="3" t="s">
        <v>6314</v>
      </c>
      <c r="P8230" s="3" t="s">
        <v>6313</v>
      </c>
    </row>
    <row r="8231">
      <c r="A8231" s="3">
        <v>2598.0</v>
      </c>
      <c r="B8231" s="3" t="s">
        <v>11280</v>
      </c>
      <c r="C8231" s="3" t="s">
        <v>11281</v>
      </c>
      <c r="D8231" s="3" t="s">
        <v>18630</v>
      </c>
      <c r="E8231" s="3" t="s">
        <v>18631</v>
      </c>
      <c r="F8231" s="3" t="s">
        <v>18630</v>
      </c>
    </row>
    <row r="8232">
      <c r="A8232" s="3">
        <v>2599.0</v>
      </c>
      <c r="B8232" s="3" t="s">
        <v>11280</v>
      </c>
      <c r="C8232" s="3" t="s">
        <v>11281</v>
      </c>
      <c r="D8232" s="3" t="s">
        <v>18632</v>
      </c>
      <c r="E8232" s="3" t="s">
        <v>18633</v>
      </c>
      <c r="F8232" s="3" t="s">
        <v>18632</v>
      </c>
      <c r="G8232" s="3"/>
      <c r="H8232" s="3" t="s">
        <v>18634</v>
      </c>
      <c r="I8232" s="3" t="s">
        <v>18634</v>
      </c>
      <c r="J8232" s="3" t="s">
        <v>18635</v>
      </c>
      <c r="K8232" s="3" t="s">
        <v>18636</v>
      </c>
      <c r="L8232" s="3" t="s">
        <v>18637</v>
      </c>
    </row>
    <row r="8233">
      <c r="A8233" s="3">
        <v>2600.0</v>
      </c>
      <c r="B8233" s="3" t="s">
        <v>11280</v>
      </c>
      <c r="C8233" s="3" t="s">
        <v>11281</v>
      </c>
      <c r="D8233" s="3" t="s">
        <v>18638</v>
      </c>
      <c r="E8233" s="3" t="s">
        <v>18639</v>
      </c>
      <c r="F8233" s="3" t="s">
        <v>18638</v>
      </c>
    </row>
    <row r="8234">
      <c r="A8234" s="3">
        <v>2601.0</v>
      </c>
      <c r="B8234" s="3" t="s">
        <v>11280</v>
      </c>
      <c r="C8234" s="3" t="s">
        <v>11281</v>
      </c>
      <c r="D8234" s="3" t="s">
        <v>18640</v>
      </c>
      <c r="E8234" s="3" t="s">
        <v>18641</v>
      </c>
      <c r="F8234" s="3" t="s">
        <v>18640</v>
      </c>
    </row>
    <row r="8235">
      <c r="A8235" s="3">
        <v>2602.0</v>
      </c>
      <c r="B8235" s="3" t="s">
        <v>11280</v>
      </c>
      <c r="C8235" s="3" t="s">
        <v>11281</v>
      </c>
      <c r="D8235" s="3" t="s">
        <v>18642</v>
      </c>
      <c r="E8235" s="3" t="s">
        <v>18643</v>
      </c>
      <c r="F8235" s="3" t="s">
        <v>18642</v>
      </c>
    </row>
    <row r="8236">
      <c r="A8236" s="3">
        <v>2603.0</v>
      </c>
      <c r="B8236" s="3" t="s">
        <v>11280</v>
      </c>
      <c r="C8236" s="3" t="s">
        <v>11281</v>
      </c>
      <c r="D8236" s="3" t="s">
        <v>18644</v>
      </c>
      <c r="E8236" s="3" t="s">
        <v>18645</v>
      </c>
      <c r="F8236" s="3" t="s">
        <v>18644</v>
      </c>
    </row>
    <row r="8237">
      <c r="A8237" s="3">
        <v>2604.0</v>
      </c>
      <c r="B8237" s="3" t="s">
        <v>11280</v>
      </c>
      <c r="C8237" s="3" t="s">
        <v>11281</v>
      </c>
      <c r="D8237" s="3" t="s">
        <v>18646</v>
      </c>
      <c r="E8237" s="3" t="s">
        <v>18647</v>
      </c>
      <c r="F8237" s="3" t="s">
        <v>18646</v>
      </c>
    </row>
    <row r="8238">
      <c r="A8238" s="3">
        <v>2605.0</v>
      </c>
      <c r="B8238" s="3" t="s">
        <v>11280</v>
      </c>
      <c r="C8238" s="3" t="s">
        <v>11281</v>
      </c>
      <c r="D8238" s="3" t="s">
        <v>18648</v>
      </c>
      <c r="E8238" s="3" t="s">
        <v>18649</v>
      </c>
      <c r="F8238" s="3" t="s">
        <v>18650</v>
      </c>
    </row>
    <row r="8239">
      <c r="A8239" s="3">
        <v>2606.0</v>
      </c>
      <c r="B8239" s="3" t="s">
        <v>11280</v>
      </c>
      <c r="C8239" s="3" t="s">
        <v>11281</v>
      </c>
      <c r="D8239" s="3" t="s">
        <v>18651</v>
      </c>
      <c r="E8239" s="3" t="s">
        <v>18652</v>
      </c>
      <c r="F8239" s="3" t="s">
        <v>18653</v>
      </c>
    </row>
    <row r="8240">
      <c r="A8240" s="3">
        <v>2607.0</v>
      </c>
      <c r="B8240" s="3" t="s">
        <v>11280</v>
      </c>
      <c r="C8240" s="3" t="s">
        <v>11281</v>
      </c>
      <c r="D8240" s="3" t="s">
        <v>18654</v>
      </c>
      <c r="E8240" s="3" t="s">
        <v>18655</v>
      </c>
      <c r="F8240" s="3" t="s">
        <v>18654</v>
      </c>
    </row>
    <row r="8241">
      <c r="A8241" s="3">
        <v>2608.0</v>
      </c>
      <c r="B8241" s="3" t="s">
        <v>11280</v>
      </c>
      <c r="C8241" s="3" t="s">
        <v>11281</v>
      </c>
      <c r="D8241" s="3" t="s">
        <v>18656</v>
      </c>
      <c r="E8241" s="3" t="s">
        <v>18657</v>
      </c>
      <c r="F8241" s="3" t="s">
        <v>18656</v>
      </c>
    </row>
    <row r="8242">
      <c r="A8242" s="3">
        <v>2609.0</v>
      </c>
      <c r="B8242" s="3" t="s">
        <v>11280</v>
      </c>
      <c r="C8242" s="3" t="s">
        <v>11281</v>
      </c>
      <c r="D8242" s="3" t="s">
        <v>18658</v>
      </c>
      <c r="E8242" s="3" t="s">
        <v>18659</v>
      </c>
      <c r="F8242" s="3" t="s">
        <v>18658</v>
      </c>
    </row>
    <row r="8243">
      <c r="A8243" s="3">
        <v>2610.0</v>
      </c>
      <c r="B8243" s="3" t="s">
        <v>11280</v>
      </c>
      <c r="C8243" s="3" t="s">
        <v>11281</v>
      </c>
      <c r="D8243" s="3" t="s">
        <v>18660</v>
      </c>
      <c r="E8243" s="3" t="s">
        <v>18661</v>
      </c>
      <c r="F8243" s="3" t="s">
        <v>18660</v>
      </c>
    </row>
    <row r="8244">
      <c r="A8244" s="3">
        <v>2611.0</v>
      </c>
      <c r="B8244" s="3" t="s">
        <v>11280</v>
      </c>
      <c r="C8244" s="3" t="s">
        <v>11281</v>
      </c>
      <c r="D8244" s="3" t="s">
        <v>18662</v>
      </c>
      <c r="E8244" s="3" t="s">
        <v>18663</v>
      </c>
      <c r="F8244" s="3" t="s">
        <v>18662</v>
      </c>
    </row>
    <row r="8245">
      <c r="A8245" s="3">
        <v>2612.0</v>
      </c>
      <c r="B8245" s="3" t="s">
        <v>11280</v>
      </c>
      <c r="C8245" s="3" t="s">
        <v>11281</v>
      </c>
      <c r="D8245" s="3" t="s">
        <v>18664</v>
      </c>
      <c r="E8245" s="3" t="s">
        <v>18665</v>
      </c>
      <c r="F8245" s="3" t="s">
        <v>18666</v>
      </c>
    </row>
    <row r="8246">
      <c r="A8246" s="3">
        <v>2613.0</v>
      </c>
      <c r="B8246" s="3" t="s">
        <v>11280</v>
      </c>
      <c r="C8246" s="3" t="s">
        <v>11281</v>
      </c>
      <c r="D8246" s="3" t="s">
        <v>18667</v>
      </c>
      <c r="E8246" s="3" t="s">
        <v>18668</v>
      </c>
      <c r="F8246" s="3" t="s">
        <v>18667</v>
      </c>
    </row>
    <row r="8247">
      <c r="A8247" s="3">
        <v>2614.0</v>
      </c>
      <c r="B8247" s="3" t="s">
        <v>11280</v>
      </c>
      <c r="C8247" s="3" t="s">
        <v>11281</v>
      </c>
      <c r="D8247" s="3" t="s">
        <v>18669</v>
      </c>
      <c r="E8247" s="3" t="s">
        <v>18670</v>
      </c>
      <c r="F8247" s="3" t="s">
        <v>18669</v>
      </c>
    </row>
    <row r="8248">
      <c r="A8248" s="3">
        <v>2615.0</v>
      </c>
      <c r="B8248" s="3" t="s">
        <v>11280</v>
      </c>
      <c r="C8248" s="3" t="s">
        <v>11281</v>
      </c>
      <c r="D8248" s="3" t="s">
        <v>18671</v>
      </c>
      <c r="E8248" s="3" t="s">
        <v>18672</v>
      </c>
      <c r="F8248" s="3" t="s">
        <v>18673</v>
      </c>
    </row>
    <row r="8249">
      <c r="A8249" s="3">
        <v>2616.0</v>
      </c>
      <c r="B8249" s="3" t="s">
        <v>11280</v>
      </c>
      <c r="C8249" s="3" t="s">
        <v>11281</v>
      </c>
      <c r="D8249" s="3" t="s">
        <v>18674</v>
      </c>
      <c r="E8249" s="3" t="s">
        <v>18675</v>
      </c>
      <c r="F8249" s="3" t="s">
        <v>6329</v>
      </c>
    </row>
    <row r="8250">
      <c r="A8250" s="3">
        <v>2617.0</v>
      </c>
      <c r="B8250" s="3" t="s">
        <v>11280</v>
      </c>
      <c r="C8250" s="3" t="s">
        <v>11281</v>
      </c>
      <c r="D8250" s="3" t="s">
        <v>18676</v>
      </c>
      <c r="E8250" s="3" t="s">
        <v>18677</v>
      </c>
      <c r="F8250" s="3" t="s">
        <v>18678</v>
      </c>
    </row>
    <row r="8251">
      <c r="A8251" s="3">
        <v>2618.0</v>
      </c>
      <c r="B8251" s="3" t="s">
        <v>11280</v>
      </c>
      <c r="C8251" s="3" t="s">
        <v>11281</v>
      </c>
      <c r="D8251" s="3" t="s">
        <v>18679</v>
      </c>
      <c r="E8251" s="3" t="s">
        <v>18680</v>
      </c>
      <c r="F8251" s="3" t="s">
        <v>18681</v>
      </c>
    </row>
    <row r="8252">
      <c r="A8252" s="3">
        <v>2619.0</v>
      </c>
      <c r="B8252" s="3" t="s">
        <v>11280</v>
      </c>
      <c r="C8252" s="3" t="s">
        <v>11281</v>
      </c>
      <c r="D8252" s="3" t="s">
        <v>18682</v>
      </c>
      <c r="E8252" s="3" t="s">
        <v>18683</v>
      </c>
      <c r="F8252" s="3" t="s">
        <v>18684</v>
      </c>
    </row>
    <row r="8253">
      <c r="A8253" s="3">
        <v>2620.0</v>
      </c>
      <c r="B8253" s="3" t="s">
        <v>11280</v>
      </c>
      <c r="C8253" s="3" t="s">
        <v>11281</v>
      </c>
      <c r="D8253" s="3" t="s">
        <v>18685</v>
      </c>
      <c r="E8253" s="3" t="s">
        <v>18686</v>
      </c>
      <c r="F8253" s="3" t="s">
        <v>18687</v>
      </c>
    </row>
    <row r="8254">
      <c r="A8254" s="3">
        <v>2621.0</v>
      </c>
      <c r="B8254" s="3" t="s">
        <v>11280</v>
      </c>
      <c r="C8254" s="3" t="s">
        <v>11281</v>
      </c>
      <c r="D8254" s="3" t="s">
        <v>18688</v>
      </c>
      <c r="E8254" s="3" t="s">
        <v>18689</v>
      </c>
      <c r="F8254" s="3" t="s">
        <v>18690</v>
      </c>
    </row>
    <row r="8255">
      <c r="A8255" s="3">
        <v>2622.0</v>
      </c>
      <c r="B8255" s="3" t="s">
        <v>11280</v>
      </c>
      <c r="C8255" s="3" t="s">
        <v>11281</v>
      </c>
      <c r="D8255" s="3" t="s">
        <v>18691</v>
      </c>
      <c r="E8255" s="3" t="s">
        <v>18692</v>
      </c>
      <c r="F8255" s="3" t="s">
        <v>18693</v>
      </c>
    </row>
    <row r="8256">
      <c r="A8256" s="3">
        <v>2623.0</v>
      </c>
      <c r="B8256" s="3" t="s">
        <v>11280</v>
      </c>
      <c r="C8256" s="3" t="s">
        <v>11281</v>
      </c>
      <c r="D8256" s="3" t="s">
        <v>18694</v>
      </c>
      <c r="E8256" s="3" t="s">
        <v>18695</v>
      </c>
      <c r="F8256" s="3" t="s">
        <v>18696</v>
      </c>
    </row>
    <row r="8257">
      <c r="A8257" s="3">
        <v>2624.0</v>
      </c>
      <c r="B8257" s="3" t="s">
        <v>11280</v>
      </c>
      <c r="C8257" s="3" t="s">
        <v>11281</v>
      </c>
      <c r="D8257" s="3" t="s">
        <v>18697</v>
      </c>
      <c r="E8257" s="3" t="s">
        <v>18698</v>
      </c>
      <c r="F8257" s="3" t="s">
        <v>18699</v>
      </c>
    </row>
    <row r="8258">
      <c r="A8258" s="3">
        <v>2625.0</v>
      </c>
      <c r="B8258" s="3" t="s">
        <v>11280</v>
      </c>
      <c r="C8258" s="3" t="s">
        <v>11281</v>
      </c>
      <c r="D8258" s="3" t="s">
        <v>18700</v>
      </c>
      <c r="E8258" s="3" t="s">
        <v>18701</v>
      </c>
      <c r="F8258" s="3" t="s">
        <v>18702</v>
      </c>
    </row>
    <row r="8259">
      <c r="A8259" s="3">
        <v>2626.0</v>
      </c>
      <c r="B8259" s="3" t="s">
        <v>11280</v>
      </c>
      <c r="C8259" s="3" t="s">
        <v>11281</v>
      </c>
      <c r="D8259" s="3" t="s">
        <v>6357</v>
      </c>
      <c r="E8259" s="3" t="s">
        <v>6356</v>
      </c>
      <c r="F8259" s="3" t="s">
        <v>6357</v>
      </c>
      <c r="G8259" s="3"/>
      <c r="H8259" s="3" t="s">
        <v>5882</v>
      </c>
    </row>
    <row r="8260">
      <c r="A8260" s="3">
        <v>2627.0</v>
      </c>
      <c r="B8260" s="3" t="s">
        <v>11280</v>
      </c>
      <c r="C8260" s="3" t="s">
        <v>11281</v>
      </c>
      <c r="D8260" s="3" t="s">
        <v>6509</v>
      </c>
      <c r="E8260" s="3" t="s">
        <v>6508</v>
      </c>
      <c r="F8260" s="3" t="s">
        <v>6509</v>
      </c>
    </row>
    <row r="8261">
      <c r="A8261" s="3">
        <v>2628.0</v>
      </c>
      <c r="B8261" s="3" t="s">
        <v>11280</v>
      </c>
      <c r="C8261" s="3" t="s">
        <v>11281</v>
      </c>
      <c r="D8261" s="3" t="s">
        <v>18703</v>
      </c>
      <c r="E8261" s="3" t="s">
        <v>18704</v>
      </c>
      <c r="F8261" s="3" t="s">
        <v>18703</v>
      </c>
    </row>
    <row r="8262">
      <c r="A8262" s="3">
        <v>2629.0</v>
      </c>
      <c r="B8262" s="3" t="s">
        <v>11280</v>
      </c>
      <c r="C8262" s="3" t="s">
        <v>11281</v>
      </c>
      <c r="D8262" s="3" t="s">
        <v>18705</v>
      </c>
      <c r="E8262" s="3" t="s">
        <v>18706</v>
      </c>
      <c r="F8262" s="3" t="s">
        <v>18705</v>
      </c>
    </row>
    <row r="8263">
      <c r="A8263" s="3">
        <v>2630.0</v>
      </c>
      <c r="B8263" s="3" t="s">
        <v>11280</v>
      </c>
      <c r="C8263" s="3" t="s">
        <v>11281</v>
      </c>
      <c r="D8263" s="3" t="s">
        <v>6362</v>
      </c>
      <c r="E8263" s="3" t="s">
        <v>6361</v>
      </c>
      <c r="F8263" s="3" t="s">
        <v>6362</v>
      </c>
    </row>
    <row r="8264">
      <c r="A8264" s="3">
        <v>2631.0</v>
      </c>
      <c r="B8264" s="3" t="s">
        <v>11280</v>
      </c>
      <c r="C8264" s="3" t="s">
        <v>11281</v>
      </c>
      <c r="D8264" s="3" t="s">
        <v>18707</v>
      </c>
      <c r="E8264" s="3" t="s">
        <v>18708</v>
      </c>
      <c r="F8264" s="3" t="s">
        <v>18707</v>
      </c>
    </row>
    <row r="8265">
      <c r="A8265" s="3">
        <v>2632.0</v>
      </c>
      <c r="B8265" s="3" t="s">
        <v>11280</v>
      </c>
      <c r="C8265" s="3" t="s">
        <v>11281</v>
      </c>
      <c r="D8265" s="3" t="s">
        <v>18709</v>
      </c>
      <c r="E8265" s="3" t="s">
        <v>18710</v>
      </c>
      <c r="F8265" s="3" t="s">
        <v>18709</v>
      </c>
      <c r="G8265" s="3"/>
      <c r="H8265" s="3" t="s">
        <v>18711</v>
      </c>
      <c r="I8265" s="3" t="s">
        <v>18712</v>
      </c>
      <c r="J8265" s="3" t="s">
        <v>18713</v>
      </c>
      <c r="K8265" s="3" t="s">
        <v>18714</v>
      </c>
      <c r="L8265" s="3" t="s">
        <v>18715</v>
      </c>
      <c r="M8265" s="3" t="s">
        <v>18716</v>
      </c>
      <c r="N8265" s="3" t="s">
        <v>18717</v>
      </c>
      <c r="O8265" s="3" t="s">
        <v>18718</v>
      </c>
      <c r="P8265" s="3" t="s">
        <v>5285</v>
      </c>
      <c r="Q8265" s="3" t="s">
        <v>989</v>
      </c>
      <c r="R8265" s="3" t="s">
        <v>18719</v>
      </c>
      <c r="S8265" s="3" t="s">
        <v>989</v>
      </c>
      <c r="T8265" s="3" t="s">
        <v>18720</v>
      </c>
      <c r="U8265" s="3" t="s">
        <v>18719</v>
      </c>
      <c r="V8265" s="3" t="s">
        <v>18721</v>
      </c>
      <c r="W8265" s="3" t="s">
        <v>18722</v>
      </c>
      <c r="X8265" s="3" t="s">
        <v>11291</v>
      </c>
      <c r="Y8265" s="3" t="s">
        <v>11292</v>
      </c>
      <c r="Z8265" s="3" t="s">
        <v>11293</v>
      </c>
      <c r="AA8265" s="3" t="s">
        <v>11294</v>
      </c>
    </row>
    <row r="8266">
      <c r="A8266" s="3">
        <v>2633.0</v>
      </c>
      <c r="B8266" s="3" t="s">
        <v>11280</v>
      </c>
      <c r="C8266" s="3" t="s">
        <v>11281</v>
      </c>
      <c r="D8266" s="3" t="s">
        <v>18723</v>
      </c>
      <c r="E8266" s="3" t="s">
        <v>18724</v>
      </c>
      <c r="F8266" s="3" t="s">
        <v>18723</v>
      </c>
    </row>
    <row r="8267">
      <c r="A8267" s="3">
        <v>2634.0</v>
      </c>
      <c r="B8267" s="3" t="s">
        <v>11280</v>
      </c>
      <c r="C8267" s="3" t="s">
        <v>11281</v>
      </c>
      <c r="D8267" s="3" t="s">
        <v>18725</v>
      </c>
      <c r="E8267" s="3" t="s">
        <v>18726</v>
      </c>
      <c r="F8267" s="3" t="s">
        <v>18725</v>
      </c>
    </row>
    <row r="8268">
      <c r="A8268" s="3">
        <v>2635.0</v>
      </c>
      <c r="B8268" s="3" t="s">
        <v>11280</v>
      </c>
      <c r="C8268" s="3" t="s">
        <v>11281</v>
      </c>
      <c r="D8268" s="3" t="s">
        <v>18727</v>
      </c>
      <c r="E8268" s="3" t="s">
        <v>18728</v>
      </c>
      <c r="F8268" s="3" t="s">
        <v>18727</v>
      </c>
    </row>
    <row r="8269">
      <c r="A8269" s="3">
        <v>2636.0</v>
      </c>
      <c r="B8269" s="3" t="s">
        <v>11280</v>
      </c>
      <c r="C8269" s="3" t="s">
        <v>11281</v>
      </c>
      <c r="D8269" s="3" t="s">
        <v>6371</v>
      </c>
      <c r="E8269" s="3" t="s">
        <v>6370</v>
      </c>
      <c r="F8269" s="3" t="s">
        <v>6371</v>
      </c>
    </row>
    <row r="8270">
      <c r="A8270" s="3">
        <v>2637.0</v>
      </c>
      <c r="B8270" s="3" t="s">
        <v>11280</v>
      </c>
      <c r="C8270" s="3" t="s">
        <v>11281</v>
      </c>
      <c r="D8270" s="3" t="s">
        <v>18729</v>
      </c>
      <c r="E8270" s="3" t="s">
        <v>18730</v>
      </c>
      <c r="F8270" s="3" t="s">
        <v>18729</v>
      </c>
    </row>
    <row r="8271">
      <c r="A8271" s="3">
        <v>2638.0</v>
      </c>
      <c r="B8271" s="3" t="s">
        <v>11280</v>
      </c>
      <c r="C8271" s="3" t="s">
        <v>11281</v>
      </c>
      <c r="D8271" s="3" t="s">
        <v>18731</v>
      </c>
      <c r="E8271" s="3" t="s">
        <v>7889</v>
      </c>
      <c r="F8271" s="3" t="s">
        <v>6405</v>
      </c>
      <c r="G8271" s="3"/>
      <c r="H8271" s="3" t="s">
        <v>18732</v>
      </c>
      <c r="I8271" s="3" t="s">
        <v>18733</v>
      </c>
    </row>
    <row r="8272">
      <c r="A8272" s="3">
        <v>2639.0</v>
      </c>
      <c r="B8272" s="3" t="s">
        <v>11280</v>
      </c>
      <c r="C8272" s="3" t="s">
        <v>11281</v>
      </c>
      <c r="D8272" s="3" t="s">
        <v>18734</v>
      </c>
      <c r="E8272" s="3" t="s">
        <v>7884</v>
      </c>
      <c r="F8272" s="3" t="s">
        <v>6411</v>
      </c>
    </row>
    <row r="8273">
      <c r="A8273" s="3">
        <v>2640.0</v>
      </c>
      <c r="B8273" s="3" t="s">
        <v>11280</v>
      </c>
      <c r="C8273" s="3" t="s">
        <v>11281</v>
      </c>
      <c r="D8273" s="3" t="s">
        <v>18735</v>
      </c>
      <c r="E8273" s="3" t="s">
        <v>18736</v>
      </c>
      <c r="F8273" s="3" t="s">
        <v>18737</v>
      </c>
    </row>
    <row r="8274">
      <c r="A8274" s="3">
        <v>2641.0</v>
      </c>
      <c r="B8274" s="3" t="s">
        <v>11280</v>
      </c>
      <c r="C8274" s="3" t="s">
        <v>11281</v>
      </c>
      <c r="D8274" s="3" t="s">
        <v>18738</v>
      </c>
      <c r="E8274" s="3" t="s">
        <v>18739</v>
      </c>
      <c r="F8274" s="3" t="s">
        <v>18740</v>
      </c>
    </row>
    <row r="8275">
      <c r="A8275" s="3">
        <v>2642.0</v>
      </c>
      <c r="B8275" s="3" t="s">
        <v>11280</v>
      </c>
      <c r="C8275" s="3" t="s">
        <v>11281</v>
      </c>
      <c r="D8275" s="3" t="s">
        <v>18741</v>
      </c>
      <c r="E8275" s="3" t="s">
        <v>18742</v>
      </c>
      <c r="F8275" s="3" t="s">
        <v>18743</v>
      </c>
    </row>
    <row r="8276">
      <c r="A8276" s="3">
        <v>2643.0</v>
      </c>
      <c r="B8276" s="3" t="s">
        <v>11280</v>
      </c>
      <c r="C8276" s="3" t="s">
        <v>11281</v>
      </c>
      <c r="D8276" s="3" t="s">
        <v>18744</v>
      </c>
      <c r="E8276" s="3" t="s">
        <v>18745</v>
      </c>
      <c r="F8276" s="3" t="s">
        <v>18746</v>
      </c>
    </row>
    <row r="8277">
      <c r="A8277" s="3">
        <v>2644.0</v>
      </c>
      <c r="B8277" s="3" t="s">
        <v>11280</v>
      </c>
      <c r="C8277" s="3" t="s">
        <v>11281</v>
      </c>
      <c r="D8277" s="3" t="s">
        <v>18747</v>
      </c>
      <c r="E8277" s="3" t="s">
        <v>18748</v>
      </c>
      <c r="F8277" s="3" t="s">
        <v>18749</v>
      </c>
    </row>
    <row r="8278">
      <c r="A8278" s="3">
        <v>2645.0</v>
      </c>
      <c r="B8278" s="3" t="s">
        <v>11280</v>
      </c>
      <c r="C8278" s="3" t="s">
        <v>11281</v>
      </c>
      <c r="D8278" s="3" t="s">
        <v>18750</v>
      </c>
      <c r="E8278" s="3" t="s">
        <v>7887</v>
      </c>
      <c r="F8278" s="3" t="s">
        <v>6420</v>
      </c>
    </row>
    <row r="8279">
      <c r="A8279" s="3">
        <v>2646.0</v>
      </c>
      <c r="B8279" s="3" t="s">
        <v>11280</v>
      </c>
      <c r="C8279" s="3" t="s">
        <v>11281</v>
      </c>
      <c r="D8279" s="3" t="s">
        <v>18751</v>
      </c>
      <c r="E8279" s="3" t="s">
        <v>18752</v>
      </c>
      <c r="F8279" s="3" t="s">
        <v>18753</v>
      </c>
      <c r="G8279" s="3"/>
      <c r="H8279" s="3" t="s">
        <v>18754</v>
      </c>
    </row>
    <row r="8280">
      <c r="A8280" s="3">
        <v>2647.0</v>
      </c>
      <c r="B8280" s="3" t="s">
        <v>11280</v>
      </c>
      <c r="C8280" s="3" t="s">
        <v>11281</v>
      </c>
      <c r="D8280" s="3" t="s">
        <v>18755</v>
      </c>
      <c r="E8280" s="3" t="s">
        <v>18756</v>
      </c>
      <c r="F8280" s="3" t="s">
        <v>18757</v>
      </c>
    </row>
    <row r="8281">
      <c r="A8281" s="3">
        <v>2648.0</v>
      </c>
      <c r="B8281" s="3" t="s">
        <v>11280</v>
      </c>
      <c r="C8281" s="3" t="s">
        <v>11281</v>
      </c>
      <c r="D8281" s="3" t="s">
        <v>8307</v>
      </c>
      <c r="E8281" s="3" t="s">
        <v>8306</v>
      </c>
      <c r="F8281" s="3" t="s">
        <v>8307</v>
      </c>
      <c r="G8281" s="3"/>
      <c r="H8281" s="3" t="s">
        <v>18758</v>
      </c>
      <c r="I8281" s="3" t="s">
        <v>9697</v>
      </c>
      <c r="J8281" s="3" t="s">
        <v>11240</v>
      </c>
      <c r="K8281" s="3" t="s">
        <v>18759</v>
      </c>
    </row>
    <row r="8282">
      <c r="A8282" s="3">
        <v>2649.0</v>
      </c>
      <c r="B8282" s="3" t="s">
        <v>11280</v>
      </c>
      <c r="C8282" s="3" t="s">
        <v>11281</v>
      </c>
      <c r="D8282" s="3" t="s">
        <v>18760</v>
      </c>
      <c r="E8282" s="3" t="s">
        <v>18761</v>
      </c>
      <c r="F8282" s="3" t="s">
        <v>18760</v>
      </c>
    </row>
    <row r="8283">
      <c r="A8283" s="3">
        <v>2650.0</v>
      </c>
      <c r="B8283" s="3" t="s">
        <v>11280</v>
      </c>
      <c r="C8283" s="3" t="s">
        <v>11281</v>
      </c>
      <c r="D8283" s="3" t="s">
        <v>18762</v>
      </c>
      <c r="E8283" s="3" t="s">
        <v>18763</v>
      </c>
      <c r="F8283" s="3" t="s">
        <v>18762</v>
      </c>
    </row>
    <row r="8284">
      <c r="A8284" s="3">
        <v>2651.0</v>
      </c>
      <c r="B8284" s="3" t="s">
        <v>11280</v>
      </c>
      <c r="C8284" s="3" t="s">
        <v>11281</v>
      </c>
      <c r="D8284" s="3" t="s">
        <v>18764</v>
      </c>
      <c r="E8284" s="3" t="s">
        <v>18765</v>
      </c>
      <c r="F8284" s="3" t="s">
        <v>18764</v>
      </c>
    </row>
    <row r="8285">
      <c r="A8285" s="3">
        <v>2652.0</v>
      </c>
      <c r="B8285" s="3" t="s">
        <v>11280</v>
      </c>
      <c r="C8285" s="3" t="s">
        <v>11281</v>
      </c>
      <c r="D8285" s="3" t="s">
        <v>18766</v>
      </c>
      <c r="E8285" s="3" t="s">
        <v>18767</v>
      </c>
      <c r="F8285" s="3" t="s">
        <v>18766</v>
      </c>
    </row>
    <row r="8286">
      <c r="A8286" s="3">
        <v>2653.0</v>
      </c>
      <c r="B8286" s="3" t="s">
        <v>11280</v>
      </c>
      <c r="C8286" s="3" t="s">
        <v>11281</v>
      </c>
      <c r="D8286" s="3" t="s">
        <v>18768</v>
      </c>
      <c r="E8286" s="3" t="s">
        <v>18769</v>
      </c>
      <c r="F8286" s="3" t="s">
        <v>18768</v>
      </c>
    </row>
    <row r="8287">
      <c r="A8287" s="3">
        <v>2654.0</v>
      </c>
      <c r="B8287" s="3" t="s">
        <v>11280</v>
      </c>
      <c r="C8287" s="3" t="s">
        <v>11281</v>
      </c>
      <c r="D8287" s="3" t="s">
        <v>18770</v>
      </c>
      <c r="E8287" s="3" t="s">
        <v>18771</v>
      </c>
      <c r="F8287" s="3" t="s">
        <v>18770</v>
      </c>
    </row>
    <row r="8288">
      <c r="A8288" s="3">
        <v>2655.0</v>
      </c>
      <c r="B8288" s="3" t="s">
        <v>11280</v>
      </c>
      <c r="C8288" s="3" t="s">
        <v>11281</v>
      </c>
      <c r="D8288" s="3" t="s">
        <v>18772</v>
      </c>
      <c r="E8288" s="3" t="s">
        <v>18773</v>
      </c>
      <c r="F8288" s="3" t="s">
        <v>18772</v>
      </c>
    </row>
    <row r="8289">
      <c r="A8289" s="3">
        <v>2656.0</v>
      </c>
      <c r="B8289" s="3" t="s">
        <v>11280</v>
      </c>
      <c r="C8289" s="3" t="s">
        <v>11281</v>
      </c>
      <c r="D8289" s="3" t="s">
        <v>18774</v>
      </c>
      <c r="E8289" s="3" t="s">
        <v>18775</v>
      </c>
      <c r="F8289" s="3" t="s">
        <v>18774</v>
      </c>
    </row>
    <row r="8290">
      <c r="A8290" s="3">
        <v>2657.0</v>
      </c>
      <c r="B8290" s="3" t="s">
        <v>11280</v>
      </c>
      <c r="C8290" s="3" t="s">
        <v>11281</v>
      </c>
      <c r="D8290" s="3" t="s">
        <v>18776</v>
      </c>
      <c r="E8290" s="3" t="s">
        <v>18771</v>
      </c>
      <c r="F8290" s="3" t="s">
        <v>18770</v>
      </c>
    </row>
    <row r="8291">
      <c r="A8291" s="3">
        <v>2658.0</v>
      </c>
      <c r="B8291" s="3" t="s">
        <v>11280</v>
      </c>
      <c r="C8291" s="3" t="s">
        <v>11281</v>
      </c>
      <c r="D8291" s="3" t="s">
        <v>18777</v>
      </c>
      <c r="E8291" s="3" t="s">
        <v>18778</v>
      </c>
      <c r="F8291" s="3" t="s">
        <v>18779</v>
      </c>
    </row>
    <row r="8292">
      <c r="A8292" s="3">
        <v>2659.0</v>
      </c>
      <c r="B8292" s="3" t="s">
        <v>11280</v>
      </c>
      <c r="C8292" s="3" t="s">
        <v>11281</v>
      </c>
      <c r="D8292" s="3" t="s">
        <v>18780</v>
      </c>
      <c r="E8292" s="3" t="s">
        <v>18781</v>
      </c>
      <c r="F8292" s="3" t="s">
        <v>18782</v>
      </c>
    </row>
    <row r="8293">
      <c r="A8293" s="3">
        <v>2660.0</v>
      </c>
      <c r="B8293" s="3" t="s">
        <v>11280</v>
      </c>
      <c r="C8293" s="3" t="s">
        <v>11281</v>
      </c>
      <c r="D8293" s="3" t="s">
        <v>18783</v>
      </c>
      <c r="E8293" s="3" t="s">
        <v>18784</v>
      </c>
      <c r="F8293" s="3" t="s">
        <v>18785</v>
      </c>
    </row>
    <row r="8294">
      <c r="A8294" s="3">
        <v>2661.0</v>
      </c>
      <c r="B8294" s="3" t="s">
        <v>11280</v>
      </c>
      <c r="C8294" s="3" t="s">
        <v>11281</v>
      </c>
      <c r="D8294" s="3" t="s">
        <v>18786</v>
      </c>
      <c r="E8294" s="3" t="s">
        <v>18787</v>
      </c>
      <c r="F8294" s="3" t="s">
        <v>18788</v>
      </c>
    </row>
    <row r="8295">
      <c r="A8295" s="3">
        <v>2662.0</v>
      </c>
      <c r="B8295" s="3" t="s">
        <v>11280</v>
      </c>
      <c r="C8295" s="3" t="s">
        <v>11281</v>
      </c>
      <c r="D8295" s="3" t="s">
        <v>18789</v>
      </c>
      <c r="E8295" s="3" t="s">
        <v>18790</v>
      </c>
      <c r="F8295" s="3" t="s">
        <v>18791</v>
      </c>
    </row>
    <row r="8296">
      <c r="A8296" s="3">
        <v>2663.0</v>
      </c>
      <c r="B8296" s="3" t="s">
        <v>11280</v>
      </c>
      <c r="C8296" s="3" t="s">
        <v>11281</v>
      </c>
      <c r="D8296" s="3" t="s">
        <v>18792</v>
      </c>
      <c r="E8296" s="3" t="s">
        <v>18793</v>
      </c>
      <c r="F8296" s="3" t="s">
        <v>18794</v>
      </c>
    </row>
    <row r="8297">
      <c r="A8297" s="3">
        <v>2664.0</v>
      </c>
      <c r="B8297" s="3" t="s">
        <v>11280</v>
      </c>
      <c r="C8297" s="3" t="s">
        <v>11281</v>
      </c>
      <c r="D8297" s="3" t="s">
        <v>18795</v>
      </c>
      <c r="E8297" s="3" t="s">
        <v>18796</v>
      </c>
      <c r="F8297" s="3" t="s">
        <v>18797</v>
      </c>
    </row>
    <row r="8298">
      <c r="A8298" s="3">
        <v>2665.0</v>
      </c>
      <c r="B8298" s="3" t="s">
        <v>11280</v>
      </c>
      <c r="C8298" s="3" t="s">
        <v>11281</v>
      </c>
      <c r="D8298" s="3" t="s">
        <v>18798</v>
      </c>
      <c r="E8298" s="3" t="s">
        <v>18799</v>
      </c>
      <c r="F8298" s="3" t="s">
        <v>18800</v>
      </c>
    </row>
    <row r="8299">
      <c r="A8299" s="3">
        <v>2666.0</v>
      </c>
      <c r="B8299" s="3" t="s">
        <v>11280</v>
      </c>
      <c r="C8299" s="3" t="s">
        <v>11281</v>
      </c>
      <c r="D8299" s="3" t="s">
        <v>18801</v>
      </c>
      <c r="E8299" s="3" t="s">
        <v>18773</v>
      </c>
      <c r="F8299" s="3" t="s">
        <v>18772</v>
      </c>
    </row>
    <row r="8300">
      <c r="A8300" s="3">
        <v>2667.0</v>
      </c>
      <c r="B8300" s="3" t="s">
        <v>11280</v>
      </c>
      <c r="C8300" s="3" t="s">
        <v>11281</v>
      </c>
      <c r="D8300" s="3" t="s">
        <v>18802</v>
      </c>
      <c r="E8300" s="3" t="s">
        <v>18803</v>
      </c>
      <c r="F8300" s="3" t="s">
        <v>18802</v>
      </c>
      <c r="G8300" s="3"/>
      <c r="H8300" s="3" t="s">
        <v>18804</v>
      </c>
      <c r="I8300" s="3" t="s">
        <v>18805</v>
      </c>
      <c r="J8300" s="3" t="s">
        <v>9651</v>
      </c>
      <c r="K8300" s="3" t="s">
        <v>5382</v>
      </c>
    </row>
    <row r="8301">
      <c r="A8301" s="3">
        <v>2668.0</v>
      </c>
      <c r="B8301" s="3" t="s">
        <v>11280</v>
      </c>
      <c r="C8301" s="3" t="s">
        <v>11281</v>
      </c>
      <c r="D8301" s="3" t="s">
        <v>18806</v>
      </c>
      <c r="E8301" s="3" t="s">
        <v>18807</v>
      </c>
      <c r="F8301" s="3" t="s">
        <v>18806</v>
      </c>
    </row>
    <row r="8302">
      <c r="A8302" s="3">
        <v>2669.0</v>
      </c>
      <c r="B8302" s="3" t="s">
        <v>11280</v>
      </c>
      <c r="C8302" s="3" t="s">
        <v>11281</v>
      </c>
      <c r="D8302" s="3" t="s">
        <v>18808</v>
      </c>
      <c r="E8302" s="3" t="s">
        <v>18809</v>
      </c>
      <c r="F8302" s="3" t="s">
        <v>18810</v>
      </c>
    </row>
    <row r="8303">
      <c r="A8303" s="3">
        <v>2670.0</v>
      </c>
      <c r="B8303" s="3" t="s">
        <v>11280</v>
      </c>
      <c r="C8303" s="3" t="s">
        <v>11281</v>
      </c>
      <c r="D8303" s="3" t="s">
        <v>18811</v>
      </c>
      <c r="E8303" s="3" t="s">
        <v>18812</v>
      </c>
      <c r="F8303" s="3" t="s">
        <v>18813</v>
      </c>
    </row>
    <row r="8304">
      <c r="A8304" s="3">
        <v>2671.0</v>
      </c>
      <c r="B8304" s="3" t="s">
        <v>11280</v>
      </c>
      <c r="C8304" s="3" t="s">
        <v>11281</v>
      </c>
      <c r="D8304" s="3" t="s">
        <v>18814</v>
      </c>
      <c r="E8304" s="3" t="s">
        <v>18815</v>
      </c>
      <c r="F8304" s="3" t="s">
        <v>18814</v>
      </c>
    </row>
    <row r="8305">
      <c r="A8305" s="3">
        <v>2672.0</v>
      </c>
      <c r="B8305" s="3" t="s">
        <v>11280</v>
      </c>
      <c r="C8305" s="3" t="s">
        <v>11281</v>
      </c>
      <c r="D8305" s="3" t="s">
        <v>18816</v>
      </c>
      <c r="E8305" s="3" t="s">
        <v>18817</v>
      </c>
      <c r="F8305" s="3" t="s">
        <v>18816</v>
      </c>
    </row>
    <row r="8306">
      <c r="A8306" s="3">
        <v>2673.0</v>
      </c>
      <c r="B8306" s="3" t="s">
        <v>11280</v>
      </c>
      <c r="C8306" s="3" t="s">
        <v>11281</v>
      </c>
      <c r="D8306" s="3" t="s">
        <v>6454</v>
      </c>
      <c r="E8306" s="3" t="s">
        <v>6453</v>
      </c>
      <c r="F8306" s="3" t="s">
        <v>6454</v>
      </c>
      <c r="G8306" s="3"/>
      <c r="H8306" s="3" t="s">
        <v>18818</v>
      </c>
      <c r="I8306" s="3" t="s">
        <v>18819</v>
      </c>
      <c r="J8306" s="3" t="s">
        <v>18820</v>
      </c>
      <c r="K8306" s="3" t="s">
        <v>18821</v>
      </c>
      <c r="L8306" s="3" t="s">
        <v>18822</v>
      </c>
      <c r="M8306" s="3" t="s">
        <v>18823</v>
      </c>
      <c r="N8306" s="3" t="s">
        <v>6271</v>
      </c>
      <c r="O8306" s="3" t="s">
        <v>18824</v>
      </c>
      <c r="P8306" s="3" t="s">
        <v>18825</v>
      </c>
    </row>
    <row r="8307">
      <c r="A8307" s="3">
        <v>2674.0</v>
      </c>
      <c r="B8307" s="3" t="s">
        <v>11280</v>
      </c>
      <c r="C8307" s="3" t="s">
        <v>11281</v>
      </c>
      <c r="D8307" s="3" t="s">
        <v>18826</v>
      </c>
      <c r="E8307" s="3" t="s">
        <v>18827</v>
      </c>
      <c r="F8307" s="3" t="s">
        <v>18826</v>
      </c>
    </row>
    <row r="8308">
      <c r="A8308" s="3">
        <v>2675.0</v>
      </c>
      <c r="B8308" s="3" t="s">
        <v>11280</v>
      </c>
      <c r="C8308" s="3" t="s">
        <v>11281</v>
      </c>
      <c r="D8308" s="3" t="s">
        <v>18828</v>
      </c>
      <c r="E8308" s="3" t="s">
        <v>18829</v>
      </c>
      <c r="F8308" s="3" t="s">
        <v>18828</v>
      </c>
      <c r="G8308" s="3"/>
      <c r="H8308" s="3" t="s">
        <v>6286</v>
      </c>
      <c r="I8308" s="3" t="s">
        <v>18830</v>
      </c>
      <c r="J8308" s="3" t="s">
        <v>18831</v>
      </c>
      <c r="K8308" s="3" t="s">
        <v>18832</v>
      </c>
      <c r="L8308" s="3" t="s">
        <v>18833</v>
      </c>
      <c r="M8308" s="3" t="s">
        <v>18834</v>
      </c>
      <c r="N8308" s="3" t="s">
        <v>18835</v>
      </c>
    </row>
    <row r="8309">
      <c r="A8309" s="3">
        <v>2676.0</v>
      </c>
      <c r="B8309" s="3" t="s">
        <v>11280</v>
      </c>
      <c r="C8309" s="3" t="s">
        <v>11281</v>
      </c>
      <c r="D8309" s="3" t="s">
        <v>18836</v>
      </c>
      <c r="E8309" s="3" t="s">
        <v>18837</v>
      </c>
      <c r="F8309" s="3" t="s">
        <v>18836</v>
      </c>
    </row>
    <row r="8310">
      <c r="A8310" s="3">
        <v>2677.0</v>
      </c>
      <c r="B8310" s="3" t="s">
        <v>11280</v>
      </c>
      <c r="C8310" s="3" t="s">
        <v>11281</v>
      </c>
      <c r="D8310" s="3" t="s">
        <v>18838</v>
      </c>
      <c r="E8310" s="3" t="s">
        <v>18839</v>
      </c>
      <c r="F8310" s="3" t="s">
        <v>18838</v>
      </c>
    </row>
    <row r="8311">
      <c r="A8311" s="3">
        <v>2678.0</v>
      </c>
      <c r="B8311" s="3" t="s">
        <v>11280</v>
      </c>
      <c r="C8311" s="3" t="s">
        <v>11281</v>
      </c>
      <c r="D8311" s="3" t="s">
        <v>18840</v>
      </c>
      <c r="E8311" s="3" t="s">
        <v>18841</v>
      </c>
      <c r="F8311" s="3" t="s">
        <v>18840</v>
      </c>
    </row>
    <row r="8312">
      <c r="A8312" s="3">
        <v>2679.0</v>
      </c>
      <c r="B8312" s="3" t="s">
        <v>11280</v>
      </c>
      <c r="C8312" s="3" t="s">
        <v>11281</v>
      </c>
      <c r="D8312" s="3" t="s">
        <v>6463</v>
      </c>
      <c r="E8312" s="3" t="s">
        <v>6462</v>
      </c>
      <c r="F8312" s="3" t="s">
        <v>6463</v>
      </c>
    </row>
    <row r="8313">
      <c r="A8313" s="3">
        <v>2680.0</v>
      </c>
      <c r="B8313" s="3" t="s">
        <v>11280</v>
      </c>
      <c r="C8313" s="3" t="s">
        <v>11281</v>
      </c>
      <c r="D8313" s="3" t="s">
        <v>18842</v>
      </c>
      <c r="E8313" s="3" t="s">
        <v>18843</v>
      </c>
      <c r="F8313" s="3" t="s">
        <v>18842</v>
      </c>
    </row>
    <row r="8314">
      <c r="A8314" s="3">
        <v>2681.0</v>
      </c>
      <c r="B8314" s="3" t="s">
        <v>11280</v>
      </c>
      <c r="C8314" s="3" t="s">
        <v>11281</v>
      </c>
      <c r="D8314" s="3" t="s">
        <v>6475</v>
      </c>
      <c r="E8314" s="3" t="s">
        <v>6474</v>
      </c>
      <c r="F8314" s="3" t="s">
        <v>6475</v>
      </c>
      <c r="G8314" s="3"/>
      <c r="H8314" s="3" t="s">
        <v>3414</v>
      </c>
      <c r="I8314" s="3" t="s">
        <v>3415</v>
      </c>
      <c r="J8314" s="3" t="s">
        <v>3413</v>
      </c>
      <c r="K8314" s="3" t="s">
        <v>3416</v>
      </c>
      <c r="L8314" s="3" t="s">
        <v>3417</v>
      </c>
      <c r="N8314" s="3" t="s">
        <v>3418</v>
      </c>
    </row>
    <row r="8315">
      <c r="A8315" s="3">
        <v>2682.0</v>
      </c>
      <c r="B8315" s="3" t="s">
        <v>11280</v>
      </c>
      <c r="C8315" s="3" t="s">
        <v>11281</v>
      </c>
      <c r="D8315" s="3" t="s">
        <v>6491</v>
      </c>
      <c r="E8315" s="3" t="s">
        <v>6490</v>
      </c>
      <c r="F8315" s="3" t="s">
        <v>6491</v>
      </c>
    </row>
    <row r="8316">
      <c r="A8316" s="3">
        <v>2683.0</v>
      </c>
      <c r="B8316" s="3" t="s">
        <v>11280</v>
      </c>
      <c r="C8316" s="3" t="s">
        <v>11281</v>
      </c>
      <c r="D8316" s="3" t="s">
        <v>18844</v>
      </c>
      <c r="E8316" s="3" t="s">
        <v>6453</v>
      </c>
      <c r="F8316" s="3" t="s">
        <v>6454</v>
      </c>
      <c r="G8316" s="3"/>
      <c r="H8316" s="3" t="s">
        <v>2186</v>
      </c>
      <c r="I8316" s="3" t="s">
        <v>18845</v>
      </c>
      <c r="J8316" s="3" t="s">
        <v>18846</v>
      </c>
      <c r="K8316" s="3" t="s">
        <v>13573</v>
      </c>
      <c r="L8316" s="3" t="s">
        <v>18847</v>
      </c>
      <c r="M8316" s="3" t="s">
        <v>18848</v>
      </c>
      <c r="N8316" s="3" t="s">
        <v>3590</v>
      </c>
      <c r="O8316" s="3" t="s">
        <v>18849</v>
      </c>
      <c r="P8316" s="3" t="s">
        <v>18850</v>
      </c>
      <c r="Q8316" s="3" t="s">
        <v>18851</v>
      </c>
      <c r="R8316" s="3" t="s">
        <v>2186</v>
      </c>
      <c r="S8316" s="3" t="s">
        <v>2186</v>
      </c>
      <c r="T8316" s="3" t="s">
        <v>6470</v>
      </c>
      <c r="U8316" s="3" t="s">
        <v>18845</v>
      </c>
      <c r="V8316" s="3" t="s">
        <v>18852</v>
      </c>
    </row>
    <row r="8317">
      <c r="A8317" s="3">
        <v>2684.0</v>
      </c>
      <c r="B8317" s="3" t="s">
        <v>11280</v>
      </c>
      <c r="C8317" s="3" t="s">
        <v>11281</v>
      </c>
      <c r="D8317" s="3" t="s">
        <v>18853</v>
      </c>
      <c r="E8317" s="3" t="s">
        <v>18827</v>
      </c>
      <c r="F8317" s="3" t="s">
        <v>18826</v>
      </c>
    </row>
    <row r="8318">
      <c r="A8318" s="3">
        <v>2685.0</v>
      </c>
      <c r="B8318" s="3" t="s">
        <v>11280</v>
      </c>
      <c r="C8318" s="3" t="s">
        <v>11281</v>
      </c>
      <c r="D8318" s="3" t="s">
        <v>18854</v>
      </c>
      <c r="E8318" s="3" t="s">
        <v>18855</v>
      </c>
      <c r="F8318" s="3" t="s">
        <v>18856</v>
      </c>
    </row>
    <row r="8319">
      <c r="A8319" s="3">
        <v>2686.0</v>
      </c>
      <c r="B8319" s="3" t="s">
        <v>11280</v>
      </c>
      <c r="C8319" s="3" t="s">
        <v>11281</v>
      </c>
      <c r="D8319" s="3" t="s">
        <v>18857</v>
      </c>
      <c r="E8319" s="3" t="s">
        <v>18858</v>
      </c>
      <c r="F8319" s="3" t="s">
        <v>18859</v>
      </c>
    </row>
    <row r="8320">
      <c r="A8320" s="3">
        <v>2687.0</v>
      </c>
      <c r="B8320" s="3" t="s">
        <v>11280</v>
      </c>
      <c r="C8320" s="3" t="s">
        <v>11281</v>
      </c>
      <c r="D8320" s="3" t="s">
        <v>18860</v>
      </c>
      <c r="E8320" s="3" t="s">
        <v>18829</v>
      </c>
      <c r="F8320" s="3" t="s">
        <v>18828</v>
      </c>
    </row>
    <row r="8321">
      <c r="A8321" s="3">
        <v>2688.0</v>
      </c>
      <c r="B8321" s="3" t="s">
        <v>11280</v>
      </c>
      <c r="C8321" s="3" t="s">
        <v>11281</v>
      </c>
      <c r="D8321" s="3" t="s">
        <v>18861</v>
      </c>
      <c r="E8321" s="3" t="s">
        <v>18837</v>
      </c>
      <c r="F8321" s="3" t="s">
        <v>18836</v>
      </c>
    </row>
    <row r="8322">
      <c r="A8322" s="3">
        <v>2689.0</v>
      </c>
      <c r="B8322" s="3" t="s">
        <v>11280</v>
      </c>
      <c r="C8322" s="3" t="s">
        <v>11281</v>
      </c>
      <c r="D8322" s="3" t="s">
        <v>18862</v>
      </c>
      <c r="E8322" s="3" t="s">
        <v>18839</v>
      </c>
      <c r="F8322" s="3" t="s">
        <v>18838</v>
      </c>
    </row>
    <row r="8323">
      <c r="A8323" s="3">
        <v>2690.0</v>
      </c>
      <c r="B8323" s="3" t="s">
        <v>11280</v>
      </c>
      <c r="C8323" s="3" t="s">
        <v>11281</v>
      </c>
      <c r="D8323" s="3" t="s">
        <v>18863</v>
      </c>
      <c r="E8323" s="3" t="s">
        <v>18841</v>
      </c>
      <c r="F8323" s="3" t="s">
        <v>18840</v>
      </c>
    </row>
    <row r="8324">
      <c r="A8324" s="3">
        <v>2691.0</v>
      </c>
      <c r="B8324" s="3" t="s">
        <v>11280</v>
      </c>
      <c r="C8324" s="3" t="s">
        <v>11281</v>
      </c>
      <c r="D8324" s="3" t="s">
        <v>18864</v>
      </c>
      <c r="E8324" s="3" t="s">
        <v>6462</v>
      </c>
      <c r="F8324" s="3" t="s">
        <v>6463</v>
      </c>
    </row>
    <row r="8325">
      <c r="A8325" s="3">
        <v>2692.0</v>
      </c>
      <c r="B8325" s="3" t="s">
        <v>11280</v>
      </c>
      <c r="C8325" s="3" t="s">
        <v>11281</v>
      </c>
      <c r="D8325" s="3" t="s">
        <v>7912</v>
      </c>
      <c r="E8325" s="3" t="s">
        <v>7911</v>
      </c>
      <c r="F8325" s="3" t="s">
        <v>7912</v>
      </c>
    </row>
    <row r="8326">
      <c r="A8326" s="3">
        <v>2693.0</v>
      </c>
      <c r="B8326" s="3" t="s">
        <v>11280</v>
      </c>
      <c r="C8326" s="3" t="s">
        <v>11281</v>
      </c>
      <c r="D8326" s="3" t="s">
        <v>7914</v>
      </c>
      <c r="E8326" s="3" t="s">
        <v>7915</v>
      </c>
      <c r="F8326" s="3" t="s">
        <v>7916</v>
      </c>
    </row>
    <row r="8327">
      <c r="A8327" s="3">
        <v>2694.0</v>
      </c>
      <c r="B8327" s="3" t="s">
        <v>11280</v>
      </c>
      <c r="C8327" s="3" t="s">
        <v>11281</v>
      </c>
      <c r="D8327" s="3" t="s">
        <v>18865</v>
      </c>
      <c r="E8327" s="3" t="s">
        <v>18866</v>
      </c>
      <c r="F8327" s="3" t="s">
        <v>7934</v>
      </c>
    </row>
    <row r="8328">
      <c r="A8328" s="3">
        <v>2695.0</v>
      </c>
      <c r="B8328" s="3" t="s">
        <v>11280</v>
      </c>
      <c r="C8328" s="3" t="s">
        <v>11281</v>
      </c>
      <c r="D8328" s="3" t="s">
        <v>18867</v>
      </c>
      <c r="E8328" s="3" t="s">
        <v>18868</v>
      </c>
      <c r="F8328" s="3" t="s">
        <v>7941</v>
      </c>
    </row>
    <row r="8329">
      <c r="A8329" s="3">
        <v>2696.0</v>
      </c>
      <c r="B8329" s="3" t="s">
        <v>11280</v>
      </c>
      <c r="C8329" s="3" t="s">
        <v>11281</v>
      </c>
      <c r="D8329" s="3" t="s">
        <v>18869</v>
      </c>
      <c r="E8329" s="3" t="s">
        <v>18870</v>
      </c>
      <c r="F8329" s="3" t="s">
        <v>18869</v>
      </c>
    </row>
    <row r="8330">
      <c r="A8330" s="3">
        <v>2697.0</v>
      </c>
      <c r="B8330" s="3" t="s">
        <v>11280</v>
      </c>
      <c r="C8330" s="3" t="s">
        <v>11281</v>
      </c>
      <c r="D8330" s="3" t="s">
        <v>18871</v>
      </c>
      <c r="E8330" s="3" t="s">
        <v>18872</v>
      </c>
      <c r="F8330" s="3" t="s">
        <v>18871</v>
      </c>
    </row>
    <row r="8331">
      <c r="A8331" s="3">
        <v>2698.0</v>
      </c>
      <c r="B8331" s="3" t="s">
        <v>11280</v>
      </c>
      <c r="C8331" s="3" t="s">
        <v>11281</v>
      </c>
      <c r="D8331" s="3" t="s">
        <v>18873</v>
      </c>
      <c r="E8331" s="3" t="s">
        <v>18874</v>
      </c>
      <c r="F8331" s="3" t="s">
        <v>18873</v>
      </c>
    </row>
    <row r="8332">
      <c r="A8332" s="3">
        <v>2699.0</v>
      </c>
      <c r="B8332" s="3" t="s">
        <v>11280</v>
      </c>
      <c r="C8332" s="3" t="s">
        <v>11281</v>
      </c>
      <c r="D8332" s="3" t="s">
        <v>18875</v>
      </c>
      <c r="E8332" s="3" t="s">
        <v>18876</v>
      </c>
      <c r="F8332" s="3" t="s">
        <v>18875</v>
      </c>
    </row>
    <row r="8333">
      <c r="A8333" s="3">
        <v>2700.0</v>
      </c>
      <c r="B8333" s="3" t="s">
        <v>11280</v>
      </c>
      <c r="C8333" s="3" t="s">
        <v>11281</v>
      </c>
      <c r="D8333" s="3" t="s">
        <v>18877</v>
      </c>
      <c r="E8333" s="3" t="s">
        <v>18878</v>
      </c>
      <c r="F8333" s="3" t="s">
        <v>18877</v>
      </c>
    </row>
    <row r="8334">
      <c r="A8334" s="3">
        <v>2701.0</v>
      </c>
      <c r="B8334" s="3" t="s">
        <v>11280</v>
      </c>
      <c r="C8334" s="3" t="s">
        <v>11281</v>
      </c>
      <c r="D8334" s="3" t="s">
        <v>18879</v>
      </c>
      <c r="E8334" s="3" t="s">
        <v>18880</v>
      </c>
      <c r="F8334" s="3" t="s">
        <v>18879</v>
      </c>
    </row>
    <row r="8335">
      <c r="A8335" s="3">
        <v>2702.0</v>
      </c>
      <c r="B8335" s="3" t="s">
        <v>11280</v>
      </c>
      <c r="C8335" s="3" t="s">
        <v>11281</v>
      </c>
      <c r="D8335" s="3" t="s">
        <v>18881</v>
      </c>
      <c r="E8335" s="3" t="s">
        <v>18882</v>
      </c>
      <c r="F8335" s="3" t="s">
        <v>18881</v>
      </c>
    </row>
    <row r="8336">
      <c r="A8336" s="3">
        <v>2703.0</v>
      </c>
      <c r="B8336" s="3" t="s">
        <v>11280</v>
      </c>
      <c r="C8336" s="3" t="s">
        <v>11281</v>
      </c>
      <c r="D8336" s="3" t="s">
        <v>18883</v>
      </c>
      <c r="E8336" s="3" t="s">
        <v>18884</v>
      </c>
      <c r="F8336" s="3" t="s">
        <v>18883</v>
      </c>
    </row>
    <row r="8337">
      <c r="A8337" s="3">
        <v>2704.0</v>
      </c>
      <c r="B8337" s="3" t="s">
        <v>11280</v>
      </c>
      <c r="C8337" s="3" t="s">
        <v>11281</v>
      </c>
      <c r="D8337" s="3" t="s">
        <v>18885</v>
      </c>
      <c r="E8337" s="3" t="s">
        <v>18886</v>
      </c>
      <c r="F8337" s="3" t="s">
        <v>18885</v>
      </c>
    </row>
    <row r="8338">
      <c r="A8338" s="3">
        <v>2705.0</v>
      </c>
      <c r="B8338" s="3" t="s">
        <v>11280</v>
      </c>
      <c r="C8338" s="3" t="s">
        <v>11281</v>
      </c>
      <c r="D8338" s="3" t="s">
        <v>18887</v>
      </c>
      <c r="E8338" s="3" t="s">
        <v>18888</v>
      </c>
      <c r="F8338" s="3" t="s">
        <v>18887</v>
      </c>
    </row>
    <row r="8339">
      <c r="A8339" s="3">
        <v>2706.0</v>
      </c>
      <c r="B8339" s="3" t="s">
        <v>11280</v>
      </c>
      <c r="C8339" s="3" t="s">
        <v>11281</v>
      </c>
      <c r="D8339" s="3" t="s">
        <v>18889</v>
      </c>
      <c r="E8339" s="3" t="s">
        <v>18890</v>
      </c>
      <c r="F8339" s="3" t="s">
        <v>18889</v>
      </c>
    </row>
    <row r="8340">
      <c r="A8340" s="3">
        <v>2707.0</v>
      </c>
      <c r="B8340" s="3" t="s">
        <v>11280</v>
      </c>
      <c r="C8340" s="3" t="s">
        <v>11281</v>
      </c>
      <c r="D8340" s="3" t="s">
        <v>18891</v>
      </c>
      <c r="E8340" s="3" t="s">
        <v>18892</v>
      </c>
      <c r="F8340" s="3" t="s">
        <v>18891</v>
      </c>
      <c r="G8340" s="3"/>
      <c r="H8340" s="3" t="s">
        <v>18893</v>
      </c>
      <c r="I8340" s="3" t="s">
        <v>18894</v>
      </c>
      <c r="J8340" s="3" t="s">
        <v>18895</v>
      </c>
      <c r="K8340" s="3" t="s">
        <v>18896</v>
      </c>
      <c r="L8340" s="3" t="s">
        <v>8667</v>
      </c>
      <c r="M8340" s="3" t="s">
        <v>11246</v>
      </c>
      <c r="N8340" s="3" t="s">
        <v>18897</v>
      </c>
      <c r="O8340" s="3" t="s">
        <v>11539</v>
      </c>
      <c r="P8340" s="3" t="s">
        <v>18898</v>
      </c>
      <c r="Q8340" s="3" t="s">
        <v>18899</v>
      </c>
      <c r="R8340" s="3" t="s">
        <v>18900</v>
      </c>
      <c r="S8340" s="3" t="s">
        <v>18901</v>
      </c>
      <c r="T8340" s="3" t="s">
        <v>18902</v>
      </c>
      <c r="U8340" s="3" t="s">
        <v>18903</v>
      </c>
      <c r="V8340" s="3" t="s">
        <v>1862</v>
      </c>
      <c r="W8340" s="3" t="s">
        <v>15285</v>
      </c>
      <c r="X8340" s="3" t="s">
        <v>18904</v>
      </c>
      <c r="Y8340" s="3" t="s">
        <v>18905</v>
      </c>
      <c r="Z8340" s="3" t="s">
        <v>18906</v>
      </c>
      <c r="AA8340" s="3" t="s">
        <v>18907</v>
      </c>
      <c r="AB8340" s="3" t="s">
        <v>18908</v>
      </c>
      <c r="AC8340" s="3" t="s">
        <v>18909</v>
      </c>
      <c r="AD8340" s="3" t="s">
        <v>18910</v>
      </c>
      <c r="AE8340" s="3" t="s">
        <v>18911</v>
      </c>
      <c r="AF8340" s="3" t="s">
        <v>18912</v>
      </c>
    </row>
    <row r="8341">
      <c r="A8341" s="3">
        <v>2708.0</v>
      </c>
      <c r="B8341" s="3" t="s">
        <v>11280</v>
      </c>
      <c r="C8341" s="3" t="s">
        <v>11281</v>
      </c>
      <c r="D8341" s="3" t="s">
        <v>18913</v>
      </c>
      <c r="E8341" s="3" t="s">
        <v>18914</v>
      </c>
      <c r="F8341" s="3" t="s">
        <v>18913</v>
      </c>
    </row>
    <row r="8342">
      <c r="A8342" s="3">
        <v>2709.0</v>
      </c>
      <c r="B8342" s="3" t="s">
        <v>11280</v>
      </c>
      <c r="C8342" s="3" t="s">
        <v>11281</v>
      </c>
      <c r="D8342" s="3" t="s">
        <v>18915</v>
      </c>
      <c r="E8342" s="3" t="s">
        <v>18916</v>
      </c>
      <c r="F8342" s="3" t="s">
        <v>18915</v>
      </c>
    </row>
    <row r="8343">
      <c r="A8343" s="3">
        <v>2710.0</v>
      </c>
      <c r="B8343" s="3" t="s">
        <v>11280</v>
      </c>
      <c r="C8343" s="3" t="s">
        <v>11281</v>
      </c>
      <c r="D8343" s="3" t="s">
        <v>18917</v>
      </c>
      <c r="E8343" s="3" t="s">
        <v>18918</v>
      </c>
      <c r="F8343" s="3" t="s">
        <v>18917</v>
      </c>
    </row>
    <row r="8344">
      <c r="A8344" s="3">
        <v>2711.0</v>
      </c>
      <c r="B8344" s="3" t="s">
        <v>11280</v>
      </c>
      <c r="C8344" s="3" t="s">
        <v>11281</v>
      </c>
      <c r="D8344" s="3" t="s">
        <v>18919</v>
      </c>
      <c r="E8344" s="3" t="s">
        <v>18920</v>
      </c>
      <c r="F8344" s="3" t="s">
        <v>18919</v>
      </c>
    </row>
    <row r="8345">
      <c r="A8345" s="3">
        <v>2712.0</v>
      </c>
      <c r="B8345" s="3" t="s">
        <v>11280</v>
      </c>
      <c r="C8345" s="3" t="s">
        <v>11281</v>
      </c>
      <c r="D8345" s="3" t="s">
        <v>18921</v>
      </c>
      <c r="E8345" s="3" t="s">
        <v>18922</v>
      </c>
      <c r="F8345" s="3" t="s">
        <v>18921</v>
      </c>
    </row>
    <row r="8346">
      <c r="A8346" s="3">
        <v>2713.0</v>
      </c>
      <c r="B8346" s="3" t="s">
        <v>11280</v>
      </c>
      <c r="C8346" s="3" t="s">
        <v>11281</v>
      </c>
      <c r="D8346" s="3" t="s">
        <v>18923</v>
      </c>
      <c r="E8346" s="3" t="s">
        <v>18924</v>
      </c>
      <c r="F8346" s="3" t="s">
        <v>18925</v>
      </c>
    </row>
    <row r="8347">
      <c r="A8347" s="3">
        <v>2714.0</v>
      </c>
      <c r="B8347" s="3" t="s">
        <v>11280</v>
      </c>
      <c r="C8347" s="3" t="s">
        <v>11281</v>
      </c>
      <c r="D8347" s="3" t="s">
        <v>18926</v>
      </c>
      <c r="E8347" s="3" t="s">
        <v>18927</v>
      </c>
      <c r="F8347" s="3" t="s">
        <v>18928</v>
      </c>
    </row>
    <row r="8348">
      <c r="A8348" s="3">
        <v>2715.0</v>
      </c>
      <c r="B8348" s="3" t="s">
        <v>11280</v>
      </c>
      <c r="C8348" s="3" t="s">
        <v>11281</v>
      </c>
      <c r="D8348" s="3" t="s">
        <v>18929</v>
      </c>
      <c r="E8348" s="3" t="s">
        <v>18930</v>
      </c>
      <c r="F8348" s="3" t="s">
        <v>18929</v>
      </c>
    </row>
    <row r="8349">
      <c r="A8349" s="3">
        <v>2716.0</v>
      </c>
      <c r="B8349" s="3" t="s">
        <v>11280</v>
      </c>
      <c r="C8349" s="3" t="s">
        <v>11281</v>
      </c>
      <c r="D8349" s="3" t="s">
        <v>18931</v>
      </c>
      <c r="E8349" s="3" t="s">
        <v>18932</v>
      </c>
      <c r="F8349" s="3" t="s">
        <v>18931</v>
      </c>
    </row>
    <row r="8350">
      <c r="A8350" s="3">
        <v>2717.0</v>
      </c>
      <c r="B8350" s="3" t="s">
        <v>11280</v>
      </c>
      <c r="C8350" s="3" t="s">
        <v>11281</v>
      </c>
      <c r="D8350" s="3" t="s">
        <v>18933</v>
      </c>
      <c r="E8350" s="3" t="s">
        <v>18934</v>
      </c>
      <c r="F8350" s="3" t="s">
        <v>18933</v>
      </c>
    </row>
    <row r="8351">
      <c r="A8351" s="3">
        <v>2718.0</v>
      </c>
      <c r="B8351" s="3" t="s">
        <v>11280</v>
      </c>
      <c r="C8351" s="3" t="s">
        <v>11281</v>
      </c>
      <c r="D8351" s="3" t="s">
        <v>7922</v>
      </c>
      <c r="E8351" s="3" t="s">
        <v>7921</v>
      </c>
      <c r="F8351" s="3" t="s">
        <v>7922</v>
      </c>
    </row>
    <row r="8352">
      <c r="A8352" s="3">
        <v>2719.0</v>
      </c>
      <c r="B8352" s="3" t="s">
        <v>11280</v>
      </c>
      <c r="C8352" s="3" t="s">
        <v>11281</v>
      </c>
      <c r="D8352" s="3" t="s">
        <v>18935</v>
      </c>
      <c r="E8352" s="3" t="s">
        <v>18936</v>
      </c>
      <c r="F8352" s="3" t="s">
        <v>18935</v>
      </c>
    </row>
    <row r="8353">
      <c r="A8353" s="3">
        <v>2720.0</v>
      </c>
      <c r="B8353" s="3" t="s">
        <v>11280</v>
      </c>
      <c r="C8353" s="3" t="s">
        <v>11281</v>
      </c>
      <c r="D8353" s="3" t="s">
        <v>18937</v>
      </c>
      <c r="E8353" s="3" t="s">
        <v>18938</v>
      </c>
      <c r="F8353" s="3" t="s">
        <v>18937</v>
      </c>
    </row>
    <row r="8354">
      <c r="A8354" s="3">
        <v>2721.0</v>
      </c>
      <c r="B8354" s="3" t="s">
        <v>11280</v>
      </c>
      <c r="C8354" s="3" t="s">
        <v>11281</v>
      </c>
      <c r="D8354" s="3" t="s">
        <v>18939</v>
      </c>
      <c r="E8354" s="3" t="s">
        <v>18940</v>
      </c>
      <c r="F8354" s="3" t="s">
        <v>18941</v>
      </c>
    </row>
    <row r="8355">
      <c r="A8355" s="3">
        <v>2722.0</v>
      </c>
      <c r="B8355" s="3" t="s">
        <v>11280</v>
      </c>
      <c r="C8355" s="3" t="s">
        <v>11281</v>
      </c>
      <c r="D8355" s="3" t="s">
        <v>18942</v>
      </c>
      <c r="E8355" s="3" t="s">
        <v>18943</v>
      </c>
      <c r="F8355" s="3" t="s">
        <v>18942</v>
      </c>
      <c r="G8355" s="3"/>
      <c r="H8355" s="3" t="s">
        <v>7599</v>
      </c>
      <c r="I8355" s="3" t="s">
        <v>7590</v>
      </c>
      <c r="J8355" s="3" t="s">
        <v>7600</v>
      </c>
    </row>
    <row r="8356">
      <c r="A8356" s="3">
        <v>2723.0</v>
      </c>
      <c r="B8356" s="3" t="s">
        <v>11280</v>
      </c>
      <c r="C8356" s="3" t="s">
        <v>11281</v>
      </c>
      <c r="D8356" s="3" t="s">
        <v>18944</v>
      </c>
      <c r="E8356" s="3" t="s">
        <v>18945</v>
      </c>
      <c r="F8356" s="3" t="s">
        <v>18944</v>
      </c>
    </row>
    <row r="8357">
      <c r="A8357" s="3">
        <v>2724.0</v>
      </c>
      <c r="B8357" s="3" t="s">
        <v>11280</v>
      </c>
      <c r="C8357" s="3" t="s">
        <v>11281</v>
      </c>
      <c r="D8357" s="3" t="s">
        <v>18946</v>
      </c>
      <c r="E8357" s="3" t="s">
        <v>18947</v>
      </c>
      <c r="F8357" s="3" t="s">
        <v>18946</v>
      </c>
    </row>
    <row r="8358">
      <c r="A8358" s="3">
        <v>2725.0</v>
      </c>
      <c r="B8358" s="3" t="s">
        <v>11280</v>
      </c>
      <c r="C8358" s="3" t="s">
        <v>11281</v>
      </c>
      <c r="D8358" s="3" t="s">
        <v>18948</v>
      </c>
      <c r="E8358" s="3" t="s">
        <v>18949</v>
      </c>
      <c r="F8358" s="3" t="s">
        <v>18948</v>
      </c>
    </row>
    <row r="8359">
      <c r="A8359" s="3">
        <v>2726.0</v>
      </c>
      <c r="B8359" s="3" t="s">
        <v>11280</v>
      </c>
      <c r="C8359" s="3" t="s">
        <v>11281</v>
      </c>
      <c r="D8359" s="3" t="s">
        <v>18950</v>
      </c>
      <c r="E8359" s="3" t="s">
        <v>18951</v>
      </c>
      <c r="F8359" s="3" t="s">
        <v>18950</v>
      </c>
    </row>
    <row r="8360">
      <c r="A8360" s="3">
        <v>2727.0</v>
      </c>
      <c r="B8360" s="3" t="s">
        <v>11280</v>
      </c>
      <c r="C8360" s="3" t="s">
        <v>11281</v>
      </c>
      <c r="D8360" s="3" t="s">
        <v>18952</v>
      </c>
      <c r="E8360" s="3" t="s">
        <v>18953</v>
      </c>
      <c r="F8360" s="3" t="s">
        <v>18952</v>
      </c>
    </row>
    <row r="8361">
      <c r="A8361" s="3">
        <v>2728.0</v>
      </c>
      <c r="B8361" s="3" t="s">
        <v>11280</v>
      </c>
      <c r="C8361" s="3" t="s">
        <v>11281</v>
      </c>
      <c r="D8361" s="3" t="s">
        <v>18954</v>
      </c>
      <c r="E8361" s="3" t="s">
        <v>18955</v>
      </c>
      <c r="F8361" s="3" t="s">
        <v>18956</v>
      </c>
    </row>
    <row r="8362">
      <c r="A8362" s="3">
        <v>2729.0</v>
      </c>
      <c r="B8362" s="3" t="s">
        <v>11280</v>
      </c>
      <c r="C8362" s="3" t="s">
        <v>11281</v>
      </c>
      <c r="D8362" s="3" t="s">
        <v>18957</v>
      </c>
      <c r="E8362" s="3" t="s">
        <v>18958</v>
      </c>
      <c r="F8362" s="3" t="s">
        <v>18959</v>
      </c>
    </row>
    <row r="8363">
      <c r="A8363" s="3">
        <v>2730.0</v>
      </c>
      <c r="B8363" s="3" t="s">
        <v>11280</v>
      </c>
      <c r="C8363" s="3" t="s">
        <v>11281</v>
      </c>
      <c r="D8363" s="3" t="s">
        <v>18960</v>
      </c>
      <c r="E8363" s="3" t="s">
        <v>18961</v>
      </c>
      <c r="F8363" s="3" t="s">
        <v>18962</v>
      </c>
      <c r="G8363" s="3"/>
      <c r="H8363" s="3" t="s">
        <v>18963</v>
      </c>
    </row>
    <row r="8364">
      <c r="A8364" s="3">
        <v>2731.0</v>
      </c>
      <c r="B8364" s="3" t="s">
        <v>11280</v>
      </c>
      <c r="C8364" s="3" t="s">
        <v>11281</v>
      </c>
      <c r="D8364" s="3" t="s">
        <v>18964</v>
      </c>
      <c r="E8364" s="3" t="s">
        <v>18965</v>
      </c>
      <c r="F8364" s="3" t="s">
        <v>18966</v>
      </c>
    </row>
    <row r="8365">
      <c r="A8365" s="3">
        <v>2732.0</v>
      </c>
      <c r="B8365" s="3" t="s">
        <v>11280</v>
      </c>
      <c r="C8365" s="3" t="s">
        <v>11281</v>
      </c>
      <c r="D8365" s="3" t="s">
        <v>18967</v>
      </c>
      <c r="E8365" s="3" t="s">
        <v>18968</v>
      </c>
      <c r="F8365" s="3" t="s">
        <v>18969</v>
      </c>
    </row>
    <row r="8366">
      <c r="A8366" s="3">
        <v>2733.0</v>
      </c>
      <c r="B8366" s="3" t="s">
        <v>11280</v>
      </c>
      <c r="C8366" s="3" t="s">
        <v>11281</v>
      </c>
      <c r="D8366" s="3" t="s">
        <v>18970</v>
      </c>
      <c r="E8366" s="3" t="s">
        <v>18971</v>
      </c>
      <c r="F8366" s="3" t="s">
        <v>18972</v>
      </c>
    </row>
    <row r="8367">
      <c r="A8367" s="3">
        <v>2734.0</v>
      </c>
      <c r="B8367" s="3" t="s">
        <v>11280</v>
      </c>
      <c r="C8367" s="3" t="s">
        <v>11281</v>
      </c>
      <c r="D8367" s="3" t="s">
        <v>18973</v>
      </c>
      <c r="E8367" s="3" t="s">
        <v>18974</v>
      </c>
      <c r="F8367" s="3" t="s">
        <v>18975</v>
      </c>
    </row>
    <row r="8368">
      <c r="A8368" s="3">
        <v>2735.0</v>
      </c>
      <c r="B8368" s="3" t="s">
        <v>11280</v>
      </c>
      <c r="C8368" s="3" t="s">
        <v>11281</v>
      </c>
      <c r="D8368" s="3" t="s">
        <v>18976</v>
      </c>
      <c r="E8368" s="3" t="s">
        <v>18977</v>
      </c>
      <c r="F8368" s="3" t="s">
        <v>18976</v>
      </c>
      <c r="G8368" s="3"/>
      <c r="H8368" s="3" t="s">
        <v>15115</v>
      </c>
      <c r="I8368" s="3" t="s">
        <v>18978</v>
      </c>
      <c r="J8368" s="3" t="s">
        <v>921</v>
      </c>
      <c r="K8368" s="3" t="s">
        <v>5362</v>
      </c>
      <c r="L8368" s="3" t="s">
        <v>18979</v>
      </c>
      <c r="M8368" s="3" t="s">
        <v>17480</v>
      </c>
      <c r="N8368" s="3" t="s">
        <v>18980</v>
      </c>
      <c r="O8368" s="3" t="s">
        <v>18981</v>
      </c>
      <c r="P8368" s="3" t="s">
        <v>18982</v>
      </c>
      <c r="Q8368" s="3" t="s">
        <v>15115</v>
      </c>
      <c r="R8368" s="3" t="s">
        <v>17480</v>
      </c>
      <c r="S8368" s="3" t="s">
        <v>18983</v>
      </c>
      <c r="T8368" s="3" t="s">
        <v>7917</v>
      </c>
      <c r="U8368" s="3" t="s">
        <v>15441</v>
      </c>
      <c r="V8368" s="3" t="s">
        <v>18984</v>
      </c>
      <c r="W8368" s="3" t="s">
        <v>18985</v>
      </c>
      <c r="X8368" s="3" t="s">
        <v>18986</v>
      </c>
      <c r="Y8368" s="3" t="s">
        <v>10578</v>
      </c>
      <c r="Z8368" s="3" t="s">
        <v>4039</v>
      </c>
      <c r="AA8368" s="3" t="s">
        <v>18987</v>
      </c>
      <c r="AB8368" s="3" t="s">
        <v>18988</v>
      </c>
      <c r="AC8368" s="3" t="s">
        <v>2156</v>
      </c>
      <c r="AD8368" s="3" t="s">
        <v>18989</v>
      </c>
      <c r="AE8368" s="3" t="s">
        <v>18990</v>
      </c>
      <c r="AF8368" s="3" t="s">
        <v>10042</v>
      </c>
      <c r="AG8368" s="3" t="s">
        <v>18991</v>
      </c>
      <c r="AH8368" s="3" t="s">
        <v>11760</v>
      </c>
      <c r="AI8368" s="3" t="s">
        <v>5362</v>
      </c>
      <c r="AJ8368" s="3" t="s">
        <v>18992</v>
      </c>
      <c r="AK8368" s="3" t="s">
        <v>18993</v>
      </c>
      <c r="AL8368" s="3" t="s">
        <v>18994</v>
      </c>
      <c r="AM8368" s="3" t="s">
        <v>5233</v>
      </c>
      <c r="AN8368" s="3" t="s">
        <v>11760</v>
      </c>
      <c r="AO8368" s="3" t="s">
        <v>5233</v>
      </c>
      <c r="AP8368" s="3" t="s">
        <v>5232</v>
      </c>
      <c r="AQ8368" s="3" t="s">
        <v>18995</v>
      </c>
      <c r="AR8368" s="3" t="s">
        <v>11723</v>
      </c>
      <c r="AS8368" s="3" t="s">
        <v>18988</v>
      </c>
      <c r="AT8368" s="3" t="s">
        <v>18989</v>
      </c>
      <c r="AU8368" s="3" t="s">
        <v>18996</v>
      </c>
      <c r="AV8368" s="3" t="s">
        <v>18997</v>
      </c>
      <c r="AW8368" s="3" t="s">
        <v>18986</v>
      </c>
      <c r="AX8368" s="3" t="s">
        <v>11760</v>
      </c>
      <c r="AY8368" s="3" t="s">
        <v>18998</v>
      </c>
      <c r="AZ8368" s="3" t="s">
        <v>18999</v>
      </c>
      <c r="BA8368" s="3" t="s">
        <v>19000</v>
      </c>
      <c r="BB8368" s="3" t="s">
        <v>19001</v>
      </c>
      <c r="BC8368" s="3" t="s">
        <v>19002</v>
      </c>
      <c r="BD8368" s="3" t="s">
        <v>19003</v>
      </c>
      <c r="BE8368" s="3" t="s">
        <v>19004</v>
      </c>
      <c r="BF8368" s="3" t="s">
        <v>18990</v>
      </c>
      <c r="BG8368" s="3" t="s">
        <v>19005</v>
      </c>
      <c r="BH8368" s="3" t="s">
        <v>19006</v>
      </c>
      <c r="BI8368" s="3" t="s">
        <v>19007</v>
      </c>
      <c r="BJ8368" s="3" t="s">
        <v>19008</v>
      </c>
      <c r="BK8368" s="3" t="s">
        <v>19009</v>
      </c>
      <c r="BL8368" s="3" t="s">
        <v>17480</v>
      </c>
    </row>
    <row r="8369">
      <c r="A8369" s="3">
        <v>2736.0</v>
      </c>
      <c r="B8369" s="3" t="s">
        <v>11280</v>
      </c>
      <c r="C8369" s="3" t="s">
        <v>11281</v>
      </c>
      <c r="D8369" s="3" t="s">
        <v>19010</v>
      </c>
      <c r="E8369" s="3" t="s">
        <v>19011</v>
      </c>
      <c r="F8369" s="3" t="s">
        <v>19010</v>
      </c>
    </row>
    <row r="8370">
      <c r="A8370" s="3">
        <v>2737.0</v>
      </c>
      <c r="B8370" s="3" t="s">
        <v>11280</v>
      </c>
      <c r="C8370" s="3" t="s">
        <v>11281</v>
      </c>
      <c r="D8370" s="3" t="s">
        <v>19012</v>
      </c>
      <c r="E8370" s="3" t="s">
        <v>19013</v>
      </c>
      <c r="F8370" s="3" t="s">
        <v>19012</v>
      </c>
    </row>
    <row r="8371">
      <c r="A8371" s="3">
        <v>2738.0</v>
      </c>
      <c r="B8371" s="3" t="s">
        <v>11280</v>
      </c>
      <c r="C8371" s="3" t="s">
        <v>11281</v>
      </c>
      <c r="D8371" s="3" t="s">
        <v>19014</v>
      </c>
      <c r="E8371" s="3" t="s">
        <v>19015</v>
      </c>
      <c r="F8371" s="3" t="s">
        <v>19014</v>
      </c>
    </row>
    <row r="8372">
      <c r="A8372" s="3">
        <v>2739.0</v>
      </c>
      <c r="B8372" s="3" t="s">
        <v>11280</v>
      </c>
      <c r="C8372" s="3" t="s">
        <v>11281</v>
      </c>
      <c r="D8372" s="3" t="s">
        <v>19016</v>
      </c>
      <c r="E8372" s="3" t="s">
        <v>19017</v>
      </c>
      <c r="F8372" s="3" t="s">
        <v>19016</v>
      </c>
    </row>
    <row r="8373">
      <c r="A8373" s="3">
        <v>2740.0</v>
      </c>
      <c r="B8373" s="3" t="s">
        <v>11280</v>
      </c>
      <c r="C8373" s="3" t="s">
        <v>11281</v>
      </c>
      <c r="D8373" s="3" t="s">
        <v>19018</v>
      </c>
      <c r="E8373" s="3" t="s">
        <v>19019</v>
      </c>
      <c r="F8373" s="3" t="s">
        <v>19018</v>
      </c>
    </row>
    <row r="8374">
      <c r="A8374" s="3">
        <v>2741.0</v>
      </c>
      <c r="B8374" s="3" t="s">
        <v>11280</v>
      </c>
      <c r="C8374" s="3" t="s">
        <v>11281</v>
      </c>
      <c r="D8374" s="3" t="s">
        <v>19020</v>
      </c>
      <c r="E8374" s="3" t="s">
        <v>19021</v>
      </c>
      <c r="F8374" s="3" t="s">
        <v>19020</v>
      </c>
    </row>
    <row r="8375">
      <c r="A8375" s="3">
        <v>2742.0</v>
      </c>
      <c r="B8375" s="3" t="s">
        <v>11280</v>
      </c>
      <c r="C8375" s="3" t="s">
        <v>11281</v>
      </c>
      <c r="D8375" s="3" t="s">
        <v>19022</v>
      </c>
      <c r="E8375" s="3" t="s">
        <v>19023</v>
      </c>
      <c r="F8375" s="3" t="s">
        <v>19022</v>
      </c>
    </row>
    <row r="8376">
      <c r="A8376" s="3">
        <v>2743.0</v>
      </c>
      <c r="B8376" s="3" t="s">
        <v>11280</v>
      </c>
      <c r="C8376" s="3" t="s">
        <v>11281</v>
      </c>
      <c r="D8376" s="3" t="s">
        <v>19024</v>
      </c>
      <c r="E8376" s="3" t="s">
        <v>19025</v>
      </c>
      <c r="F8376" s="3" t="s">
        <v>19024</v>
      </c>
    </row>
    <row r="8377">
      <c r="A8377" s="3">
        <v>2744.0</v>
      </c>
      <c r="B8377" s="3" t="s">
        <v>11280</v>
      </c>
      <c r="C8377" s="3" t="s">
        <v>11281</v>
      </c>
      <c r="D8377" s="3" t="s">
        <v>19026</v>
      </c>
      <c r="E8377" s="3" t="s">
        <v>19027</v>
      </c>
      <c r="F8377" s="3" t="s">
        <v>19026</v>
      </c>
    </row>
    <row r="8378">
      <c r="A8378" s="3">
        <v>2745.0</v>
      </c>
      <c r="B8378" s="3" t="s">
        <v>11280</v>
      </c>
      <c r="C8378" s="3" t="s">
        <v>11281</v>
      </c>
      <c r="D8378" s="3" t="s">
        <v>19028</v>
      </c>
      <c r="E8378" s="3" t="s">
        <v>19029</v>
      </c>
      <c r="F8378" s="3" t="s">
        <v>19028</v>
      </c>
    </row>
    <row r="8379">
      <c r="A8379" s="3">
        <v>2746.0</v>
      </c>
      <c r="B8379" s="3" t="s">
        <v>11280</v>
      </c>
      <c r="C8379" s="3" t="s">
        <v>11281</v>
      </c>
      <c r="D8379" s="3" t="s">
        <v>19030</v>
      </c>
      <c r="E8379" s="3" t="s">
        <v>19031</v>
      </c>
      <c r="F8379" s="3" t="s">
        <v>19030</v>
      </c>
      <c r="G8379" s="3"/>
      <c r="H8379" s="3" t="s">
        <v>15490</v>
      </c>
      <c r="I8379" s="3" t="s">
        <v>15489</v>
      </c>
      <c r="J8379" s="3" t="s">
        <v>19032</v>
      </c>
      <c r="K8379" s="3" t="s">
        <v>19033</v>
      </c>
    </row>
    <row r="8380">
      <c r="A8380" s="3">
        <v>2747.0</v>
      </c>
      <c r="B8380" s="3" t="s">
        <v>11280</v>
      </c>
      <c r="C8380" s="3" t="s">
        <v>11281</v>
      </c>
      <c r="D8380" s="3" t="s">
        <v>19034</v>
      </c>
      <c r="E8380" s="3" t="s">
        <v>19035</v>
      </c>
      <c r="F8380" s="3" t="s">
        <v>19034</v>
      </c>
    </row>
    <row r="8381">
      <c r="A8381" s="3">
        <v>2748.0</v>
      </c>
      <c r="B8381" s="3" t="s">
        <v>11280</v>
      </c>
      <c r="C8381" s="3" t="s">
        <v>11281</v>
      </c>
      <c r="D8381" s="3" t="s">
        <v>19036</v>
      </c>
      <c r="E8381" s="3" t="s">
        <v>19037</v>
      </c>
      <c r="F8381" s="3" t="s">
        <v>19036</v>
      </c>
    </row>
    <row r="8382">
      <c r="A8382" s="3">
        <v>2749.0</v>
      </c>
      <c r="B8382" s="3" t="s">
        <v>11280</v>
      </c>
      <c r="C8382" s="3" t="s">
        <v>11281</v>
      </c>
      <c r="D8382" s="3" t="s">
        <v>19038</v>
      </c>
      <c r="E8382" s="3" t="s">
        <v>19039</v>
      </c>
      <c r="F8382" s="3" t="s">
        <v>19038</v>
      </c>
    </row>
    <row r="8383">
      <c r="A8383" s="3">
        <v>2750.0</v>
      </c>
      <c r="B8383" s="3" t="s">
        <v>11280</v>
      </c>
      <c r="C8383" s="3" t="s">
        <v>11281</v>
      </c>
      <c r="D8383" s="3" t="s">
        <v>19040</v>
      </c>
      <c r="E8383" s="3" t="s">
        <v>19041</v>
      </c>
      <c r="F8383" s="3" t="s">
        <v>19040</v>
      </c>
    </row>
    <row r="8384">
      <c r="A8384" s="3">
        <v>2751.0</v>
      </c>
      <c r="B8384" s="3" t="s">
        <v>11280</v>
      </c>
      <c r="C8384" s="3" t="s">
        <v>11281</v>
      </c>
      <c r="D8384" s="3" t="s">
        <v>19042</v>
      </c>
      <c r="E8384" s="3" t="s">
        <v>19043</v>
      </c>
      <c r="F8384" s="3" t="s">
        <v>19042</v>
      </c>
    </row>
    <row r="8385">
      <c r="A8385" s="3">
        <v>2752.0</v>
      </c>
      <c r="B8385" s="3" t="s">
        <v>11280</v>
      </c>
      <c r="C8385" s="3" t="s">
        <v>11281</v>
      </c>
      <c r="D8385" s="3" t="s">
        <v>19044</v>
      </c>
      <c r="E8385" s="3" t="s">
        <v>19045</v>
      </c>
      <c r="F8385" s="3" t="s">
        <v>19044</v>
      </c>
    </row>
    <row r="8386">
      <c r="A8386" s="3">
        <v>2753.0</v>
      </c>
      <c r="B8386" s="3" t="s">
        <v>11280</v>
      </c>
      <c r="C8386" s="3" t="s">
        <v>11281</v>
      </c>
      <c r="D8386" s="3" t="s">
        <v>19046</v>
      </c>
      <c r="E8386" s="3" t="s">
        <v>19047</v>
      </c>
      <c r="F8386" s="3" t="s">
        <v>19046</v>
      </c>
    </row>
    <row r="8387">
      <c r="A8387" s="3">
        <v>2754.0</v>
      </c>
      <c r="B8387" s="3" t="s">
        <v>11280</v>
      </c>
      <c r="C8387" s="3" t="s">
        <v>11281</v>
      </c>
      <c r="D8387" s="3" t="s">
        <v>19048</v>
      </c>
      <c r="E8387" s="3" t="s">
        <v>19049</v>
      </c>
      <c r="F8387" s="3" t="s">
        <v>19048</v>
      </c>
    </row>
    <row r="8388">
      <c r="A8388" s="3">
        <v>2755.0</v>
      </c>
      <c r="B8388" s="3" t="s">
        <v>11280</v>
      </c>
      <c r="C8388" s="3" t="s">
        <v>11281</v>
      </c>
      <c r="D8388" s="3" t="s">
        <v>19050</v>
      </c>
      <c r="E8388" s="3" t="s">
        <v>19051</v>
      </c>
      <c r="F8388" s="3" t="s">
        <v>19050</v>
      </c>
    </row>
    <row r="8389">
      <c r="A8389" s="3">
        <v>2756.0</v>
      </c>
      <c r="B8389" s="3" t="s">
        <v>11280</v>
      </c>
      <c r="C8389" s="3" t="s">
        <v>11281</v>
      </c>
      <c r="D8389" s="3" t="s">
        <v>19052</v>
      </c>
      <c r="E8389" s="3" t="s">
        <v>19053</v>
      </c>
      <c r="F8389" s="3" t="s">
        <v>19052</v>
      </c>
    </row>
    <row r="8390">
      <c r="A8390" s="3">
        <v>2757.0</v>
      </c>
      <c r="B8390" s="3" t="s">
        <v>11280</v>
      </c>
      <c r="C8390" s="3" t="s">
        <v>11281</v>
      </c>
      <c r="D8390" s="3" t="s">
        <v>19054</v>
      </c>
      <c r="E8390" s="3" t="s">
        <v>19055</v>
      </c>
      <c r="F8390" s="3" t="s">
        <v>19054</v>
      </c>
      <c r="G8390" s="3"/>
      <c r="H8390" s="3" t="s">
        <v>7900</v>
      </c>
      <c r="I8390" s="3" t="s">
        <v>7901</v>
      </c>
      <c r="J8390" s="3" t="s">
        <v>7902</v>
      </c>
    </row>
    <row r="8391">
      <c r="A8391" s="3">
        <v>2758.0</v>
      </c>
      <c r="B8391" s="3" t="s">
        <v>11280</v>
      </c>
      <c r="C8391" s="3" t="s">
        <v>11281</v>
      </c>
      <c r="D8391" s="3" t="s">
        <v>7977</v>
      </c>
      <c r="E8391" s="3" t="s">
        <v>7976</v>
      </c>
      <c r="F8391" s="3" t="s">
        <v>7977</v>
      </c>
    </row>
    <row r="8392">
      <c r="A8392" s="3">
        <v>2759.0</v>
      </c>
      <c r="B8392" s="3" t="s">
        <v>11280</v>
      </c>
      <c r="C8392" s="3" t="s">
        <v>11281</v>
      </c>
      <c r="D8392" s="3" t="s">
        <v>19056</v>
      </c>
      <c r="E8392" s="3" t="s">
        <v>19057</v>
      </c>
      <c r="F8392" s="3" t="s">
        <v>19056</v>
      </c>
    </row>
    <row r="8393">
      <c r="A8393" s="3">
        <v>2760.0</v>
      </c>
      <c r="B8393" s="3" t="s">
        <v>11280</v>
      </c>
      <c r="C8393" s="3" t="s">
        <v>11281</v>
      </c>
      <c r="D8393" s="3" t="s">
        <v>19058</v>
      </c>
      <c r="E8393" s="3" t="s">
        <v>19059</v>
      </c>
      <c r="F8393" s="3" t="s">
        <v>19058</v>
      </c>
    </row>
    <row r="8394">
      <c r="A8394" s="3">
        <v>2761.0</v>
      </c>
      <c r="B8394" s="3" t="s">
        <v>11280</v>
      </c>
      <c r="C8394" s="3" t="s">
        <v>11281</v>
      </c>
      <c r="D8394" s="3" t="s">
        <v>19060</v>
      </c>
      <c r="E8394" s="3" t="s">
        <v>19061</v>
      </c>
      <c r="F8394" s="3" t="s">
        <v>19060</v>
      </c>
    </row>
    <row r="8395">
      <c r="A8395" s="3">
        <v>2762.0</v>
      </c>
      <c r="B8395" s="3" t="s">
        <v>11280</v>
      </c>
      <c r="C8395" s="3" t="s">
        <v>11281</v>
      </c>
      <c r="D8395" s="3" t="s">
        <v>19062</v>
      </c>
      <c r="E8395" s="3" t="s">
        <v>19063</v>
      </c>
      <c r="F8395" s="3" t="s">
        <v>19062</v>
      </c>
    </row>
    <row r="8396">
      <c r="A8396" s="3">
        <v>2763.0</v>
      </c>
      <c r="B8396" s="3" t="s">
        <v>11280</v>
      </c>
      <c r="C8396" s="3" t="s">
        <v>11281</v>
      </c>
      <c r="D8396" s="3" t="s">
        <v>19064</v>
      </c>
      <c r="E8396" s="3" t="s">
        <v>19065</v>
      </c>
      <c r="F8396" s="3" t="s">
        <v>19064</v>
      </c>
    </row>
    <row r="8397">
      <c r="A8397" s="3">
        <v>2764.0</v>
      </c>
      <c r="B8397" s="3" t="s">
        <v>11280</v>
      </c>
      <c r="C8397" s="3" t="s">
        <v>11281</v>
      </c>
      <c r="D8397" s="3" t="s">
        <v>19066</v>
      </c>
      <c r="E8397" s="3" t="s">
        <v>19067</v>
      </c>
      <c r="F8397" s="3" t="s">
        <v>19066</v>
      </c>
    </row>
    <row r="8398">
      <c r="A8398" s="3">
        <v>2765.0</v>
      </c>
      <c r="B8398" s="3" t="s">
        <v>11280</v>
      </c>
      <c r="C8398" s="3" t="s">
        <v>11281</v>
      </c>
      <c r="D8398" s="3" t="s">
        <v>19068</v>
      </c>
      <c r="E8398" s="3" t="s">
        <v>19069</v>
      </c>
      <c r="F8398" s="3" t="s">
        <v>19068</v>
      </c>
    </row>
    <row r="8399">
      <c r="A8399" s="3">
        <v>2766.0</v>
      </c>
      <c r="B8399" s="3" t="s">
        <v>11280</v>
      </c>
      <c r="C8399" s="3" t="s">
        <v>11281</v>
      </c>
      <c r="D8399" s="3" t="s">
        <v>19070</v>
      </c>
      <c r="E8399" s="3" t="s">
        <v>19071</v>
      </c>
      <c r="F8399" s="3" t="s">
        <v>19070</v>
      </c>
      <c r="G8399" s="3"/>
      <c r="H8399" s="3" t="s">
        <v>19072</v>
      </c>
      <c r="I8399" s="3" t="s">
        <v>19073</v>
      </c>
      <c r="J8399" s="3" t="s">
        <v>19074</v>
      </c>
      <c r="K8399" s="3" t="s">
        <v>19075</v>
      </c>
      <c r="L8399" s="3" t="s">
        <v>19076</v>
      </c>
      <c r="M8399" s="3" t="s">
        <v>19077</v>
      </c>
      <c r="N8399" s="3" t="s">
        <v>5232</v>
      </c>
      <c r="O8399" s="3" t="s">
        <v>19077</v>
      </c>
      <c r="P8399" s="3" t="s">
        <v>5232</v>
      </c>
    </row>
    <row r="8400">
      <c r="A8400" s="3">
        <v>2767.0</v>
      </c>
      <c r="B8400" s="3" t="s">
        <v>11280</v>
      </c>
      <c r="C8400" s="3" t="s">
        <v>11281</v>
      </c>
      <c r="D8400" s="3" t="s">
        <v>19078</v>
      </c>
      <c r="E8400" s="3" t="s">
        <v>19079</v>
      </c>
      <c r="F8400" s="3" t="s">
        <v>19078</v>
      </c>
    </row>
    <row r="8401">
      <c r="A8401" s="3">
        <v>2768.0</v>
      </c>
      <c r="B8401" s="3" t="s">
        <v>11280</v>
      </c>
      <c r="C8401" s="3" t="s">
        <v>11281</v>
      </c>
      <c r="D8401" s="3" t="s">
        <v>19080</v>
      </c>
      <c r="E8401" s="3" t="s">
        <v>19081</v>
      </c>
      <c r="F8401" s="3" t="s">
        <v>19080</v>
      </c>
    </row>
    <row r="8402">
      <c r="A8402" s="3">
        <v>2769.0</v>
      </c>
      <c r="B8402" s="3" t="s">
        <v>11280</v>
      </c>
      <c r="C8402" s="3" t="s">
        <v>11281</v>
      </c>
      <c r="D8402" s="3" t="s">
        <v>19082</v>
      </c>
      <c r="E8402" s="3" t="s">
        <v>19083</v>
      </c>
      <c r="F8402" s="3" t="s">
        <v>19082</v>
      </c>
    </row>
    <row r="8403">
      <c r="A8403" s="3">
        <v>2770.0</v>
      </c>
      <c r="B8403" s="3" t="s">
        <v>11280</v>
      </c>
      <c r="C8403" s="3" t="s">
        <v>11281</v>
      </c>
      <c r="D8403" s="3" t="s">
        <v>19084</v>
      </c>
      <c r="E8403" s="3" t="s">
        <v>19085</v>
      </c>
      <c r="F8403" s="3" t="s">
        <v>19084</v>
      </c>
    </row>
    <row r="8404">
      <c r="A8404" s="3">
        <v>2771.0</v>
      </c>
      <c r="B8404" s="3" t="s">
        <v>11280</v>
      </c>
      <c r="C8404" s="3" t="s">
        <v>11281</v>
      </c>
      <c r="D8404" s="3" t="s">
        <v>19086</v>
      </c>
      <c r="E8404" s="3" t="s">
        <v>19087</v>
      </c>
      <c r="F8404" s="3" t="s">
        <v>19086</v>
      </c>
    </row>
    <row r="8405">
      <c r="A8405" s="3">
        <v>2772.0</v>
      </c>
      <c r="B8405" s="3" t="s">
        <v>11280</v>
      </c>
      <c r="C8405" s="3" t="s">
        <v>11281</v>
      </c>
      <c r="D8405" s="3" t="s">
        <v>19088</v>
      </c>
      <c r="E8405" s="3" t="s">
        <v>19089</v>
      </c>
      <c r="F8405" s="3" t="s">
        <v>19088</v>
      </c>
    </row>
    <row r="8406">
      <c r="A8406" s="3">
        <v>2773.0</v>
      </c>
      <c r="B8406" s="3" t="s">
        <v>11280</v>
      </c>
      <c r="C8406" s="3" t="s">
        <v>11281</v>
      </c>
      <c r="D8406" s="3" t="s">
        <v>19090</v>
      </c>
      <c r="E8406" s="3" t="s">
        <v>19091</v>
      </c>
      <c r="F8406" s="3" t="s">
        <v>19090</v>
      </c>
    </row>
    <row r="8407">
      <c r="A8407" s="3">
        <v>2774.0</v>
      </c>
      <c r="B8407" s="3" t="s">
        <v>11280</v>
      </c>
      <c r="C8407" s="3" t="s">
        <v>11281</v>
      </c>
      <c r="D8407" s="3" t="s">
        <v>19092</v>
      </c>
      <c r="E8407" s="3" t="s">
        <v>19093</v>
      </c>
      <c r="F8407" s="3" t="s">
        <v>19092</v>
      </c>
    </row>
    <row r="8408">
      <c r="A8408" s="3">
        <v>2775.0</v>
      </c>
      <c r="B8408" s="3" t="s">
        <v>11280</v>
      </c>
      <c r="C8408" s="3" t="s">
        <v>11281</v>
      </c>
      <c r="D8408" s="3" t="s">
        <v>19094</v>
      </c>
      <c r="E8408" s="3" t="s">
        <v>19095</v>
      </c>
      <c r="F8408" s="3" t="s">
        <v>19094</v>
      </c>
    </row>
    <row r="8409">
      <c r="A8409" s="3">
        <v>2776.0</v>
      </c>
      <c r="B8409" s="3" t="s">
        <v>11280</v>
      </c>
      <c r="C8409" s="3" t="s">
        <v>11281</v>
      </c>
      <c r="D8409" s="3" t="s">
        <v>19096</v>
      </c>
      <c r="E8409" s="3" t="s">
        <v>19097</v>
      </c>
      <c r="F8409" s="3" t="s">
        <v>19096</v>
      </c>
    </row>
    <row r="8410">
      <c r="A8410" s="3">
        <v>2777.0</v>
      </c>
      <c r="B8410" s="3" t="s">
        <v>11280</v>
      </c>
      <c r="C8410" s="3" t="s">
        <v>11281</v>
      </c>
      <c r="D8410" s="3" t="s">
        <v>19098</v>
      </c>
      <c r="E8410" s="3" t="s">
        <v>19099</v>
      </c>
      <c r="F8410" s="3" t="s">
        <v>19098</v>
      </c>
    </row>
    <row r="8411">
      <c r="A8411" s="3">
        <v>2778.0</v>
      </c>
      <c r="B8411" s="3" t="s">
        <v>11280</v>
      </c>
      <c r="C8411" s="3" t="s">
        <v>11281</v>
      </c>
      <c r="D8411" s="3" t="s">
        <v>19100</v>
      </c>
      <c r="E8411" s="3" t="s">
        <v>19101</v>
      </c>
      <c r="F8411" s="3" t="s">
        <v>19100</v>
      </c>
    </row>
    <row r="8412">
      <c r="A8412" s="3">
        <v>2779.0</v>
      </c>
      <c r="B8412" s="3" t="s">
        <v>11280</v>
      </c>
      <c r="C8412" s="3" t="s">
        <v>11281</v>
      </c>
      <c r="D8412" s="3" t="s">
        <v>19102</v>
      </c>
      <c r="E8412" s="3" t="s">
        <v>19103</v>
      </c>
      <c r="F8412" s="3" t="s">
        <v>19102</v>
      </c>
    </row>
    <row r="8413">
      <c r="A8413" s="3">
        <v>2780.0</v>
      </c>
      <c r="B8413" s="3" t="s">
        <v>11280</v>
      </c>
      <c r="C8413" s="3" t="s">
        <v>11281</v>
      </c>
      <c r="D8413" s="3" t="s">
        <v>19104</v>
      </c>
      <c r="E8413" s="3" t="s">
        <v>19105</v>
      </c>
      <c r="F8413" s="3" t="s">
        <v>19104</v>
      </c>
      <c r="G8413" s="3"/>
      <c r="H8413" s="3" t="s">
        <v>19106</v>
      </c>
      <c r="I8413" s="3" t="s">
        <v>321</v>
      </c>
      <c r="J8413" s="3" t="s">
        <v>19107</v>
      </c>
      <c r="K8413" s="3" t="s">
        <v>19104</v>
      </c>
      <c r="L8413" s="3" t="s">
        <v>19104</v>
      </c>
      <c r="M8413" s="3" t="s">
        <v>19108</v>
      </c>
      <c r="N8413" s="3" t="s">
        <v>19107</v>
      </c>
      <c r="O8413" s="3" t="s">
        <v>19109</v>
      </c>
      <c r="P8413" s="3" t="s">
        <v>19110</v>
      </c>
      <c r="Q8413" s="3" t="s">
        <v>1274</v>
      </c>
      <c r="R8413" s="3" t="s">
        <v>19111</v>
      </c>
      <c r="S8413" s="3" t="s">
        <v>19112</v>
      </c>
      <c r="T8413" s="3" t="s">
        <v>19113</v>
      </c>
      <c r="U8413" s="3" t="s">
        <v>19114</v>
      </c>
      <c r="V8413" s="3" t="s">
        <v>19115</v>
      </c>
    </row>
    <row r="8414">
      <c r="A8414" s="3">
        <v>2781.0</v>
      </c>
      <c r="B8414" s="3" t="s">
        <v>11280</v>
      </c>
      <c r="C8414" s="3" t="s">
        <v>11281</v>
      </c>
      <c r="D8414" s="3" t="s">
        <v>19116</v>
      </c>
      <c r="E8414" s="3" t="s">
        <v>19117</v>
      </c>
      <c r="F8414" s="3" t="s">
        <v>19116</v>
      </c>
    </row>
    <row r="8415">
      <c r="A8415" s="3">
        <v>2782.0</v>
      </c>
      <c r="B8415" s="3" t="s">
        <v>11280</v>
      </c>
      <c r="C8415" s="3" t="s">
        <v>11281</v>
      </c>
      <c r="D8415" s="3" t="s">
        <v>19118</v>
      </c>
      <c r="E8415" s="3" t="s">
        <v>19119</v>
      </c>
      <c r="F8415" s="3" t="s">
        <v>19118</v>
      </c>
    </row>
    <row r="8416">
      <c r="A8416" s="3">
        <v>2783.0</v>
      </c>
      <c r="B8416" s="3" t="s">
        <v>11280</v>
      </c>
      <c r="C8416" s="3" t="s">
        <v>11281</v>
      </c>
      <c r="D8416" s="3" t="s">
        <v>19120</v>
      </c>
      <c r="E8416" s="3" t="s">
        <v>19121</v>
      </c>
      <c r="F8416" s="3" t="s">
        <v>19120</v>
      </c>
    </row>
    <row r="8417">
      <c r="A8417" s="3">
        <v>2784.0</v>
      </c>
      <c r="B8417" s="3" t="s">
        <v>11280</v>
      </c>
      <c r="C8417" s="3" t="s">
        <v>11281</v>
      </c>
      <c r="D8417" s="3" t="s">
        <v>19122</v>
      </c>
      <c r="E8417" s="3" t="s">
        <v>19123</v>
      </c>
      <c r="F8417" s="3" t="s">
        <v>19122</v>
      </c>
    </row>
    <row r="8418">
      <c r="A8418" s="3">
        <v>2785.0</v>
      </c>
      <c r="B8418" s="3" t="s">
        <v>11280</v>
      </c>
      <c r="C8418" s="3" t="s">
        <v>11281</v>
      </c>
      <c r="D8418" s="3" t="s">
        <v>19124</v>
      </c>
      <c r="E8418" s="3" t="s">
        <v>7958</v>
      </c>
      <c r="F8418" s="3" t="s">
        <v>7959</v>
      </c>
      <c r="G8418" s="3"/>
      <c r="H8418" s="3" t="s">
        <v>19125</v>
      </c>
    </row>
    <row r="8419">
      <c r="A8419" s="3">
        <v>2786.0</v>
      </c>
      <c r="B8419" s="3" t="s">
        <v>11280</v>
      </c>
      <c r="C8419" s="3" t="s">
        <v>11281</v>
      </c>
      <c r="D8419" s="3" t="s">
        <v>19126</v>
      </c>
      <c r="E8419" s="3" t="s">
        <v>19047</v>
      </c>
      <c r="F8419" s="3" t="s">
        <v>19046</v>
      </c>
    </row>
    <row r="8420">
      <c r="A8420" s="3">
        <v>2787.0</v>
      </c>
      <c r="B8420" s="3" t="s">
        <v>11280</v>
      </c>
      <c r="C8420" s="3" t="s">
        <v>11281</v>
      </c>
      <c r="D8420" s="3" t="s">
        <v>19127</v>
      </c>
      <c r="E8420" s="3" t="s">
        <v>19049</v>
      </c>
      <c r="F8420" s="3" t="s">
        <v>19048</v>
      </c>
    </row>
    <row r="8421">
      <c r="A8421" s="3">
        <v>2788.0</v>
      </c>
      <c r="B8421" s="3" t="s">
        <v>11280</v>
      </c>
      <c r="C8421" s="3" t="s">
        <v>11281</v>
      </c>
      <c r="D8421" s="3" t="s">
        <v>19128</v>
      </c>
      <c r="E8421" s="3" t="s">
        <v>7965</v>
      </c>
      <c r="F8421" s="3" t="s">
        <v>7966</v>
      </c>
    </row>
    <row r="8422">
      <c r="A8422" s="3">
        <v>2789.0</v>
      </c>
      <c r="B8422" s="3" t="s">
        <v>11280</v>
      </c>
      <c r="C8422" s="3" t="s">
        <v>11281</v>
      </c>
      <c r="D8422" s="3" t="s">
        <v>6705</v>
      </c>
      <c r="E8422" s="3" t="s">
        <v>6704</v>
      </c>
      <c r="F8422" s="3" t="s">
        <v>6705</v>
      </c>
    </row>
    <row r="8423">
      <c r="A8423" s="3">
        <v>2790.0</v>
      </c>
      <c r="B8423" s="3" t="s">
        <v>11280</v>
      </c>
      <c r="C8423" s="3" t="s">
        <v>11281</v>
      </c>
      <c r="D8423" s="3" t="s">
        <v>19129</v>
      </c>
      <c r="E8423" s="3" t="s">
        <v>19130</v>
      </c>
      <c r="F8423" s="3" t="s">
        <v>19131</v>
      </c>
    </row>
    <row r="8424">
      <c r="A8424" s="3">
        <v>2791.0</v>
      </c>
      <c r="B8424" s="3" t="s">
        <v>11280</v>
      </c>
      <c r="C8424" s="3" t="s">
        <v>11281</v>
      </c>
      <c r="D8424" s="3" t="s">
        <v>19132</v>
      </c>
      <c r="E8424" s="3" t="s">
        <v>19133</v>
      </c>
      <c r="F8424" s="3" t="s">
        <v>19134</v>
      </c>
    </row>
    <row r="8425">
      <c r="A8425" s="3">
        <v>2792.0</v>
      </c>
      <c r="B8425" s="3" t="s">
        <v>11280</v>
      </c>
      <c r="C8425" s="3" t="s">
        <v>11281</v>
      </c>
      <c r="D8425" s="3" t="s">
        <v>19135</v>
      </c>
      <c r="E8425" s="3" t="s">
        <v>19136</v>
      </c>
      <c r="F8425" s="3" t="s">
        <v>19137</v>
      </c>
    </row>
    <row r="8426">
      <c r="A8426" s="3">
        <v>2793.0</v>
      </c>
      <c r="B8426" s="3" t="s">
        <v>11280</v>
      </c>
      <c r="C8426" s="3" t="s">
        <v>11281</v>
      </c>
      <c r="D8426" s="3" t="s">
        <v>19138</v>
      </c>
      <c r="E8426" s="3" t="s">
        <v>19139</v>
      </c>
      <c r="F8426" s="3" t="s">
        <v>19140</v>
      </c>
    </row>
    <row r="8427">
      <c r="A8427" s="3">
        <v>2794.0</v>
      </c>
      <c r="B8427" s="3" t="s">
        <v>11280</v>
      </c>
      <c r="C8427" s="3" t="s">
        <v>11281</v>
      </c>
      <c r="D8427" s="3" t="s">
        <v>19141</v>
      </c>
      <c r="E8427" s="3" t="s">
        <v>19142</v>
      </c>
      <c r="F8427" s="3" t="s">
        <v>19141</v>
      </c>
    </row>
    <row r="8428">
      <c r="A8428" s="3">
        <v>2795.0</v>
      </c>
      <c r="B8428" s="3" t="s">
        <v>11280</v>
      </c>
      <c r="C8428" s="3" t="s">
        <v>11281</v>
      </c>
      <c r="D8428" s="3" t="s">
        <v>19143</v>
      </c>
      <c r="E8428" s="3" t="s">
        <v>19144</v>
      </c>
      <c r="F8428" s="3" t="s">
        <v>19143</v>
      </c>
    </row>
    <row r="8429">
      <c r="A8429" s="3">
        <v>2796.0</v>
      </c>
      <c r="B8429" s="3" t="s">
        <v>11280</v>
      </c>
      <c r="C8429" s="3" t="s">
        <v>11281</v>
      </c>
      <c r="D8429" s="3" t="s">
        <v>19145</v>
      </c>
      <c r="E8429" s="3" t="s">
        <v>19146</v>
      </c>
      <c r="F8429" s="3" t="s">
        <v>19145</v>
      </c>
    </row>
    <row r="8430">
      <c r="A8430" s="3">
        <v>2797.0</v>
      </c>
      <c r="B8430" s="3" t="s">
        <v>11280</v>
      </c>
      <c r="C8430" s="3" t="s">
        <v>11281</v>
      </c>
      <c r="D8430" s="3" t="s">
        <v>19147</v>
      </c>
      <c r="E8430" s="3" t="s">
        <v>19148</v>
      </c>
      <c r="F8430" s="3" t="s">
        <v>19147</v>
      </c>
    </row>
    <row r="8431">
      <c r="A8431" s="3">
        <v>2798.0</v>
      </c>
      <c r="B8431" s="3" t="s">
        <v>11280</v>
      </c>
      <c r="C8431" s="3" t="s">
        <v>11281</v>
      </c>
      <c r="D8431" s="3" t="s">
        <v>19149</v>
      </c>
      <c r="E8431" s="3" t="s">
        <v>19150</v>
      </c>
      <c r="F8431" s="3" t="s">
        <v>19149</v>
      </c>
    </row>
    <row r="8432">
      <c r="A8432" s="3">
        <v>2799.0</v>
      </c>
      <c r="B8432" s="3" t="s">
        <v>11280</v>
      </c>
      <c r="C8432" s="3" t="s">
        <v>11281</v>
      </c>
      <c r="D8432" s="3" t="s">
        <v>19151</v>
      </c>
      <c r="E8432" s="3" t="s">
        <v>19152</v>
      </c>
      <c r="F8432" s="3" t="s">
        <v>19151</v>
      </c>
      <c r="G8432" s="3"/>
      <c r="H8432" s="3" t="s">
        <v>15019</v>
      </c>
      <c r="I8432" s="3" t="s">
        <v>15020</v>
      </c>
    </row>
    <row r="8433">
      <c r="A8433" s="3">
        <v>2800.0</v>
      </c>
      <c r="B8433" s="3" t="s">
        <v>11280</v>
      </c>
      <c r="C8433" s="3" t="s">
        <v>11281</v>
      </c>
      <c r="D8433" s="3" t="s">
        <v>19153</v>
      </c>
      <c r="E8433" s="3" t="s">
        <v>19154</v>
      </c>
      <c r="F8433" s="3" t="s">
        <v>19153</v>
      </c>
      <c r="G8433" s="3"/>
      <c r="H8433" s="3" t="s">
        <v>19153</v>
      </c>
      <c r="I8433" s="3" t="s">
        <v>19155</v>
      </c>
    </row>
    <row r="8434">
      <c r="A8434" s="3">
        <v>2801.0</v>
      </c>
      <c r="B8434" s="3" t="s">
        <v>11280</v>
      </c>
      <c r="C8434" s="3" t="s">
        <v>11281</v>
      </c>
      <c r="D8434" s="3" t="s">
        <v>19156</v>
      </c>
      <c r="E8434" s="3" t="s">
        <v>19157</v>
      </c>
      <c r="F8434" s="3" t="s">
        <v>19156</v>
      </c>
    </row>
    <row r="8435">
      <c r="A8435" s="3">
        <v>2802.0</v>
      </c>
      <c r="B8435" s="3" t="s">
        <v>11280</v>
      </c>
      <c r="C8435" s="3" t="s">
        <v>11281</v>
      </c>
      <c r="D8435" s="3" t="s">
        <v>19158</v>
      </c>
      <c r="E8435" s="3" t="s">
        <v>19159</v>
      </c>
      <c r="F8435" s="3" t="s">
        <v>19158</v>
      </c>
    </row>
    <row r="8436">
      <c r="A8436" s="3">
        <v>2803.0</v>
      </c>
      <c r="B8436" s="3" t="s">
        <v>11280</v>
      </c>
      <c r="C8436" s="3" t="s">
        <v>11281</v>
      </c>
      <c r="D8436" s="3" t="s">
        <v>19160</v>
      </c>
      <c r="E8436" s="3" t="s">
        <v>19161</v>
      </c>
      <c r="F8436" s="3" t="s">
        <v>19160</v>
      </c>
    </row>
    <row r="8437">
      <c r="A8437" s="3">
        <v>2804.0</v>
      </c>
      <c r="B8437" s="3" t="s">
        <v>11280</v>
      </c>
      <c r="C8437" s="3" t="s">
        <v>11281</v>
      </c>
      <c r="D8437" s="3" t="s">
        <v>19162</v>
      </c>
      <c r="E8437" s="3" t="s">
        <v>19163</v>
      </c>
      <c r="F8437" s="3" t="s">
        <v>19162</v>
      </c>
    </row>
    <row r="8438">
      <c r="A8438" s="3">
        <v>2805.0</v>
      </c>
      <c r="B8438" s="3" t="s">
        <v>11280</v>
      </c>
      <c r="C8438" s="3" t="s">
        <v>11281</v>
      </c>
      <c r="D8438" s="3" t="s">
        <v>19164</v>
      </c>
      <c r="E8438" s="3" t="s">
        <v>19165</v>
      </c>
      <c r="F8438" s="3" t="s">
        <v>19164</v>
      </c>
    </row>
    <row r="8439">
      <c r="A8439" s="3">
        <v>2806.0</v>
      </c>
      <c r="B8439" s="3" t="s">
        <v>11280</v>
      </c>
      <c r="C8439" s="3" t="s">
        <v>11281</v>
      </c>
      <c r="D8439" s="3" t="s">
        <v>19166</v>
      </c>
      <c r="E8439" s="3" t="s">
        <v>19167</v>
      </c>
      <c r="F8439" s="3" t="s">
        <v>19166</v>
      </c>
    </row>
    <row r="8440">
      <c r="A8440" s="3">
        <v>2807.0</v>
      </c>
      <c r="B8440" s="3" t="s">
        <v>11280</v>
      </c>
      <c r="C8440" s="3" t="s">
        <v>11281</v>
      </c>
      <c r="D8440" s="3" t="s">
        <v>6656</v>
      </c>
      <c r="E8440" s="3" t="s">
        <v>19168</v>
      </c>
      <c r="F8440" s="3" t="s">
        <v>6656</v>
      </c>
    </row>
    <row r="8441">
      <c r="A8441" s="3">
        <v>2808.0</v>
      </c>
      <c r="B8441" s="3" t="s">
        <v>11280</v>
      </c>
      <c r="C8441" s="3" t="s">
        <v>11281</v>
      </c>
      <c r="D8441" s="3" t="s">
        <v>19169</v>
      </c>
      <c r="E8441" s="3" t="s">
        <v>19170</v>
      </c>
      <c r="F8441" s="3" t="s">
        <v>19169</v>
      </c>
    </row>
    <row r="8442">
      <c r="A8442" s="3">
        <v>2809.0</v>
      </c>
      <c r="B8442" s="3" t="s">
        <v>11280</v>
      </c>
      <c r="C8442" s="3" t="s">
        <v>11281</v>
      </c>
      <c r="D8442" s="3" t="s">
        <v>19171</v>
      </c>
      <c r="E8442" s="3" t="s">
        <v>19172</v>
      </c>
      <c r="F8442" s="3" t="s">
        <v>19171</v>
      </c>
    </row>
    <row r="8443">
      <c r="A8443" s="3">
        <v>2810.0</v>
      </c>
      <c r="B8443" s="3" t="s">
        <v>11280</v>
      </c>
      <c r="C8443" s="3" t="s">
        <v>11281</v>
      </c>
      <c r="D8443" s="3" t="s">
        <v>19173</v>
      </c>
      <c r="E8443" s="3" t="s">
        <v>19174</v>
      </c>
      <c r="F8443" s="3" t="s">
        <v>19173</v>
      </c>
    </row>
    <row r="8444">
      <c r="A8444" s="3">
        <v>2811.0</v>
      </c>
      <c r="B8444" s="3" t="s">
        <v>11280</v>
      </c>
      <c r="C8444" s="3" t="s">
        <v>11281</v>
      </c>
      <c r="D8444" s="3" t="s">
        <v>19175</v>
      </c>
      <c r="E8444" s="3" t="s">
        <v>19176</v>
      </c>
      <c r="F8444" s="3" t="s">
        <v>19175</v>
      </c>
    </row>
    <row r="8445">
      <c r="A8445" s="3">
        <v>2812.0</v>
      </c>
      <c r="B8445" s="3" t="s">
        <v>11280</v>
      </c>
      <c r="C8445" s="3" t="s">
        <v>11281</v>
      </c>
      <c r="D8445" s="3" t="s">
        <v>19177</v>
      </c>
      <c r="E8445" s="3" t="s">
        <v>19178</v>
      </c>
      <c r="F8445" s="3" t="s">
        <v>19177</v>
      </c>
    </row>
    <row r="8446">
      <c r="A8446" s="3">
        <v>2813.0</v>
      </c>
      <c r="B8446" s="3" t="s">
        <v>11280</v>
      </c>
      <c r="C8446" s="3" t="s">
        <v>11281</v>
      </c>
      <c r="D8446" s="3" t="s">
        <v>6688</v>
      </c>
      <c r="E8446" s="3" t="s">
        <v>8028</v>
      </c>
      <c r="F8446" s="3" t="s">
        <v>6688</v>
      </c>
    </row>
    <row r="8447">
      <c r="A8447" s="3">
        <v>2814.0</v>
      </c>
      <c r="B8447" s="3" t="s">
        <v>11280</v>
      </c>
      <c r="C8447" s="3" t="s">
        <v>11281</v>
      </c>
      <c r="D8447" s="3" t="s">
        <v>6674</v>
      </c>
      <c r="E8447" s="3" t="s">
        <v>8023</v>
      </c>
      <c r="F8447" s="3" t="s">
        <v>6674</v>
      </c>
    </row>
    <row r="8448">
      <c r="A8448" s="3">
        <v>2815.0</v>
      </c>
      <c r="B8448" s="3" t="s">
        <v>11280</v>
      </c>
      <c r="C8448" s="3" t="s">
        <v>11281</v>
      </c>
      <c r="D8448" s="3" t="s">
        <v>6683</v>
      </c>
      <c r="E8448" s="3" t="s">
        <v>8026</v>
      </c>
      <c r="F8448" s="3" t="s">
        <v>6683</v>
      </c>
    </row>
    <row r="8449">
      <c r="A8449" s="3">
        <v>2816.0</v>
      </c>
      <c r="B8449" s="3" t="s">
        <v>11280</v>
      </c>
      <c r="C8449" s="3" t="s">
        <v>11281</v>
      </c>
      <c r="D8449" s="3" t="s">
        <v>19179</v>
      </c>
      <c r="E8449" s="3" t="s">
        <v>19180</v>
      </c>
      <c r="F8449" s="3" t="s">
        <v>19179</v>
      </c>
    </row>
    <row r="8450">
      <c r="A8450" s="3">
        <v>2817.0</v>
      </c>
      <c r="B8450" s="3" t="s">
        <v>11280</v>
      </c>
      <c r="C8450" s="3" t="s">
        <v>11281</v>
      </c>
      <c r="D8450" s="3" t="s">
        <v>19181</v>
      </c>
      <c r="E8450" s="3" t="s">
        <v>19182</v>
      </c>
      <c r="F8450" s="3" t="s">
        <v>19181</v>
      </c>
    </row>
    <row r="8451">
      <c r="A8451" s="3">
        <v>2818.0</v>
      </c>
      <c r="B8451" s="3" t="s">
        <v>11280</v>
      </c>
      <c r="C8451" s="3" t="s">
        <v>11281</v>
      </c>
      <c r="D8451" s="3" t="s">
        <v>19183</v>
      </c>
      <c r="E8451" s="3" t="s">
        <v>19184</v>
      </c>
      <c r="F8451" s="3" t="s">
        <v>19183</v>
      </c>
    </row>
    <row r="8452">
      <c r="A8452" s="3">
        <v>2819.0</v>
      </c>
      <c r="B8452" s="3" t="s">
        <v>11280</v>
      </c>
      <c r="C8452" s="3" t="s">
        <v>11281</v>
      </c>
      <c r="D8452" s="3" t="s">
        <v>19185</v>
      </c>
      <c r="E8452" s="3" t="s">
        <v>19186</v>
      </c>
      <c r="F8452" s="3" t="s">
        <v>19185</v>
      </c>
    </row>
    <row r="8453">
      <c r="A8453" s="3">
        <v>2820.0</v>
      </c>
      <c r="B8453" s="3" t="s">
        <v>11280</v>
      </c>
      <c r="C8453" s="3" t="s">
        <v>11281</v>
      </c>
      <c r="D8453" s="3" t="s">
        <v>19187</v>
      </c>
      <c r="E8453" s="3" t="s">
        <v>19188</v>
      </c>
      <c r="F8453" s="3" t="s">
        <v>19187</v>
      </c>
    </row>
    <row r="8454">
      <c r="A8454" s="3">
        <v>2821.0</v>
      </c>
      <c r="B8454" s="3" t="s">
        <v>11280</v>
      </c>
      <c r="C8454" s="3" t="s">
        <v>11281</v>
      </c>
      <c r="D8454" s="3" t="s">
        <v>19189</v>
      </c>
      <c r="E8454" s="3" t="s">
        <v>19190</v>
      </c>
      <c r="F8454" s="3" t="s">
        <v>19189</v>
      </c>
    </row>
    <row r="8455">
      <c r="A8455" s="3">
        <v>2822.0</v>
      </c>
      <c r="B8455" s="3" t="s">
        <v>11280</v>
      </c>
      <c r="C8455" s="3" t="s">
        <v>11281</v>
      </c>
      <c r="D8455" s="3" t="s">
        <v>19191</v>
      </c>
      <c r="E8455" s="3" t="s">
        <v>19192</v>
      </c>
      <c r="F8455" s="3" t="s">
        <v>19191</v>
      </c>
    </row>
    <row r="8456">
      <c r="A8456" s="3">
        <v>2823.0</v>
      </c>
      <c r="B8456" s="3" t="s">
        <v>11280</v>
      </c>
      <c r="C8456" s="3" t="s">
        <v>11281</v>
      </c>
      <c r="D8456" s="3" t="s">
        <v>19193</v>
      </c>
      <c r="E8456" s="3" t="s">
        <v>19194</v>
      </c>
      <c r="F8456" s="3" t="s">
        <v>19193</v>
      </c>
    </row>
    <row r="8457">
      <c r="A8457" s="3">
        <v>2824.0</v>
      </c>
      <c r="B8457" s="3" t="s">
        <v>11280</v>
      </c>
      <c r="C8457" s="3" t="s">
        <v>11281</v>
      </c>
      <c r="D8457" s="3" t="s">
        <v>19195</v>
      </c>
      <c r="E8457" s="3" t="s">
        <v>19196</v>
      </c>
      <c r="F8457" s="3" t="s">
        <v>19195</v>
      </c>
    </row>
    <row r="8458">
      <c r="A8458" s="3">
        <v>2825.0</v>
      </c>
      <c r="B8458" s="3" t="s">
        <v>11280</v>
      </c>
      <c r="C8458" s="3" t="s">
        <v>11281</v>
      </c>
      <c r="D8458" s="3" t="s">
        <v>11250</v>
      </c>
      <c r="E8458" s="3" t="s">
        <v>19197</v>
      </c>
      <c r="F8458" s="3" t="s">
        <v>11250</v>
      </c>
    </row>
    <row r="8459">
      <c r="A8459" s="3">
        <v>2826.0</v>
      </c>
      <c r="B8459" s="3" t="s">
        <v>11280</v>
      </c>
      <c r="C8459" s="3" t="s">
        <v>11281</v>
      </c>
      <c r="D8459" s="3" t="s">
        <v>14837</v>
      </c>
      <c r="E8459" s="3" t="s">
        <v>14836</v>
      </c>
      <c r="F8459" s="3" t="s">
        <v>14837</v>
      </c>
    </row>
    <row r="8460">
      <c r="A8460" s="3">
        <v>2827.0</v>
      </c>
      <c r="B8460" s="3" t="s">
        <v>11280</v>
      </c>
      <c r="C8460" s="3" t="s">
        <v>11281</v>
      </c>
      <c r="D8460" s="3" t="s">
        <v>19198</v>
      </c>
      <c r="E8460" s="3" t="s">
        <v>19199</v>
      </c>
      <c r="F8460" s="3" t="s">
        <v>19198</v>
      </c>
    </row>
    <row r="8461">
      <c r="A8461" s="3">
        <v>2828.0</v>
      </c>
      <c r="B8461" s="3" t="s">
        <v>11280</v>
      </c>
      <c r="C8461" s="3" t="s">
        <v>11281</v>
      </c>
      <c r="D8461" s="3" t="s">
        <v>14840</v>
      </c>
      <c r="E8461" s="3" t="s">
        <v>14839</v>
      </c>
      <c r="F8461" s="3" t="s">
        <v>14840</v>
      </c>
    </row>
    <row r="8462">
      <c r="A8462" s="3">
        <v>2829.0</v>
      </c>
      <c r="B8462" s="3" t="s">
        <v>11280</v>
      </c>
      <c r="C8462" s="3" t="s">
        <v>11281</v>
      </c>
      <c r="D8462" s="3" t="s">
        <v>19200</v>
      </c>
      <c r="E8462" s="3" t="s">
        <v>19201</v>
      </c>
      <c r="F8462" s="3" t="s">
        <v>19200</v>
      </c>
      <c r="G8462" s="3"/>
      <c r="H8462" s="3" t="s">
        <v>19202</v>
      </c>
      <c r="I8462" s="3" t="s">
        <v>19203</v>
      </c>
      <c r="J8462" s="3" t="s">
        <v>19204</v>
      </c>
      <c r="K8462" s="3" t="s">
        <v>19205</v>
      </c>
      <c r="L8462" s="3" t="s">
        <v>19206</v>
      </c>
      <c r="M8462" s="3" t="s">
        <v>19207</v>
      </c>
      <c r="N8462" s="3" t="s">
        <v>19206</v>
      </c>
      <c r="O8462" s="3" t="s">
        <v>19205</v>
      </c>
      <c r="P8462" s="3" t="s">
        <v>19207</v>
      </c>
      <c r="Q8462" s="3" t="s">
        <v>19208</v>
      </c>
      <c r="R8462" s="3" t="s">
        <v>3271</v>
      </c>
      <c r="S8462" s="3" t="s">
        <v>15556</v>
      </c>
      <c r="T8462" s="3" t="s">
        <v>15557</v>
      </c>
      <c r="U8462" s="3" t="s">
        <v>15558</v>
      </c>
      <c r="V8462" s="3" t="s">
        <v>9545</v>
      </c>
      <c r="W8462" s="3" t="s">
        <v>15559</v>
      </c>
      <c r="X8462" s="3" t="s">
        <v>15560</v>
      </c>
      <c r="Y8462" s="3" t="s">
        <v>15561</v>
      </c>
      <c r="Z8462" s="3" t="s">
        <v>19209</v>
      </c>
      <c r="AA8462" s="3" t="s">
        <v>19210</v>
      </c>
      <c r="AB8462" s="3" t="s">
        <v>19209</v>
      </c>
      <c r="AC8462" s="3" t="s">
        <v>19211</v>
      </c>
      <c r="AD8462" s="3" t="s">
        <v>19212</v>
      </c>
      <c r="AE8462" s="3" t="s">
        <v>15561</v>
      </c>
      <c r="AF8462" s="3" t="s">
        <v>9545</v>
      </c>
      <c r="AG8462" s="3" t="s">
        <v>13035</v>
      </c>
      <c r="AH8462" s="3" t="s">
        <v>15560</v>
      </c>
      <c r="AI8462" s="3" t="s">
        <v>19213</v>
      </c>
      <c r="AJ8462" s="3" t="s">
        <v>19214</v>
      </c>
      <c r="AK8462" s="3" t="s">
        <v>14194</v>
      </c>
      <c r="AL8462" s="3" t="s">
        <v>18214</v>
      </c>
      <c r="AM8462" s="3" t="s">
        <v>19215</v>
      </c>
      <c r="AN8462" s="3" t="s">
        <v>19203</v>
      </c>
      <c r="AO8462" s="3" t="s">
        <v>15561</v>
      </c>
      <c r="AP8462" s="3" t="s">
        <v>9545</v>
      </c>
      <c r="AQ8462" s="3" t="s">
        <v>15560</v>
      </c>
      <c r="AR8462" s="3" t="s">
        <v>19209</v>
      </c>
      <c r="AS8462" s="3" t="s">
        <v>19205</v>
      </c>
      <c r="AT8462" s="3" t="s">
        <v>19205</v>
      </c>
      <c r="AU8462" s="3" t="s">
        <v>19203</v>
      </c>
    </row>
    <row r="8463">
      <c r="A8463" s="3">
        <v>2830.0</v>
      </c>
      <c r="B8463" s="3" t="s">
        <v>11280</v>
      </c>
      <c r="C8463" s="3" t="s">
        <v>11281</v>
      </c>
      <c r="D8463" s="3" t="s">
        <v>19216</v>
      </c>
      <c r="E8463" s="3" t="s">
        <v>19217</v>
      </c>
      <c r="F8463" s="3" t="s">
        <v>19216</v>
      </c>
      <c r="G8463" s="3"/>
      <c r="H8463" s="3" t="s">
        <v>19218</v>
      </c>
      <c r="I8463" s="3" t="s">
        <v>19219</v>
      </c>
      <c r="J8463" s="3" t="s">
        <v>17696</v>
      </c>
    </row>
    <row r="8464">
      <c r="A8464" s="3">
        <v>2831.0</v>
      </c>
      <c r="B8464" s="3" t="s">
        <v>11280</v>
      </c>
      <c r="C8464" s="3" t="s">
        <v>11281</v>
      </c>
      <c r="D8464" s="3" t="s">
        <v>19220</v>
      </c>
      <c r="E8464" s="3" t="s">
        <v>19221</v>
      </c>
      <c r="F8464" s="3" t="s">
        <v>19220</v>
      </c>
    </row>
    <row r="8465">
      <c r="A8465" s="3">
        <v>2832.0</v>
      </c>
      <c r="B8465" s="3" t="s">
        <v>11280</v>
      </c>
      <c r="C8465" s="3" t="s">
        <v>11281</v>
      </c>
      <c r="D8465" s="3" t="s">
        <v>19222</v>
      </c>
      <c r="E8465" s="3" t="s">
        <v>19223</v>
      </c>
      <c r="F8465" s="3" t="s">
        <v>19224</v>
      </c>
    </row>
    <row r="8466">
      <c r="A8466" s="3">
        <v>2833.0</v>
      </c>
      <c r="B8466" s="3" t="s">
        <v>11280</v>
      </c>
      <c r="C8466" s="3" t="s">
        <v>11281</v>
      </c>
      <c r="D8466" s="3" t="s">
        <v>19225</v>
      </c>
      <c r="E8466" s="3" t="s">
        <v>19226</v>
      </c>
      <c r="F8466" s="3" t="s">
        <v>19227</v>
      </c>
    </row>
    <row r="8467">
      <c r="A8467" s="3">
        <v>2834.0</v>
      </c>
      <c r="B8467" s="3" t="s">
        <v>11280</v>
      </c>
      <c r="C8467" s="3" t="s">
        <v>11281</v>
      </c>
      <c r="D8467" s="3" t="s">
        <v>19228</v>
      </c>
      <c r="E8467" s="3" t="s">
        <v>19229</v>
      </c>
      <c r="F8467" s="3" t="s">
        <v>19228</v>
      </c>
    </row>
    <row r="8468">
      <c r="A8468" s="3">
        <v>2835.0</v>
      </c>
      <c r="B8468" s="3" t="s">
        <v>11280</v>
      </c>
      <c r="C8468" s="3" t="s">
        <v>11281</v>
      </c>
      <c r="D8468" s="3" t="s">
        <v>19230</v>
      </c>
      <c r="E8468" s="3" t="s">
        <v>19231</v>
      </c>
      <c r="F8468" s="3" t="s">
        <v>19230</v>
      </c>
    </row>
    <row r="8469">
      <c r="A8469" s="3">
        <v>2836.0</v>
      </c>
      <c r="B8469" s="3" t="s">
        <v>11280</v>
      </c>
      <c r="C8469" s="3" t="s">
        <v>11281</v>
      </c>
      <c r="D8469" s="3" t="s">
        <v>19232</v>
      </c>
      <c r="E8469" s="3" t="s">
        <v>19233</v>
      </c>
      <c r="F8469" s="3" t="s">
        <v>19232</v>
      </c>
      <c r="G8469" s="3"/>
      <c r="H8469" s="3" t="s">
        <v>699</v>
      </c>
      <c r="I8469" s="3" t="s">
        <v>19234</v>
      </c>
      <c r="J8469" s="3" t="s">
        <v>699</v>
      </c>
      <c r="K8469" s="3" t="s">
        <v>19235</v>
      </c>
      <c r="L8469" s="3" t="s">
        <v>19236</v>
      </c>
      <c r="M8469" s="3" t="s">
        <v>19237</v>
      </c>
      <c r="N8469" s="3" t="s">
        <v>19238</v>
      </c>
      <c r="O8469" s="3" t="s">
        <v>699</v>
      </c>
      <c r="P8469" s="3" t="s">
        <v>19239</v>
      </c>
      <c r="Q8469" s="3" t="s">
        <v>19240</v>
      </c>
      <c r="R8469" s="3" t="s">
        <v>19237</v>
      </c>
      <c r="S8469" s="3" t="s">
        <v>699</v>
      </c>
      <c r="T8469" s="3" t="s">
        <v>699</v>
      </c>
    </row>
    <row r="8470">
      <c r="A8470" s="3">
        <v>2837.0</v>
      </c>
      <c r="B8470" s="3" t="s">
        <v>11280</v>
      </c>
      <c r="C8470" s="3" t="s">
        <v>11281</v>
      </c>
      <c r="D8470" s="3" t="s">
        <v>19241</v>
      </c>
      <c r="E8470" s="3" t="s">
        <v>19242</v>
      </c>
      <c r="F8470" s="3" t="s">
        <v>19241</v>
      </c>
    </row>
    <row r="8471">
      <c r="A8471" s="3">
        <v>2838.0</v>
      </c>
      <c r="B8471" s="3" t="s">
        <v>11280</v>
      </c>
      <c r="C8471" s="3" t="s">
        <v>11281</v>
      </c>
      <c r="D8471" s="3" t="s">
        <v>19243</v>
      </c>
      <c r="E8471" s="3" t="s">
        <v>19244</v>
      </c>
      <c r="F8471" s="3" t="s">
        <v>19243</v>
      </c>
    </row>
    <row r="8472">
      <c r="A8472" s="3">
        <v>2839.0</v>
      </c>
      <c r="B8472" s="3" t="s">
        <v>11280</v>
      </c>
      <c r="C8472" s="3" t="s">
        <v>11281</v>
      </c>
      <c r="D8472" s="3" t="s">
        <v>19245</v>
      </c>
      <c r="E8472" s="3" t="s">
        <v>19246</v>
      </c>
      <c r="F8472" s="3" t="s">
        <v>19245</v>
      </c>
    </row>
    <row r="8473">
      <c r="A8473" s="3">
        <v>2840.0</v>
      </c>
      <c r="B8473" s="3" t="s">
        <v>11280</v>
      </c>
      <c r="C8473" s="3" t="s">
        <v>11281</v>
      </c>
      <c r="D8473" s="3" t="s">
        <v>19247</v>
      </c>
      <c r="E8473" s="3" t="s">
        <v>19248</v>
      </c>
      <c r="F8473" s="3" t="s">
        <v>19247</v>
      </c>
    </row>
    <row r="8474">
      <c r="A8474" s="3">
        <v>2841.0</v>
      </c>
      <c r="B8474" s="3" t="s">
        <v>11280</v>
      </c>
      <c r="C8474" s="3" t="s">
        <v>11281</v>
      </c>
      <c r="D8474" s="3" t="s">
        <v>19249</v>
      </c>
      <c r="E8474" s="3" t="s">
        <v>19250</v>
      </c>
      <c r="F8474" s="3" t="s">
        <v>19251</v>
      </c>
    </row>
    <row r="8475">
      <c r="A8475" s="3">
        <v>2842.0</v>
      </c>
      <c r="B8475" s="3" t="s">
        <v>11280</v>
      </c>
      <c r="C8475" s="3" t="s">
        <v>11281</v>
      </c>
      <c r="D8475" s="3" t="s">
        <v>19252</v>
      </c>
      <c r="E8475" s="3" t="s">
        <v>19253</v>
      </c>
      <c r="F8475" s="3" t="s">
        <v>19254</v>
      </c>
    </row>
    <row r="8476">
      <c r="A8476" s="3">
        <v>2843.0</v>
      </c>
      <c r="B8476" s="3" t="s">
        <v>11280</v>
      </c>
      <c r="C8476" s="3" t="s">
        <v>11281</v>
      </c>
      <c r="D8476" s="3" t="s">
        <v>19255</v>
      </c>
      <c r="E8476" s="3" t="s">
        <v>19256</v>
      </c>
      <c r="F8476" s="3" t="s">
        <v>19257</v>
      </c>
    </row>
    <row r="8477">
      <c r="A8477" s="3">
        <v>2844.0</v>
      </c>
      <c r="B8477" s="3" t="s">
        <v>11280</v>
      </c>
      <c r="C8477" s="3" t="s">
        <v>11281</v>
      </c>
      <c r="D8477" s="3" t="s">
        <v>19258</v>
      </c>
      <c r="E8477" s="3" t="s">
        <v>19259</v>
      </c>
      <c r="F8477" s="3" t="s">
        <v>19260</v>
      </c>
    </row>
    <row r="8478">
      <c r="A8478" s="3">
        <v>2845.0</v>
      </c>
      <c r="B8478" s="3" t="s">
        <v>11280</v>
      </c>
      <c r="C8478" s="3" t="s">
        <v>11281</v>
      </c>
      <c r="D8478" s="3" t="s">
        <v>19261</v>
      </c>
      <c r="E8478" s="3" t="s">
        <v>19262</v>
      </c>
      <c r="F8478" s="3" t="s">
        <v>19261</v>
      </c>
      <c r="G8478" s="3"/>
      <c r="H8478" s="3" t="s">
        <v>19263</v>
      </c>
      <c r="I8478" s="3" t="s">
        <v>19263</v>
      </c>
      <c r="J8478" s="3" t="s">
        <v>19264</v>
      </c>
    </row>
    <row r="8479">
      <c r="A8479" s="3">
        <v>2846.0</v>
      </c>
      <c r="B8479" s="3" t="s">
        <v>11280</v>
      </c>
      <c r="C8479" s="3" t="s">
        <v>11281</v>
      </c>
      <c r="D8479" s="3" t="s">
        <v>19265</v>
      </c>
      <c r="E8479" s="3" t="s">
        <v>19266</v>
      </c>
      <c r="F8479" s="3" t="s">
        <v>19265</v>
      </c>
    </row>
    <row r="8480">
      <c r="A8480" s="3">
        <v>2847.0</v>
      </c>
      <c r="B8480" s="3" t="s">
        <v>11280</v>
      </c>
      <c r="C8480" s="3" t="s">
        <v>11281</v>
      </c>
      <c r="D8480" s="3" t="s">
        <v>19267</v>
      </c>
      <c r="E8480" s="3" t="s">
        <v>19268</v>
      </c>
      <c r="F8480" s="3" t="s">
        <v>19267</v>
      </c>
    </row>
    <row r="8481">
      <c r="A8481" s="3">
        <v>2848.0</v>
      </c>
      <c r="B8481" s="3" t="s">
        <v>11280</v>
      </c>
      <c r="C8481" s="3" t="s">
        <v>11281</v>
      </c>
      <c r="D8481" s="3" t="s">
        <v>19269</v>
      </c>
      <c r="E8481" s="3" t="s">
        <v>19270</v>
      </c>
      <c r="F8481" s="3" t="s">
        <v>19269</v>
      </c>
    </row>
    <row r="8482">
      <c r="A8482" s="3">
        <v>2849.0</v>
      </c>
      <c r="B8482" s="3" t="s">
        <v>11280</v>
      </c>
      <c r="C8482" s="3" t="s">
        <v>11281</v>
      </c>
      <c r="D8482" s="3" t="s">
        <v>19271</v>
      </c>
      <c r="E8482" s="3" t="s">
        <v>19272</v>
      </c>
      <c r="F8482" s="3" t="s">
        <v>19271</v>
      </c>
    </row>
    <row r="8483">
      <c r="A8483" s="3">
        <v>2850.0</v>
      </c>
      <c r="B8483" s="3" t="s">
        <v>11280</v>
      </c>
      <c r="C8483" s="3" t="s">
        <v>11281</v>
      </c>
      <c r="D8483" s="3" t="s">
        <v>19273</v>
      </c>
      <c r="E8483" s="3" t="s">
        <v>19274</v>
      </c>
      <c r="F8483" s="3" t="s">
        <v>19273</v>
      </c>
    </row>
    <row r="8484">
      <c r="A8484" s="3">
        <v>2851.0</v>
      </c>
      <c r="B8484" s="3" t="s">
        <v>11280</v>
      </c>
      <c r="C8484" s="3" t="s">
        <v>11281</v>
      </c>
      <c r="D8484" s="3" t="s">
        <v>19275</v>
      </c>
      <c r="E8484" s="3" t="s">
        <v>19276</v>
      </c>
      <c r="F8484" s="3" t="s">
        <v>19275</v>
      </c>
    </row>
    <row r="8485">
      <c r="A8485" s="3">
        <v>2852.0</v>
      </c>
      <c r="B8485" s="3" t="s">
        <v>11280</v>
      </c>
      <c r="C8485" s="3" t="s">
        <v>11281</v>
      </c>
      <c r="D8485" s="3" t="s">
        <v>19277</v>
      </c>
      <c r="E8485" s="3" t="s">
        <v>19278</v>
      </c>
      <c r="F8485" s="3" t="s">
        <v>19277</v>
      </c>
    </row>
    <row r="8486">
      <c r="A8486" s="3">
        <v>2853.0</v>
      </c>
      <c r="B8486" s="3" t="s">
        <v>11280</v>
      </c>
      <c r="C8486" s="3" t="s">
        <v>11281</v>
      </c>
      <c r="D8486" s="3" t="s">
        <v>19279</v>
      </c>
      <c r="E8486" s="3" t="s">
        <v>19280</v>
      </c>
      <c r="F8486" s="3" t="s">
        <v>19279</v>
      </c>
    </row>
    <row r="8487">
      <c r="A8487" s="3">
        <v>2854.0</v>
      </c>
      <c r="B8487" s="3" t="s">
        <v>11280</v>
      </c>
      <c r="C8487" s="3" t="s">
        <v>11281</v>
      </c>
      <c r="D8487" s="3" t="s">
        <v>14855</v>
      </c>
      <c r="E8487" s="3" t="s">
        <v>14854</v>
      </c>
      <c r="F8487" s="3" t="s">
        <v>14855</v>
      </c>
      <c r="G8487" s="3"/>
      <c r="H8487" s="3" t="s">
        <v>19281</v>
      </c>
      <c r="I8487" s="3" t="s">
        <v>19282</v>
      </c>
      <c r="J8487" s="3" t="s">
        <v>19283</v>
      </c>
      <c r="K8487" s="3" t="s">
        <v>19284</v>
      </c>
      <c r="L8487" s="3" t="s">
        <v>4901</v>
      </c>
      <c r="M8487" s="3" t="s">
        <v>19285</v>
      </c>
      <c r="N8487" s="3" t="s">
        <v>19286</v>
      </c>
    </row>
    <row r="8488">
      <c r="A8488" s="3">
        <v>2855.0</v>
      </c>
      <c r="B8488" s="3" t="s">
        <v>11280</v>
      </c>
      <c r="C8488" s="3" t="s">
        <v>11281</v>
      </c>
      <c r="D8488" s="3" t="s">
        <v>14858</v>
      </c>
      <c r="E8488" s="3" t="s">
        <v>14857</v>
      </c>
      <c r="F8488" s="3" t="s">
        <v>14858</v>
      </c>
    </row>
    <row r="8489">
      <c r="A8489" s="3">
        <v>2856.0</v>
      </c>
      <c r="B8489" s="3" t="s">
        <v>11280</v>
      </c>
      <c r="C8489" s="3" t="s">
        <v>11281</v>
      </c>
      <c r="D8489" s="3" t="s">
        <v>19287</v>
      </c>
      <c r="E8489" s="3" t="s">
        <v>19288</v>
      </c>
      <c r="F8489" s="3" t="s">
        <v>19289</v>
      </c>
    </row>
    <row r="8490">
      <c r="A8490" s="3">
        <v>2857.0</v>
      </c>
      <c r="B8490" s="3" t="s">
        <v>11280</v>
      </c>
      <c r="C8490" s="3" t="s">
        <v>11281</v>
      </c>
      <c r="D8490" s="3" t="s">
        <v>19290</v>
      </c>
      <c r="E8490" s="3" t="s">
        <v>19291</v>
      </c>
      <c r="F8490" s="3" t="s">
        <v>19292</v>
      </c>
    </row>
    <row r="8491">
      <c r="A8491" s="3">
        <v>2858.0</v>
      </c>
      <c r="B8491" s="3" t="s">
        <v>11280</v>
      </c>
      <c r="C8491" s="3" t="s">
        <v>11281</v>
      </c>
      <c r="D8491" s="3" t="s">
        <v>19293</v>
      </c>
      <c r="E8491" s="3" t="s">
        <v>19294</v>
      </c>
      <c r="F8491" s="3" t="s">
        <v>19295</v>
      </c>
      <c r="G8491" s="3"/>
      <c r="H8491" s="3" t="s">
        <v>19235</v>
      </c>
      <c r="I8491" s="3" t="s">
        <v>699</v>
      </c>
      <c r="J8491" s="3" t="s">
        <v>19234</v>
      </c>
      <c r="K8491" s="3" t="s">
        <v>699</v>
      </c>
      <c r="L8491" s="3" t="s">
        <v>19235</v>
      </c>
      <c r="M8491" s="3" t="s">
        <v>19236</v>
      </c>
      <c r="N8491" s="3" t="s">
        <v>19237</v>
      </c>
      <c r="O8491" s="3" t="s">
        <v>19238</v>
      </c>
      <c r="P8491" s="3" t="s">
        <v>12860</v>
      </c>
      <c r="Q8491" s="3" t="s">
        <v>699</v>
      </c>
      <c r="R8491" s="3" t="s">
        <v>19239</v>
      </c>
    </row>
    <row r="8492">
      <c r="A8492" s="3">
        <v>2859.0</v>
      </c>
      <c r="B8492" s="3" t="s">
        <v>11280</v>
      </c>
      <c r="C8492" s="3" t="s">
        <v>11281</v>
      </c>
      <c r="D8492" s="3" t="s">
        <v>19296</v>
      </c>
      <c r="E8492" s="3" t="s">
        <v>19297</v>
      </c>
      <c r="F8492" s="3" t="s">
        <v>19298</v>
      </c>
    </row>
    <row r="8493">
      <c r="A8493" s="3">
        <v>2860.0</v>
      </c>
      <c r="B8493" s="3" t="s">
        <v>11280</v>
      </c>
      <c r="C8493" s="3" t="s">
        <v>11281</v>
      </c>
      <c r="D8493" s="3" t="s">
        <v>19299</v>
      </c>
      <c r="E8493" s="3" t="s">
        <v>19300</v>
      </c>
      <c r="F8493" s="3" t="s">
        <v>19301</v>
      </c>
    </row>
    <row r="8494">
      <c r="A8494" s="3">
        <v>2861.0</v>
      </c>
      <c r="B8494" s="3" t="s">
        <v>11280</v>
      </c>
      <c r="C8494" s="3" t="s">
        <v>11281</v>
      </c>
      <c r="D8494" s="3" t="s">
        <v>19302</v>
      </c>
      <c r="E8494" s="3" t="s">
        <v>19303</v>
      </c>
      <c r="F8494" s="3" t="s">
        <v>19304</v>
      </c>
    </row>
    <row r="8495">
      <c r="A8495" s="3">
        <v>2862.0</v>
      </c>
      <c r="B8495" s="3" t="s">
        <v>11280</v>
      </c>
      <c r="C8495" s="3" t="s">
        <v>11281</v>
      </c>
      <c r="D8495" s="3" t="s">
        <v>19305</v>
      </c>
      <c r="E8495" s="3" t="s">
        <v>19306</v>
      </c>
      <c r="F8495" s="3" t="s">
        <v>19307</v>
      </c>
    </row>
    <row r="8496">
      <c r="A8496" s="3">
        <v>2863.0</v>
      </c>
      <c r="B8496" s="3" t="s">
        <v>11280</v>
      </c>
      <c r="C8496" s="3" t="s">
        <v>11281</v>
      </c>
      <c r="D8496" s="3" t="s">
        <v>6708</v>
      </c>
      <c r="E8496" s="3" t="s">
        <v>2267</v>
      </c>
      <c r="F8496" s="3" t="s">
        <v>2268</v>
      </c>
      <c r="G8496" s="3"/>
      <c r="H8496" s="3" t="s">
        <v>6709</v>
      </c>
      <c r="I8496" s="3" t="s">
        <v>6708</v>
      </c>
      <c r="J8496" s="3" t="s">
        <v>6710</v>
      </c>
    </row>
    <row r="8497">
      <c r="A8497" s="3">
        <v>2864.0</v>
      </c>
      <c r="B8497" s="3" t="s">
        <v>11280</v>
      </c>
      <c r="C8497" s="3" t="s">
        <v>11281</v>
      </c>
      <c r="D8497" s="3" t="s">
        <v>19308</v>
      </c>
      <c r="E8497" s="3" t="s">
        <v>18117</v>
      </c>
      <c r="F8497" s="3" t="s">
        <v>5494</v>
      </c>
    </row>
    <row r="8498">
      <c r="A8498" s="3">
        <v>2865.0</v>
      </c>
      <c r="B8498" s="3" t="s">
        <v>11280</v>
      </c>
      <c r="C8498" s="3" t="s">
        <v>11281</v>
      </c>
      <c r="D8498" s="3" t="s">
        <v>19309</v>
      </c>
      <c r="E8498" s="3" t="s">
        <v>19310</v>
      </c>
      <c r="F8498" s="3" t="s">
        <v>19311</v>
      </c>
      <c r="G8498" s="3"/>
      <c r="H8498" s="3" t="s">
        <v>19312</v>
      </c>
      <c r="I8498" s="3" t="s">
        <v>19313</v>
      </c>
      <c r="J8498" s="3" t="s">
        <v>19314</v>
      </c>
      <c r="K8498" s="3" t="s">
        <v>19315</v>
      </c>
    </row>
    <row r="8499">
      <c r="A8499" s="3">
        <v>2866.0</v>
      </c>
      <c r="B8499" s="3" t="s">
        <v>11280</v>
      </c>
      <c r="C8499" s="3" t="s">
        <v>11281</v>
      </c>
      <c r="D8499" s="3" t="s">
        <v>19316</v>
      </c>
      <c r="E8499" s="3" t="s">
        <v>19317</v>
      </c>
      <c r="F8499" s="3" t="s">
        <v>19318</v>
      </c>
    </row>
    <row r="8500">
      <c r="A8500" s="3">
        <v>2867.0</v>
      </c>
      <c r="B8500" s="3" t="s">
        <v>11280</v>
      </c>
      <c r="C8500" s="3" t="s">
        <v>11281</v>
      </c>
      <c r="D8500" s="3" t="s">
        <v>19319</v>
      </c>
      <c r="E8500" s="3" t="s">
        <v>19320</v>
      </c>
      <c r="F8500" s="3" t="s">
        <v>19321</v>
      </c>
    </row>
    <row r="8501">
      <c r="A8501" s="3">
        <v>2868.0</v>
      </c>
      <c r="B8501" s="3" t="s">
        <v>11280</v>
      </c>
      <c r="C8501" s="3" t="s">
        <v>11281</v>
      </c>
      <c r="D8501" s="3" t="s">
        <v>19322</v>
      </c>
      <c r="E8501" s="3" t="s">
        <v>18134</v>
      </c>
      <c r="F8501" s="3" t="s">
        <v>5503</v>
      </c>
    </row>
    <row r="8502">
      <c r="A8502" s="3">
        <v>2869.0</v>
      </c>
      <c r="B8502" s="3" t="s">
        <v>11280</v>
      </c>
      <c r="C8502" s="3" t="s">
        <v>11281</v>
      </c>
      <c r="D8502" s="3" t="s">
        <v>19323</v>
      </c>
      <c r="E8502" s="3" t="s">
        <v>19324</v>
      </c>
      <c r="F8502" s="3" t="s">
        <v>19325</v>
      </c>
    </row>
    <row r="8503">
      <c r="A8503" s="3">
        <v>2870.0</v>
      </c>
      <c r="B8503" s="3" t="s">
        <v>11280</v>
      </c>
      <c r="C8503" s="3" t="s">
        <v>11281</v>
      </c>
      <c r="D8503" s="3" t="s">
        <v>19326</v>
      </c>
      <c r="E8503" s="3" t="s">
        <v>19327</v>
      </c>
      <c r="F8503" s="3" t="s">
        <v>19328</v>
      </c>
    </row>
    <row r="8504">
      <c r="A8504" s="3">
        <v>2871.0</v>
      </c>
      <c r="B8504" s="3" t="s">
        <v>11280</v>
      </c>
      <c r="C8504" s="3" t="s">
        <v>11281</v>
      </c>
      <c r="D8504" s="3" t="s">
        <v>19329</v>
      </c>
      <c r="E8504" s="3" t="s">
        <v>5691</v>
      </c>
      <c r="F8504" s="3" t="s">
        <v>5692</v>
      </c>
      <c r="G8504" s="3"/>
      <c r="H8504" s="3" t="s">
        <v>19330</v>
      </c>
      <c r="I8504" s="3" t="s">
        <v>19331</v>
      </c>
    </row>
    <row r="8505">
      <c r="A8505" s="3">
        <v>2872.0</v>
      </c>
      <c r="B8505" s="3" t="s">
        <v>11280</v>
      </c>
      <c r="C8505" s="3" t="s">
        <v>11281</v>
      </c>
      <c r="D8505" s="3" t="s">
        <v>19332</v>
      </c>
      <c r="E8505" s="3" t="s">
        <v>19333</v>
      </c>
      <c r="F8505" s="3" t="s">
        <v>19334</v>
      </c>
    </row>
    <row r="8506">
      <c r="A8506" s="3">
        <v>2873.0</v>
      </c>
      <c r="B8506" s="3" t="s">
        <v>11280</v>
      </c>
      <c r="C8506" s="3" t="s">
        <v>11281</v>
      </c>
      <c r="D8506" s="3" t="s">
        <v>19335</v>
      </c>
      <c r="E8506" s="3" t="s">
        <v>19336</v>
      </c>
      <c r="F8506" s="3" t="s">
        <v>19337</v>
      </c>
    </row>
    <row r="8507">
      <c r="A8507" s="3">
        <v>2874.0</v>
      </c>
      <c r="B8507" s="3" t="s">
        <v>11280</v>
      </c>
      <c r="C8507" s="3" t="s">
        <v>11281</v>
      </c>
      <c r="D8507" s="3" t="s">
        <v>19338</v>
      </c>
      <c r="E8507" s="3" t="s">
        <v>19339</v>
      </c>
      <c r="F8507" s="3" t="s">
        <v>19340</v>
      </c>
    </row>
    <row r="8508">
      <c r="A8508" s="3">
        <v>2875.0</v>
      </c>
      <c r="B8508" s="3" t="s">
        <v>11280</v>
      </c>
      <c r="C8508" s="3" t="s">
        <v>11281</v>
      </c>
      <c r="D8508" s="3" t="s">
        <v>19341</v>
      </c>
      <c r="E8508" s="3" t="s">
        <v>19342</v>
      </c>
      <c r="F8508" s="3" t="s">
        <v>19343</v>
      </c>
    </row>
    <row r="8509">
      <c r="A8509" s="3">
        <v>2876.0</v>
      </c>
      <c r="B8509" s="3" t="s">
        <v>11280</v>
      </c>
      <c r="C8509" s="3" t="s">
        <v>11281</v>
      </c>
      <c r="D8509" s="3" t="s">
        <v>19344</v>
      </c>
      <c r="E8509" s="3" t="s">
        <v>19345</v>
      </c>
      <c r="F8509" s="3" t="s">
        <v>19346</v>
      </c>
    </row>
    <row r="8510">
      <c r="A8510" s="3">
        <v>2877.0</v>
      </c>
      <c r="B8510" s="3" t="s">
        <v>11280</v>
      </c>
      <c r="C8510" s="3" t="s">
        <v>11281</v>
      </c>
      <c r="D8510" s="3" t="s">
        <v>19347</v>
      </c>
      <c r="E8510" s="3" t="s">
        <v>5700</v>
      </c>
      <c r="F8510" s="3" t="s">
        <v>5701</v>
      </c>
    </row>
    <row r="8511">
      <c r="A8511" s="3">
        <v>2878.0</v>
      </c>
      <c r="B8511" s="3" t="s">
        <v>11280</v>
      </c>
      <c r="C8511" s="3" t="s">
        <v>11281</v>
      </c>
      <c r="D8511" s="3" t="s">
        <v>19348</v>
      </c>
      <c r="E8511" s="3" t="s">
        <v>19349</v>
      </c>
      <c r="F8511" s="3" t="s">
        <v>19350</v>
      </c>
    </row>
    <row r="8512">
      <c r="A8512" s="3">
        <v>2879.0</v>
      </c>
      <c r="B8512" s="3" t="s">
        <v>11280</v>
      </c>
      <c r="C8512" s="3" t="s">
        <v>11281</v>
      </c>
      <c r="D8512" s="3" t="s">
        <v>19351</v>
      </c>
      <c r="E8512" s="3" t="s">
        <v>19352</v>
      </c>
      <c r="F8512" s="3" t="s">
        <v>19353</v>
      </c>
    </row>
    <row r="8513">
      <c r="A8513" s="3">
        <v>2880.0</v>
      </c>
      <c r="B8513" s="3" t="s">
        <v>11280</v>
      </c>
      <c r="C8513" s="3" t="s">
        <v>11281</v>
      </c>
      <c r="D8513" s="3" t="s">
        <v>19354</v>
      </c>
      <c r="E8513" s="3" t="s">
        <v>19355</v>
      </c>
      <c r="F8513" s="3" t="s">
        <v>19356</v>
      </c>
    </row>
    <row r="8514">
      <c r="A8514" s="3">
        <v>2881.0</v>
      </c>
      <c r="B8514" s="3" t="s">
        <v>11280</v>
      </c>
      <c r="C8514" s="3" t="s">
        <v>11281</v>
      </c>
      <c r="D8514" s="3" t="s">
        <v>19357</v>
      </c>
      <c r="E8514" s="3" t="s">
        <v>19358</v>
      </c>
      <c r="F8514" s="3" t="s">
        <v>19359</v>
      </c>
    </row>
    <row r="8515">
      <c r="A8515" s="3">
        <v>2882.0</v>
      </c>
      <c r="B8515" s="3" t="s">
        <v>11280</v>
      </c>
      <c r="C8515" s="3" t="s">
        <v>11281</v>
      </c>
      <c r="D8515" s="3" t="s">
        <v>19360</v>
      </c>
      <c r="E8515" s="3" t="s">
        <v>19361</v>
      </c>
      <c r="F8515" s="3" t="s">
        <v>19362</v>
      </c>
    </row>
    <row r="8516">
      <c r="A8516" s="3">
        <v>2883.0</v>
      </c>
      <c r="B8516" s="3" t="s">
        <v>11280</v>
      </c>
      <c r="C8516" s="3" t="s">
        <v>11281</v>
      </c>
      <c r="D8516" s="3" t="s">
        <v>19363</v>
      </c>
      <c r="E8516" s="3" t="s">
        <v>19364</v>
      </c>
      <c r="F8516" s="3" t="s">
        <v>19365</v>
      </c>
    </row>
    <row r="8517">
      <c r="A8517" s="3">
        <v>2884.0</v>
      </c>
      <c r="B8517" s="3" t="s">
        <v>11280</v>
      </c>
      <c r="C8517" s="3" t="s">
        <v>11281</v>
      </c>
      <c r="D8517" s="3" t="s">
        <v>19366</v>
      </c>
      <c r="E8517" s="3" t="s">
        <v>19367</v>
      </c>
      <c r="F8517" s="3" t="s">
        <v>19368</v>
      </c>
    </row>
    <row r="8518">
      <c r="A8518" s="3">
        <v>2885.0</v>
      </c>
      <c r="B8518" s="3" t="s">
        <v>11280</v>
      </c>
      <c r="C8518" s="3" t="s">
        <v>11281</v>
      </c>
      <c r="D8518" s="3" t="s">
        <v>19369</v>
      </c>
      <c r="E8518" s="3" t="s">
        <v>19370</v>
      </c>
      <c r="F8518" s="3" t="s">
        <v>19371</v>
      </c>
    </row>
    <row r="8519">
      <c r="A8519" s="3">
        <v>2886.0</v>
      </c>
      <c r="B8519" s="3" t="s">
        <v>11280</v>
      </c>
      <c r="C8519" s="3" t="s">
        <v>11281</v>
      </c>
      <c r="D8519" s="3" t="s">
        <v>19372</v>
      </c>
      <c r="E8519" s="3" t="s">
        <v>19373</v>
      </c>
      <c r="F8519" s="3" t="s">
        <v>19374</v>
      </c>
    </row>
    <row r="8520">
      <c r="A8520" s="3">
        <v>2887.0</v>
      </c>
      <c r="B8520" s="3" t="s">
        <v>11280</v>
      </c>
      <c r="C8520" s="3" t="s">
        <v>11281</v>
      </c>
      <c r="D8520" s="3" t="s">
        <v>19375</v>
      </c>
      <c r="E8520" s="3" t="s">
        <v>19376</v>
      </c>
      <c r="F8520" s="3" t="s">
        <v>19377</v>
      </c>
    </row>
    <row r="8521">
      <c r="A8521" s="3">
        <v>2888.0</v>
      </c>
      <c r="B8521" s="3" t="s">
        <v>11280</v>
      </c>
      <c r="C8521" s="3" t="s">
        <v>11281</v>
      </c>
      <c r="D8521" s="3" t="s">
        <v>19378</v>
      </c>
      <c r="E8521" s="3" t="s">
        <v>8644</v>
      </c>
      <c r="F8521" s="3" t="s">
        <v>8645</v>
      </c>
    </row>
    <row r="8522">
      <c r="A8522" s="3">
        <v>2889.0</v>
      </c>
      <c r="B8522" s="3" t="s">
        <v>11280</v>
      </c>
      <c r="C8522" s="3" t="s">
        <v>11281</v>
      </c>
      <c r="D8522" s="3" t="s">
        <v>19379</v>
      </c>
      <c r="E8522" s="3" t="s">
        <v>19380</v>
      </c>
      <c r="F8522" s="3" t="s">
        <v>19381</v>
      </c>
    </row>
    <row r="8523">
      <c r="A8523" s="3">
        <v>2890.0</v>
      </c>
      <c r="B8523" s="3" t="s">
        <v>11280</v>
      </c>
      <c r="C8523" s="3" t="s">
        <v>11281</v>
      </c>
      <c r="D8523" s="3" t="s">
        <v>19382</v>
      </c>
      <c r="E8523" s="3" t="s">
        <v>18289</v>
      </c>
      <c r="F8523" s="3" t="s">
        <v>18288</v>
      </c>
    </row>
    <row r="8524">
      <c r="A8524" s="3">
        <v>2891.0</v>
      </c>
      <c r="B8524" s="3" t="s">
        <v>11280</v>
      </c>
      <c r="C8524" s="3" t="s">
        <v>11281</v>
      </c>
      <c r="D8524" s="3" t="s">
        <v>19383</v>
      </c>
      <c r="E8524" s="3" t="s">
        <v>19384</v>
      </c>
      <c r="F8524" s="3" t="s">
        <v>19385</v>
      </c>
      <c r="G8524" s="3"/>
      <c r="H8524" s="3" t="s">
        <v>19386</v>
      </c>
      <c r="I8524" s="3" t="s">
        <v>19387</v>
      </c>
      <c r="J8524" s="3" t="s">
        <v>19388</v>
      </c>
      <c r="K8524" s="3" t="s">
        <v>19389</v>
      </c>
      <c r="L8524" s="3" t="s">
        <v>19390</v>
      </c>
    </row>
    <row r="8525">
      <c r="A8525" s="3">
        <v>2892.0</v>
      </c>
      <c r="B8525" s="3" t="s">
        <v>11280</v>
      </c>
      <c r="C8525" s="3" t="s">
        <v>11281</v>
      </c>
      <c r="D8525" s="3" t="s">
        <v>19391</v>
      </c>
      <c r="E8525" s="3" t="s">
        <v>19392</v>
      </c>
      <c r="F8525" s="3" t="s">
        <v>19393</v>
      </c>
    </row>
    <row r="8526">
      <c r="A8526" s="3">
        <v>2893.0</v>
      </c>
      <c r="B8526" s="3" t="s">
        <v>11280</v>
      </c>
      <c r="C8526" s="3" t="s">
        <v>11281</v>
      </c>
      <c r="D8526" s="3" t="s">
        <v>19394</v>
      </c>
      <c r="E8526" s="3" t="s">
        <v>1451</v>
      </c>
      <c r="F8526" s="3" t="s">
        <v>1452</v>
      </c>
    </row>
    <row r="8527">
      <c r="A8527" s="3">
        <v>2894.0</v>
      </c>
      <c r="B8527" s="3" t="s">
        <v>11280</v>
      </c>
      <c r="C8527" s="3" t="s">
        <v>11281</v>
      </c>
      <c r="D8527" s="3" t="s">
        <v>19395</v>
      </c>
      <c r="E8527" s="3" t="s">
        <v>9844</v>
      </c>
      <c r="F8527" s="3" t="s">
        <v>9845</v>
      </c>
    </row>
    <row r="8528">
      <c r="A8528" s="3">
        <v>2895.0</v>
      </c>
      <c r="B8528" s="3" t="s">
        <v>11280</v>
      </c>
      <c r="C8528" s="3" t="s">
        <v>11281</v>
      </c>
      <c r="D8528" s="3" t="s">
        <v>19396</v>
      </c>
      <c r="E8528" s="3" t="s">
        <v>19397</v>
      </c>
      <c r="F8528" s="3" t="s">
        <v>19398</v>
      </c>
    </row>
    <row r="8529">
      <c r="A8529" s="3">
        <v>2896.0</v>
      </c>
      <c r="B8529" s="3" t="s">
        <v>11280</v>
      </c>
      <c r="C8529" s="3" t="s">
        <v>11281</v>
      </c>
      <c r="D8529" s="3" t="s">
        <v>19399</v>
      </c>
      <c r="E8529" s="3" t="s">
        <v>19400</v>
      </c>
      <c r="F8529" s="3" t="s">
        <v>19401</v>
      </c>
    </row>
    <row r="8530">
      <c r="A8530" s="3">
        <v>2897.0</v>
      </c>
      <c r="B8530" s="3" t="s">
        <v>11280</v>
      </c>
      <c r="C8530" s="3" t="s">
        <v>11281</v>
      </c>
      <c r="D8530" s="3" t="s">
        <v>19402</v>
      </c>
      <c r="E8530" s="3" t="s">
        <v>19403</v>
      </c>
      <c r="F8530" s="3" t="s">
        <v>19404</v>
      </c>
    </row>
    <row r="8531">
      <c r="A8531" s="3">
        <v>2898.0</v>
      </c>
      <c r="B8531" s="3" t="s">
        <v>11280</v>
      </c>
      <c r="C8531" s="3" t="s">
        <v>11281</v>
      </c>
      <c r="D8531" s="3" t="s">
        <v>19405</v>
      </c>
      <c r="E8531" s="3" t="s">
        <v>19406</v>
      </c>
      <c r="F8531" s="3" t="s">
        <v>19407</v>
      </c>
    </row>
    <row r="8532">
      <c r="A8532" s="3">
        <v>2899.0</v>
      </c>
      <c r="B8532" s="3" t="s">
        <v>11280</v>
      </c>
      <c r="C8532" s="3" t="s">
        <v>11281</v>
      </c>
      <c r="D8532" s="3" t="s">
        <v>19408</v>
      </c>
      <c r="E8532" s="3" t="s">
        <v>19409</v>
      </c>
      <c r="F8532" s="3" t="s">
        <v>19410</v>
      </c>
    </row>
    <row r="8533">
      <c r="A8533" s="3">
        <v>2900.0</v>
      </c>
      <c r="B8533" s="3" t="s">
        <v>11280</v>
      </c>
      <c r="C8533" s="3" t="s">
        <v>11281</v>
      </c>
      <c r="D8533" s="3" t="s">
        <v>19411</v>
      </c>
      <c r="E8533" s="3" t="s">
        <v>19412</v>
      </c>
      <c r="F8533" s="3" t="s">
        <v>19413</v>
      </c>
    </row>
    <row r="8534">
      <c r="A8534" s="3">
        <v>2901.0</v>
      </c>
      <c r="B8534" s="3" t="s">
        <v>11280</v>
      </c>
      <c r="C8534" s="3" t="s">
        <v>11281</v>
      </c>
      <c r="D8534" s="3" t="s">
        <v>19414</v>
      </c>
      <c r="E8534" s="3" t="s">
        <v>19415</v>
      </c>
      <c r="F8534" s="3" t="s">
        <v>19416</v>
      </c>
    </row>
    <row r="8535">
      <c r="A8535" s="3">
        <v>2902.0</v>
      </c>
      <c r="B8535" s="3" t="s">
        <v>11280</v>
      </c>
      <c r="C8535" s="3" t="s">
        <v>11281</v>
      </c>
      <c r="D8535" s="3" t="s">
        <v>19417</v>
      </c>
      <c r="E8535" s="3" t="s">
        <v>19418</v>
      </c>
      <c r="F8535" s="3" t="s">
        <v>19419</v>
      </c>
    </row>
    <row r="8536">
      <c r="A8536" s="3">
        <v>2903.0</v>
      </c>
      <c r="B8536" s="3" t="s">
        <v>11280</v>
      </c>
      <c r="C8536" s="3" t="s">
        <v>11281</v>
      </c>
      <c r="D8536" s="3" t="s">
        <v>19420</v>
      </c>
      <c r="E8536" s="3" t="s">
        <v>19421</v>
      </c>
      <c r="F8536" s="3" t="s">
        <v>19422</v>
      </c>
    </row>
    <row r="8537">
      <c r="A8537" s="3">
        <v>1.0</v>
      </c>
      <c r="B8537" s="3" t="s">
        <v>19423</v>
      </c>
      <c r="C8537" s="3" t="s">
        <v>11281</v>
      </c>
      <c r="D8537" s="3" t="s">
        <v>191</v>
      </c>
      <c r="E8537" s="3" t="s">
        <v>192</v>
      </c>
      <c r="F8537" s="3" t="s">
        <v>191</v>
      </c>
      <c r="G8537" s="3"/>
      <c r="H8537" s="3" t="s">
        <v>198</v>
      </c>
      <c r="I8537" s="3" t="s">
        <v>191</v>
      </c>
    </row>
    <row r="8538">
      <c r="A8538" s="3">
        <v>2.0</v>
      </c>
      <c r="B8538" s="3" t="s">
        <v>19423</v>
      </c>
      <c r="C8538" s="3" t="s">
        <v>11281</v>
      </c>
      <c r="D8538" s="3" t="s">
        <v>11282</v>
      </c>
      <c r="E8538" s="3" t="s">
        <v>11283</v>
      </c>
      <c r="F8538" s="3" t="s">
        <v>11284</v>
      </c>
    </row>
    <row r="8539">
      <c r="A8539" s="3">
        <v>3.0</v>
      </c>
      <c r="B8539" s="3" t="s">
        <v>19423</v>
      </c>
      <c r="C8539" s="3" t="s">
        <v>11281</v>
      </c>
      <c r="D8539" s="3" t="s">
        <v>11285</v>
      </c>
      <c r="E8539" s="3" t="s">
        <v>11286</v>
      </c>
      <c r="F8539" s="3" t="s">
        <v>11287</v>
      </c>
    </row>
    <row r="8540">
      <c r="A8540" s="3">
        <v>4.0</v>
      </c>
      <c r="B8540" s="3" t="s">
        <v>19423</v>
      </c>
      <c r="C8540" s="3" t="s">
        <v>11281</v>
      </c>
      <c r="D8540" s="3" t="s">
        <v>11288</v>
      </c>
      <c r="E8540" s="3" t="s">
        <v>11289</v>
      </c>
      <c r="F8540" s="3" t="s">
        <v>11290</v>
      </c>
      <c r="G8540" s="3"/>
      <c r="H8540" s="3" t="s">
        <v>11291</v>
      </c>
      <c r="I8540" s="3" t="s">
        <v>11292</v>
      </c>
      <c r="J8540" s="3" t="s">
        <v>11293</v>
      </c>
      <c r="K8540" s="3" t="s">
        <v>11294</v>
      </c>
    </row>
    <row r="8541">
      <c r="A8541" s="3">
        <v>5.0</v>
      </c>
      <c r="B8541" s="3" t="s">
        <v>19423</v>
      </c>
      <c r="C8541" s="3" t="s">
        <v>11281</v>
      </c>
      <c r="D8541" s="3" t="s">
        <v>11295</v>
      </c>
      <c r="E8541" s="3" t="s">
        <v>11296</v>
      </c>
      <c r="F8541" s="3" t="s">
        <v>11297</v>
      </c>
    </row>
    <row r="8542">
      <c r="A8542" s="3">
        <v>6.0</v>
      </c>
      <c r="B8542" s="3" t="s">
        <v>19423</v>
      </c>
      <c r="C8542" s="3" t="s">
        <v>11281</v>
      </c>
      <c r="D8542" s="3" t="s">
        <v>11298</v>
      </c>
      <c r="E8542" s="3" t="s">
        <v>11299</v>
      </c>
      <c r="F8542" s="3" t="s">
        <v>11300</v>
      </c>
    </row>
    <row r="8543">
      <c r="A8543" s="3">
        <v>7.0</v>
      </c>
      <c r="B8543" s="3" t="s">
        <v>19423</v>
      </c>
      <c r="C8543" s="3" t="s">
        <v>11281</v>
      </c>
      <c r="D8543" s="3" t="s">
        <v>11301</v>
      </c>
      <c r="E8543" s="3" t="s">
        <v>11302</v>
      </c>
      <c r="F8543" s="3" t="s">
        <v>11303</v>
      </c>
    </row>
    <row r="8544">
      <c r="A8544" s="3">
        <v>8.0</v>
      </c>
      <c r="B8544" s="3" t="s">
        <v>19423</v>
      </c>
      <c r="C8544" s="3" t="s">
        <v>11281</v>
      </c>
      <c r="D8544" s="3" t="s">
        <v>11304</v>
      </c>
      <c r="E8544" s="3" t="s">
        <v>11305</v>
      </c>
      <c r="F8544" s="3" t="s">
        <v>11306</v>
      </c>
    </row>
    <row r="8545">
      <c r="A8545" s="3">
        <v>9.0</v>
      </c>
      <c r="B8545" s="3" t="s">
        <v>19423</v>
      </c>
      <c r="C8545" s="3" t="s">
        <v>11281</v>
      </c>
      <c r="D8545" s="3" t="s">
        <v>11307</v>
      </c>
      <c r="E8545" s="3" t="s">
        <v>11308</v>
      </c>
      <c r="F8545" s="3" t="s">
        <v>11309</v>
      </c>
    </row>
    <row r="8546">
      <c r="A8546" s="3">
        <v>10.0</v>
      </c>
      <c r="B8546" s="3" t="s">
        <v>19423</v>
      </c>
      <c r="C8546" s="3" t="s">
        <v>11281</v>
      </c>
      <c r="D8546" s="3" t="s">
        <v>11310</v>
      </c>
      <c r="E8546" s="3" t="s">
        <v>11311</v>
      </c>
      <c r="F8546" s="3" t="s">
        <v>11312</v>
      </c>
    </row>
    <row r="8547">
      <c r="A8547" s="3">
        <v>11.0</v>
      </c>
      <c r="B8547" s="3" t="s">
        <v>19423</v>
      </c>
      <c r="C8547" s="3" t="s">
        <v>11281</v>
      </c>
      <c r="D8547" s="3" t="s">
        <v>11313</v>
      </c>
      <c r="E8547" s="3" t="s">
        <v>11314</v>
      </c>
      <c r="F8547" s="3" t="s">
        <v>11315</v>
      </c>
      <c r="G8547" s="3"/>
      <c r="H8547" s="3" t="s">
        <v>11316</v>
      </c>
    </row>
    <row r="8548">
      <c r="A8548" s="3">
        <v>12.0</v>
      </c>
      <c r="B8548" s="3" t="s">
        <v>19423</v>
      </c>
      <c r="C8548" s="3" t="s">
        <v>11281</v>
      </c>
      <c r="D8548" s="3" t="s">
        <v>11317</v>
      </c>
      <c r="E8548" s="3" t="s">
        <v>11318</v>
      </c>
      <c r="F8548" s="3" t="s">
        <v>11319</v>
      </c>
    </row>
    <row r="8549">
      <c r="A8549" s="3">
        <v>13.0</v>
      </c>
      <c r="B8549" s="3" t="s">
        <v>19423</v>
      </c>
      <c r="C8549" s="3" t="s">
        <v>11281</v>
      </c>
      <c r="D8549" s="3" t="s">
        <v>11320</v>
      </c>
      <c r="E8549" s="3" t="s">
        <v>11321</v>
      </c>
      <c r="F8549" s="3" t="s">
        <v>11322</v>
      </c>
    </row>
    <row r="8550">
      <c r="A8550" s="3">
        <v>14.0</v>
      </c>
      <c r="B8550" s="3" t="s">
        <v>19423</v>
      </c>
      <c r="C8550" s="3" t="s">
        <v>11281</v>
      </c>
      <c r="D8550" s="3" t="s">
        <v>11323</v>
      </c>
      <c r="E8550" s="3" t="s">
        <v>11324</v>
      </c>
      <c r="F8550" s="3" t="s">
        <v>11325</v>
      </c>
    </row>
    <row r="8551">
      <c r="A8551" s="3">
        <v>15.0</v>
      </c>
      <c r="B8551" s="3" t="s">
        <v>19423</v>
      </c>
      <c r="C8551" s="3" t="s">
        <v>11281</v>
      </c>
      <c r="D8551" s="3" t="s">
        <v>11326</v>
      </c>
      <c r="E8551" s="3" t="s">
        <v>11327</v>
      </c>
      <c r="F8551" s="3" t="s">
        <v>11328</v>
      </c>
    </row>
    <row r="8552">
      <c r="A8552" s="3">
        <v>16.0</v>
      </c>
      <c r="B8552" s="3" t="s">
        <v>19423</v>
      </c>
      <c r="C8552" s="3" t="s">
        <v>11281</v>
      </c>
      <c r="D8552" s="3" t="s">
        <v>11329</v>
      </c>
      <c r="E8552" s="3" t="s">
        <v>11330</v>
      </c>
      <c r="F8552" s="3" t="s">
        <v>11331</v>
      </c>
    </row>
    <row r="8553">
      <c r="A8553" s="3">
        <v>17.0</v>
      </c>
      <c r="B8553" s="3" t="s">
        <v>19423</v>
      </c>
      <c r="C8553" s="3" t="s">
        <v>11281</v>
      </c>
      <c r="D8553" s="3" t="s">
        <v>11332</v>
      </c>
      <c r="E8553" s="3" t="s">
        <v>11333</v>
      </c>
      <c r="F8553" s="3" t="s">
        <v>11334</v>
      </c>
    </row>
    <row r="8554">
      <c r="A8554" s="3">
        <v>18.0</v>
      </c>
      <c r="B8554" s="3" t="s">
        <v>19423</v>
      </c>
      <c r="C8554" s="3" t="s">
        <v>11281</v>
      </c>
      <c r="D8554" s="3" t="s">
        <v>11335</v>
      </c>
      <c r="E8554" s="3" t="s">
        <v>11336</v>
      </c>
      <c r="F8554" s="3" t="s">
        <v>11337</v>
      </c>
    </row>
    <row r="8555">
      <c r="A8555" s="3">
        <v>19.0</v>
      </c>
      <c r="B8555" s="3" t="s">
        <v>19423</v>
      </c>
      <c r="C8555" s="3" t="s">
        <v>11281</v>
      </c>
      <c r="D8555" s="3" t="s">
        <v>11338</v>
      </c>
      <c r="E8555" s="3" t="s">
        <v>11339</v>
      </c>
      <c r="F8555" s="3" t="s">
        <v>11340</v>
      </c>
    </row>
    <row r="8556">
      <c r="A8556" s="3">
        <v>20.0</v>
      </c>
      <c r="B8556" s="3" t="s">
        <v>19423</v>
      </c>
      <c r="C8556" s="3" t="s">
        <v>11281</v>
      </c>
      <c r="D8556" s="3" t="s">
        <v>11341</v>
      </c>
      <c r="E8556" s="3" t="s">
        <v>11342</v>
      </c>
      <c r="F8556" s="3" t="s">
        <v>11343</v>
      </c>
    </row>
    <row r="8557">
      <c r="A8557" s="3">
        <v>21.0</v>
      </c>
      <c r="B8557" s="3" t="s">
        <v>19423</v>
      </c>
      <c r="C8557" s="3" t="s">
        <v>11281</v>
      </c>
      <c r="D8557" s="3" t="s">
        <v>11344</v>
      </c>
      <c r="E8557" s="3" t="s">
        <v>11345</v>
      </c>
      <c r="F8557" s="3" t="s">
        <v>11346</v>
      </c>
    </row>
    <row r="8558">
      <c r="A8558" s="3">
        <v>22.0</v>
      </c>
      <c r="B8558" s="3" t="s">
        <v>19423</v>
      </c>
      <c r="C8558" s="3" t="s">
        <v>11281</v>
      </c>
      <c r="D8558" s="3" t="s">
        <v>11347</v>
      </c>
      <c r="E8558" s="3" t="s">
        <v>11348</v>
      </c>
      <c r="F8558" s="3" t="s">
        <v>11349</v>
      </c>
    </row>
    <row r="8559">
      <c r="A8559" s="3">
        <v>23.0</v>
      </c>
      <c r="B8559" s="3" t="s">
        <v>19423</v>
      </c>
      <c r="C8559" s="3" t="s">
        <v>11281</v>
      </c>
      <c r="D8559" s="3" t="s">
        <v>11350</v>
      </c>
      <c r="E8559" s="3" t="s">
        <v>11351</v>
      </c>
      <c r="F8559" s="3" t="s">
        <v>11352</v>
      </c>
    </row>
    <row r="8560">
      <c r="A8560" s="3">
        <v>24.0</v>
      </c>
      <c r="B8560" s="3" t="s">
        <v>19423</v>
      </c>
      <c r="C8560" s="3" t="s">
        <v>11281</v>
      </c>
      <c r="D8560" s="3" t="s">
        <v>11353</v>
      </c>
      <c r="E8560" s="3" t="s">
        <v>11354</v>
      </c>
      <c r="F8560" s="3" t="s">
        <v>11355</v>
      </c>
    </row>
    <row r="8561">
      <c r="A8561" s="3">
        <v>25.0</v>
      </c>
      <c r="B8561" s="3" t="s">
        <v>19423</v>
      </c>
      <c r="C8561" s="3" t="s">
        <v>11281</v>
      </c>
      <c r="D8561" s="3" t="s">
        <v>11356</v>
      </c>
      <c r="E8561" s="3" t="s">
        <v>11357</v>
      </c>
      <c r="F8561" s="3" t="s">
        <v>11358</v>
      </c>
    </row>
    <row r="8562">
      <c r="A8562" s="3">
        <v>26.0</v>
      </c>
      <c r="B8562" s="3" t="s">
        <v>19423</v>
      </c>
      <c r="C8562" s="3" t="s">
        <v>11281</v>
      </c>
      <c r="D8562" s="3" t="s">
        <v>11359</v>
      </c>
      <c r="E8562" s="3" t="s">
        <v>11360</v>
      </c>
      <c r="F8562" s="3" t="s">
        <v>11361</v>
      </c>
    </row>
    <row r="8563">
      <c r="A8563" s="3">
        <v>27.0</v>
      </c>
      <c r="B8563" s="3" t="s">
        <v>19423</v>
      </c>
      <c r="C8563" s="3" t="s">
        <v>11281</v>
      </c>
      <c r="D8563" s="3" t="s">
        <v>11362</v>
      </c>
      <c r="E8563" s="3" t="s">
        <v>11363</v>
      </c>
      <c r="F8563" s="3" t="s">
        <v>11364</v>
      </c>
    </row>
    <row r="8564">
      <c r="A8564" s="3">
        <v>28.0</v>
      </c>
      <c r="B8564" s="3" t="s">
        <v>19423</v>
      </c>
      <c r="C8564" s="3" t="s">
        <v>11281</v>
      </c>
      <c r="D8564" s="3" t="s">
        <v>11365</v>
      </c>
      <c r="E8564" s="3" t="s">
        <v>11366</v>
      </c>
      <c r="F8564" s="3" t="s">
        <v>11367</v>
      </c>
    </row>
    <row r="8565">
      <c r="A8565" s="3">
        <v>29.0</v>
      </c>
      <c r="B8565" s="3" t="s">
        <v>19423</v>
      </c>
      <c r="C8565" s="3" t="s">
        <v>11281</v>
      </c>
      <c r="D8565" s="3" t="s">
        <v>11368</v>
      </c>
      <c r="E8565" s="3" t="s">
        <v>11369</v>
      </c>
      <c r="F8565" s="3" t="s">
        <v>11370</v>
      </c>
    </row>
    <row r="8566">
      <c r="A8566" s="3">
        <v>30.0</v>
      </c>
      <c r="B8566" s="3" t="s">
        <v>19423</v>
      </c>
      <c r="C8566" s="3" t="s">
        <v>11281</v>
      </c>
      <c r="D8566" s="3" t="s">
        <v>11371</v>
      </c>
      <c r="E8566" s="3" t="s">
        <v>11372</v>
      </c>
      <c r="F8566" s="3" t="s">
        <v>11373</v>
      </c>
    </row>
    <row r="8567">
      <c r="A8567" s="3">
        <v>31.0</v>
      </c>
      <c r="B8567" s="3" t="s">
        <v>19423</v>
      </c>
      <c r="C8567" s="3" t="s">
        <v>11281</v>
      </c>
      <c r="D8567" s="3" t="s">
        <v>11374</v>
      </c>
      <c r="E8567" s="3" t="s">
        <v>11375</v>
      </c>
      <c r="F8567" s="3" t="s">
        <v>11376</v>
      </c>
    </row>
    <row r="8568">
      <c r="A8568" s="3">
        <v>32.0</v>
      </c>
      <c r="B8568" s="3" t="s">
        <v>19423</v>
      </c>
      <c r="C8568" s="3" t="s">
        <v>11281</v>
      </c>
      <c r="D8568" s="3" t="s">
        <v>11377</v>
      </c>
      <c r="E8568" s="3" t="s">
        <v>11378</v>
      </c>
      <c r="F8568" s="3" t="s">
        <v>11379</v>
      </c>
    </row>
    <row r="8569">
      <c r="A8569" s="3">
        <v>33.0</v>
      </c>
      <c r="B8569" s="3" t="s">
        <v>19423</v>
      </c>
      <c r="C8569" s="3" t="s">
        <v>11281</v>
      </c>
      <c r="D8569" s="3" t="s">
        <v>11380</v>
      </c>
      <c r="E8569" s="3" t="s">
        <v>11381</v>
      </c>
      <c r="F8569" s="3" t="s">
        <v>11382</v>
      </c>
    </row>
    <row r="8570">
      <c r="A8570" s="3">
        <v>34.0</v>
      </c>
      <c r="B8570" s="3" t="s">
        <v>19423</v>
      </c>
      <c r="C8570" s="3" t="s">
        <v>11281</v>
      </c>
      <c r="D8570" s="3" t="s">
        <v>11383</v>
      </c>
      <c r="E8570" s="3" t="s">
        <v>11384</v>
      </c>
      <c r="F8570" s="3" t="s">
        <v>11385</v>
      </c>
    </row>
    <row r="8571">
      <c r="A8571" s="3">
        <v>35.0</v>
      </c>
      <c r="B8571" s="3" t="s">
        <v>19423</v>
      </c>
      <c r="C8571" s="3" t="s">
        <v>11281</v>
      </c>
      <c r="D8571" s="3" t="s">
        <v>11386</v>
      </c>
      <c r="E8571" s="3" t="s">
        <v>11387</v>
      </c>
      <c r="F8571" s="3" t="s">
        <v>11388</v>
      </c>
    </row>
    <row r="8572">
      <c r="A8572" s="3">
        <v>36.0</v>
      </c>
      <c r="B8572" s="3" t="s">
        <v>19423</v>
      </c>
      <c r="C8572" s="3" t="s">
        <v>11281</v>
      </c>
      <c r="D8572" s="3" t="s">
        <v>11389</v>
      </c>
      <c r="E8572" s="3" t="s">
        <v>11390</v>
      </c>
      <c r="F8572" s="3" t="s">
        <v>11391</v>
      </c>
    </row>
    <row r="8573">
      <c r="A8573" s="3">
        <v>37.0</v>
      </c>
      <c r="B8573" s="3" t="s">
        <v>19423</v>
      </c>
      <c r="C8573" s="3" t="s">
        <v>11281</v>
      </c>
      <c r="D8573" s="3" t="s">
        <v>11392</v>
      </c>
      <c r="E8573" s="3" t="s">
        <v>19424</v>
      </c>
      <c r="F8573" s="3" t="s">
        <v>19425</v>
      </c>
    </row>
    <row r="8574">
      <c r="A8574" s="3">
        <v>38.0</v>
      </c>
      <c r="B8574" s="3" t="s">
        <v>19423</v>
      </c>
      <c r="C8574" s="3" t="s">
        <v>11281</v>
      </c>
      <c r="D8574" s="3" t="s">
        <v>11395</v>
      </c>
      <c r="E8574" s="3" t="s">
        <v>19426</v>
      </c>
      <c r="F8574" s="3" t="s">
        <v>19427</v>
      </c>
    </row>
    <row r="8575">
      <c r="A8575" s="3">
        <v>39.0</v>
      </c>
      <c r="B8575" s="3" t="s">
        <v>19423</v>
      </c>
      <c r="C8575" s="3" t="s">
        <v>11281</v>
      </c>
      <c r="D8575" s="3" t="s">
        <v>11398</v>
      </c>
      <c r="E8575" s="3" t="s">
        <v>19428</v>
      </c>
      <c r="F8575" s="3" t="s">
        <v>19429</v>
      </c>
    </row>
    <row r="8576">
      <c r="A8576" s="3">
        <v>40.0</v>
      </c>
      <c r="B8576" s="3" t="s">
        <v>19423</v>
      </c>
      <c r="C8576" s="3" t="s">
        <v>11281</v>
      </c>
      <c r="D8576" s="3" t="s">
        <v>11401</v>
      </c>
      <c r="E8576" s="3" t="s">
        <v>19430</v>
      </c>
      <c r="F8576" s="3" t="s">
        <v>19431</v>
      </c>
    </row>
    <row r="8577">
      <c r="A8577" s="3">
        <v>41.0</v>
      </c>
      <c r="B8577" s="3" t="s">
        <v>19423</v>
      </c>
      <c r="C8577" s="3" t="s">
        <v>11281</v>
      </c>
      <c r="D8577" s="3" t="s">
        <v>11404</v>
      </c>
      <c r="E8577" s="3" t="s">
        <v>19432</v>
      </c>
      <c r="F8577" s="3" t="s">
        <v>19433</v>
      </c>
    </row>
    <row r="8578">
      <c r="A8578" s="3">
        <v>42.0</v>
      </c>
      <c r="B8578" s="3" t="s">
        <v>19423</v>
      </c>
      <c r="C8578" s="3" t="s">
        <v>11281</v>
      </c>
      <c r="D8578" s="3" t="s">
        <v>11407</v>
      </c>
      <c r="E8578" s="3" t="s">
        <v>19434</v>
      </c>
      <c r="F8578" s="3" t="s">
        <v>19435</v>
      </c>
    </row>
    <row r="8579">
      <c r="A8579" s="3">
        <v>43.0</v>
      </c>
      <c r="B8579" s="3" t="s">
        <v>19423</v>
      </c>
      <c r="C8579" s="3" t="s">
        <v>11281</v>
      </c>
      <c r="D8579" s="3" t="s">
        <v>11410</v>
      </c>
      <c r="E8579" s="3" t="s">
        <v>19436</v>
      </c>
      <c r="F8579" s="3" t="s">
        <v>19437</v>
      </c>
    </row>
    <row r="8580">
      <c r="A8580" s="3">
        <v>44.0</v>
      </c>
      <c r="B8580" s="3" t="s">
        <v>19423</v>
      </c>
      <c r="C8580" s="3" t="s">
        <v>11281</v>
      </c>
      <c r="D8580" s="3" t="s">
        <v>11413</v>
      </c>
      <c r="E8580" s="3" t="s">
        <v>11414</v>
      </c>
      <c r="F8580" s="3" t="s">
        <v>11415</v>
      </c>
    </row>
    <row r="8581">
      <c r="A8581" s="3">
        <v>45.0</v>
      </c>
      <c r="B8581" s="3" t="s">
        <v>19423</v>
      </c>
      <c r="C8581" s="3" t="s">
        <v>11281</v>
      </c>
      <c r="D8581" s="3" t="s">
        <v>11416</v>
      </c>
      <c r="E8581" s="3" t="s">
        <v>11417</v>
      </c>
      <c r="F8581" s="3" t="s">
        <v>11418</v>
      </c>
    </row>
    <row r="8582">
      <c r="A8582" s="3">
        <v>46.0</v>
      </c>
      <c r="B8582" s="3" t="s">
        <v>19423</v>
      </c>
      <c r="C8582" s="3" t="s">
        <v>11281</v>
      </c>
      <c r="D8582" s="3" t="s">
        <v>11419</v>
      </c>
      <c r="E8582" s="3" t="s">
        <v>11420</v>
      </c>
      <c r="F8582" s="3" t="s">
        <v>11421</v>
      </c>
    </row>
    <row r="8583">
      <c r="A8583" s="3">
        <v>47.0</v>
      </c>
      <c r="B8583" s="3" t="s">
        <v>19423</v>
      </c>
      <c r="C8583" s="3" t="s">
        <v>11281</v>
      </c>
      <c r="D8583" s="3" t="s">
        <v>11422</v>
      </c>
      <c r="E8583" s="3" t="s">
        <v>11423</v>
      </c>
      <c r="F8583" s="3" t="s">
        <v>11424</v>
      </c>
    </row>
    <row r="8584">
      <c r="A8584" s="3">
        <v>48.0</v>
      </c>
      <c r="B8584" s="3" t="s">
        <v>19423</v>
      </c>
      <c r="C8584" s="3" t="s">
        <v>11281</v>
      </c>
      <c r="D8584" s="3" t="s">
        <v>11425</v>
      </c>
      <c r="E8584" s="3" t="s">
        <v>11426</v>
      </c>
      <c r="F8584" s="3" t="s">
        <v>11427</v>
      </c>
    </row>
    <row r="8585">
      <c r="A8585" s="3">
        <v>49.0</v>
      </c>
      <c r="B8585" s="3" t="s">
        <v>19423</v>
      </c>
      <c r="C8585" s="3" t="s">
        <v>11281</v>
      </c>
      <c r="D8585" s="3" t="s">
        <v>11428</v>
      </c>
      <c r="E8585" s="3" t="s">
        <v>11429</v>
      </c>
      <c r="F8585" s="3" t="s">
        <v>11430</v>
      </c>
    </row>
    <row r="8586">
      <c r="A8586" s="3">
        <v>50.0</v>
      </c>
      <c r="B8586" s="3" t="s">
        <v>19423</v>
      </c>
      <c r="C8586" s="3" t="s">
        <v>11281</v>
      </c>
      <c r="D8586" s="3" t="s">
        <v>11431</v>
      </c>
      <c r="E8586" s="3" t="s">
        <v>11432</v>
      </c>
      <c r="F8586" s="3" t="s">
        <v>11433</v>
      </c>
    </row>
    <row r="8587">
      <c r="A8587" s="3">
        <v>51.0</v>
      </c>
      <c r="B8587" s="3" t="s">
        <v>19423</v>
      </c>
      <c r="C8587" s="3" t="s">
        <v>11281</v>
      </c>
      <c r="D8587" s="3" t="s">
        <v>11434</v>
      </c>
      <c r="E8587" s="3" t="s">
        <v>11435</v>
      </c>
      <c r="F8587" s="3" t="s">
        <v>11436</v>
      </c>
    </row>
    <row r="8588">
      <c r="A8588" s="3">
        <v>52.0</v>
      </c>
      <c r="B8588" s="3" t="s">
        <v>19423</v>
      </c>
      <c r="C8588" s="3" t="s">
        <v>11281</v>
      </c>
      <c r="D8588" s="3" t="s">
        <v>11437</v>
      </c>
      <c r="E8588" s="3" t="s">
        <v>11438</v>
      </c>
      <c r="F8588" s="3" t="s">
        <v>11439</v>
      </c>
    </row>
    <row r="8589">
      <c r="A8589" s="3">
        <v>53.0</v>
      </c>
      <c r="B8589" s="3" t="s">
        <v>19423</v>
      </c>
      <c r="C8589" s="3" t="s">
        <v>11281</v>
      </c>
      <c r="D8589" s="3" t="s">
        <v>11440</v>
      </c>
      <c r="E8589" s="3" t="s">
        <v>11441</v>
      </c>
      <c r="F8589" s="3" t="s">
        <v>11442</v>
      </c>
    </row>
    <row r="8590">
      <c r="A8590" s="3">
        <v>54.0</v>
      </c>
      <c r="B8590" s="3" t="s">
        <v>19423</v>
      </c>
      <c r="C8590" s="3" t="s">
        <v>11281</v>
      </c>
      <c r="D8590" s="3" t="s">
        <v>11443</v>
      </c>
      <c r="E8590" s="3" t="s">
        <v>11444</v>
      </c>
      <c r="F8590" s="3" t="s">
        <v>11445</v>
      </c>
    </row>
    <row r="8591">
      <c r="A8591" s="3">
        <v>55.0</v>
      </c>
      <c r="B8591" s="3" t="s">
        <v>19423</v>
      </c>
      <c r="C8591" s="3" t="s">
        <v>11281</v>
      </c>
      <c r="D8591" s="3" t="s">
        <v>11446</v>
      </c>
      <c r="E8591" s="3" t="s">
        <v>11447</v>
      </c>
      <c r="F8591" s="3" t="s">
        <v>11448</v>
      </c>
    </row>
    <row r="8592">
      <c r="A8592" s="3">
        <v>56.0</v>
      </c>
      <c r="B8592" s="3" t="s">
        <v>19423</v>
      </c>
      <c r="C8592" s="3" t="s">
        <v>11281</v>
      </c>
      <c r="D8592" s="3" t="s">
        <v>11449</v>
      </c>
      <c r="E8592" s="3" t="s">
        <v>11450</v>
      </c>
      <c r="F8592" s="3" t="s">
        <v>11451</v>
      </c>
    </row>
    <row r="8593">
      <c r="A8593" s="3">
        <v>57.0</v>
      </c>
      <c r="B8593" s="3" t="s">
        <v>19423</v>
      </c>
      <c r="C8593" s="3" t="s">
        <v>11281</v>
      </c>
      <c r="D8593" s="3" t="s">
        <v>11452</v>
      </c>
      <c r="E8593" s="3" t="s">
        <v>11453</v>
      </c>
      <c r="F8593" s="3" t="s">
        <v>11454</v>
      </c>
    </row>
    <row r="8594">
      <c r="A8594" s="3">
        <v>58.0</v>
      </c>
      <c r="B8594" s="3" t="s">
        <v>19423</v>
      </c>
      <c r="C8594" s="3" t="s">
        <v>11281</v>
      </c>
      <c r="D8594" s="3" t="s">
        <v>11455</v>
      </c>
      <c r="E8594" s="3" t="s">
        <v>19438</v>
      </c>
      <c r="F8594" s="3" t="s">
        <v>19439</v>
      </c>
    </row>
    <row r="8595">
      <c r="A8595" s="3">
        <v>59.0</v>
      </c>
      <c r="B8595" s="3" t="s">
        <v>19423</v>
      </c>
      <c r="C8595" s="3" t="s">
        <v>11281</v>
      </c>
      <c r="D8595" s="3" t="s">
        <v>11458</v>
      </c>
      <c r="E8595" s="3" t="s">
        <v>19440</v>
      </c>
      <c r="F8595" s="3" t="s">
        <v>19441</v>
      </c>
    </row>
    <row r="8596">
      <c r="A8596" s="3">
        <v>60.0</v>
      </c>
      <c r="B8596" s="3" t="s">
        <v>19423</v>
      </c>
      <c r="C8596" s="3" t="s">
        <v>11281</v>
      </c>
      <c r="D8596" s="3" t="s">
        <v>11461</v>
      </c>
      <c r="E8596" s="3" t="s">
        <v>19442</v>
      </c>
      <c r="F8596" s="3" t="s">
        <v>19443</v>
      </c>
      <c r="G8596" s="3"/>
      <c r="H8596" s="3" t="s">
        <v>11464</v>
      </c>
      <c r="I8596" s="3" t="s">
        <v>11465</v>
      </c>
      <c r="J8596" s="3" t="s">
        <v>11466</v>
      </c>
      <c r="K8596" s="3" t="s">
        <v>11467</v>
      </c>
      <c r="L8596" s="3" t="s">
        <v>11468</v>
      </c>
      <c r="M8596" s="3" t="s">
        <v>11469</v>
      </c>
      <c r="N8596" s="3" t="s">
        <v>11470</v>
      </c>
    </row>
    <row r="8597">
      <c r="A8597" s="3">
        <v>61.0</v>
      </c>
      <c r="B8597" s="3" t="s">
        <v>19423</v>
      </c>
      <c r="C8597" s="3" t="s">
        <v>11281</v>
      </c>
      <c r="D8597" s="3" t="s">
        <v>11471</v>
      </c>
      <c r="E8597" s="3" t="s">
        <v>19444</v>
      </c>
      <c r="F8597" s="3" t="s">
        <v>19445</v>
      </c>
    </row>
    <row r="8598">
      <c r="A8598" s="3">
        <v>62.0</v>
      </c>
      <c r="B8598" s="3" t="s">
        <v>19423</v>
      </c>
      <c r="C8598" s="3" t="s">
        <v>11281</v>
      </c>
      <c r="D8598" s="3" t="s">
        <v>11474</v>
      </c>
      <c r="E8598" s="3" t="s">
        <v>19446</v>
      </c>
      <c r="F8598" s="3" t="s">
        <v>19447</v>
      </c>
    </row>
    <row r="8599">
      <c r="A8599" s="3">
        <v>63.0</v>
      </c>
      <c r="B8599" s="3" t="s">
        <v>19423</v>
      </c>
      <c r="C8599" s="3" t="s">
        <v>11281</v>
      </c>
      <c r="D8599" s="3" t="s">
        <v>11477</v>
      </c>
      <c r="E8599" s="3" t="s">
        <v>19448</v>
      </c>
      <c r="F8599" s="3" t="s">
        <v>19449</v>
      </c>
    </row>
    <row r="8600">
      <c r="A8600" s="3">
        <v>64.0</v>
      </c>
      <c r="B8600" s="3" t="s">
        <v>19423</v>
      </c>
      <c r="C8600" s="3" t="s">
        <v>11281</v>
      </c>
      <c r="D8600" s="3" t="s">
        <v>11480</v>
      </c>
      <c r="E8600" s="3" t="s">
        <v>19450</v>
      </c>
      <c r="F8600" s="3" t="s">
        <v>19451</v>
      </c>
    </row>
    <row r="8601">
      <c r="A8601" s="3">
        <v>65.0</v>
      </c>
      <c r="B8601" s="3" t="s">
        <v>19423</v>
      </c>
      <c r="C8601" s="3" t="s">
        <v>11281</v>
      </c>
      <c r="D8601" s="3" t="s">
        <v>11483</v>
      </c>
      <c r="E8601" s="3" t="s">
        <v>19452</v>
      </c>
      <c r="F8601" s="3" t="s">
        <v>19453</v>
      </c>
    </row>
    <row r="8602">
      <c r="A8602" s="3">
        <v>66.0</v>
      </c>
      <c r="B8602" s="3" t="s">
        <v>19423</v>
      </c>
      <c r="C8602" s="3" t="s">
        <v>11281</v>
      </c>
      <c r="D8602" s="3" t="s">
        <v>11486</v>
      </c>
      <c r="E8602" s="3" t="s">
        <v>19454</v>
      </c>
      <c r="F8602" s="3" t="s">
        <v>19455</v>
      </c>
    </row>
    <row r="8603">
      <c r="A8603" s="3">
        <v>67.0</v>
      </c>
      <c r="B8603" s="3" t="s">
        <v>19423</v>
      </c>
      <c r="C8603" s="3" t="s">
        <v>11281</v>
      </c>
      <c r="D8603" s="3" t="s">
        <v>11489</v>
      </c>
      <c r="E8603" s="3" t="s">
        <v>19456</v>
      </c>
      <c r="F8603" s="3" t="s">
        <v>19457</v>
      </c>
    </row>
    <row r="8604">
      <c r="A8604" s="3">
        <v>68.0</v>
      </c>
      <c r="B8604" s="3" t="s">
        <v>19423</v>
      </c>
      <c r="C8604" s="3" t="s">
        <v>11281</v>
      </c>
      <c r="D8604" s="3" t="s">
        <v>11492</v>
      </c>
      <c r="E8604" s="3" t="s">
        <v>19458</v>
      </c>
      <c r="F8604" s="3" t="s">
        <v>19459</v>
      </c>
    </row>
    <row r="8605">
      <c r="A8605" s="3">
        <v>69.0</v>
      </c>
      <c r="B8605" s="3" t="s">
        <v>19423</v>
      </c>
      <c r="C8605" s="3" t="s">
        <v>11281</v>
      </c>
      <c r="D8605" s="3" t="s">
        <v>11495</v>
      </c>
      <c r="E8605" s="3" t="s">
        <v>19460</v>
      </c>
      <c r="F8605" s="3" t="s">
        <v>19461</v>
      </c>
    </row>
    <row r="8606">
      <c r="A8606" s="3">
        <v>70.0</v>
      </c>
      <c r="B8606" s="3" t="s">
        <v>19423</v>
      </c>
      <c r="C8606" s="3" t="s">
        <v>11281</v>
      </c>
      <c r="D8606" s="3" t="s">
        <v>11498</v>
      </c>
      <c r="E8606" s="3" t="s">
        <v>19462</v>
      </c>
      <c r="F8606" s="3" t="s">
        <v>19463</v>
      </c>
    </row>
    <row r="8607">
      <c r="A8607" s="3">
        <v>71.0</v>
      </c>
      <c r="B8607" s="3" t="s">
        <v>19423</v>
      </c>
      <c r="C8607" s="3" t="s">
        <v>11281</v>
      </c>
      <c r="D8607" s="3" t="s">
        <v>11501</v>
      </c>
      <c r="E8607" s="3" t="s">
        <v>19464</v>
      </c>
      <c r="F8607" s="3" t="s">
        <v>19465</v>
      </c>
    </row>
    <row r="8608">
      <c r="A8608" s="3">
        <v>72.0</v>
      </c>
      <c r="B8608" s="3" t="s">
        <v>19423</v>
      </c>
      <c r="C8608" s="3" t="s">
        <v>11281</v>
      </c>
      <c r="D8608" s="3" t="s">
        <v>11504</v>
      </c>
      <c r="E8608" s="3" t="s">
        <v>19466</v>
      </c>
      <c r="F8608" s="3" t="s">
        <v>19467</v>
      </c>
      <c r="G8608" s="3"/>
      <c r="H8608" s="3" t="s">
        <v>11507</v>
      </c>
    </row>
    <row r="8609">
      <c r="A8609" s="3">
        <v>73.0</v>
      </c>
      <c r="B8609" s="3" t="s">
        <v>19423</v>
      </c>
      <c r="C8609" s="3" t="s">
        <v>11281</v>
      </c>
      <c r="D8609" s="3" t="s">
        <v>11508</v>
      </c>
      <c r="E8609" s="3" t="s">
        <v>11509</v>
      </c>
      <c r="F8609" s="3" t="s">
        <v>11510</v>
      </c>
    </row>
    <row r="8610">
      <c r="A8610" s="3">
        <v>74.0</v>
      </c>
      <c r="B8610" s="3" t="s">
        <v>19423</v>
      </c>
      <c r="C8610" s="3" t="s">
        <v>11281</v>
      </c>
      <c r="D8610" s="3" t="s">
        <v>11511</v>
      </c>
      <c r="E8610" s="3" t="s">
        <v>11512</v>
      </c>
      <c r="F8610" s="3" t="s">
        <v>11513</v>
      </c>
    </row>
    <row r="8611">
      <c r="A8611" s="3">
        <v>75.0</v>
      </c>
      <c r="B8611" s="3" t="s">
        <v>19423</v>
      </c>
      <c r="C8611" s="3" t="s">
        <v>11281</v>
      </c>
      <c r="D8611" s="3" t="s">
        <v>11514</v>
      </c>
      <c r="E8611" s="3" t="s">
        <v>11515</v>
      </c>
      <c r="F8611" s="3" t="s">
        <v>11516</v>
      </c>
    </row>
    <row r="8612">
      <c r="A8612" s="3">
        <v>76.0</v>
      </c>
      <c r="B8612" s="3" t="s">
        <v>19423</v>
      </c>
      <c r="C8612" s="3" t="s">
        <v>11281</v>
      </c>
      <c r="D8612" s="3" t="s">
        <v>11517</v>
      </c>
      <c r="E8612" s="3" t="s">
        <v>11518</v>
      </c>
      <c r="F8612" s="3" t="s">
        <v>11519</v>
      </c>
    </row>
    <row r="8613">
      <c r="A8613" s="3">
        <v>77.0</v>
      </c>
      <c r="B8613" s="3" t="s">
        <v>19423</v>
      </c>
      <c r="C8613" s="3" t="s">
        <v>11281</v>
      </c>
      <c r="D8613" s="3" t="s">
        <v>11520</v>
      </c>
      <c r="E8613" s="3" t="s">
        <v>11521</v>
      </c>
      <c r="F8613" s="3" t="s">
        <v>11522</v>
      </c>
    </row>
    <row r="8614">
      <c r="A8614" s="3">
        <v>78.0</v>
      </c>
      <c r="B8614" s="3" t="s">
        <v>19423</v>
      </c>
      <c r="C8614" s="3" t="s">
        <v>11281</v>
      </c>
      <c r="D8614" s="3" t="s">
        <v>11523</v>
      </c>
      <c r="E8614" s="3" t="s">
        <v>11524</v>
      </c>
      <c r="F8614" s="3" t="s">
        <v>11525</v>
      </c>
    </row>
    <row r="8615">
      <c r="A8615" s="3">
        <v>79.0</v>
      </c>
      <c r="B8615" s="3" t="s">
        <v>19423</v>
      </c>
      <c r="C8615" s="3" t="s">
        <v>11281</v>
      </c>
      <c r="D8615" s="3" t="s">
        <v>11526</v>
      </c>
      <c r="E8615" s="3" t="s">
        <v>11527</v>
      </c>
      <c r="F8615" s="3" t="s">
        <v>11528</v>
      </c>
    </row>
    <row r="8616">
      <c r="A8616" s="3">
        <v>80.0</v>
      </c>
      <c r="B8616" s="3" t="s">
        <v>19423</v>
      </c>
      <c r="C8616" s="3" t="s">
        <v>11281</v>
      </c>
      <c r="D8616" s="3" t="s">
        <v>11529</v>
      </c>
      <c r="E8616" s="3" t="s">
        <v>11530</v>
      </c>
      <c r="F8616" s="3" t="s">
        <v>11531</v>
      </c>
    </row>
    <row r="8617">
      <c r="A8617" s="3">
        <v>81.0</v>
      </c>
      <c r="B8617" s="3" t="s">
        <v>19423</v>
      </c>
      <c r="C8617" s="3" t="s">
        <v>11281</v>
      </c>
      <c r="D8617" s="3" t="s">
        <v>11532</v>
      </c>
      <c r="E8617" s="3" t="s">
        <v>11533</v>
      </c>
      <c r="F8617" s="3" t="s">
        <v>11534</v>
      </c>
    </row>
    <row r="8618">
      <c r="A8618" s="3">
        <v>82.0</v>
      </c>
      <c r="B8618" s="3" t="s">
        <v>19423</v>
      </c>
      <c r="C8618" s="3" t="s">
        <v>11281</v>
      </c>
      <c r="D8618" s="3" t="s">
        <v>11535</v>
      </c>
      <c r="E8618" s="3" t="s">
        <v>11536</v>
      </c>
      <c r="F8618" s="3" t="s">
        <v>11537</v>
      </c>
      <c r="G8618" s="3"/>
      <c r="H8618" s="3" t="s">
        <v>3596</v>
      </c>
      <c r="I8618" s="3" t="s">
        <v>3563</v>
      </c>
      <c r="J8618" s="3" t="s">
        <v>3564</v>
      </c>
      <c r="K8618" s="3" t="s">
        <v>11538</v>
      </c>
      <c r="L8618" s="3" t="s">
        <v>11539</v>
      </c>
      <c r="M8618" s="3" t="s">
        <v>11540</v>
      </c>
      <c r="N8618" s="3" t="s">
        <v>11541</v>
      </c>
      <c r="O8618" s="3" t="s">
        <v>11542</v>
      </c>
      <c r="P8618" s="3" t="s">
        <v>11543</v>
      </c>
      <c r="Q8618" s="3" t="s">
        <v>11544</v>
      </c>
      <c r="R8618" s="3" t="s">
        <v>11545</v>
      </c>
      <c r="S8618" s="3" t="s">
        <v>11546</v>
      </c>
      <c r="T8618" s="3" t="s">
        <v>11547</v>
      </c>
      <c r="U8618" s="3" t="s">
        <v>11538</v>
      </c>
      <c r="V8618" s="3" t="s">
        <v>11548</v>
      </c>
      <c r="W8618" s="3" t="s">
        <v>11549</v>
      </c>
      <c r="X8618" s="3" t="s">
        <v>11550</v>
      </c>
      <c r="Y8618" s="3" t="s">
        <v>11551</v>
      </c>
      <c r="Z8618" s="3" t="s">
        <v>11552</v>
      </c>
      <c r="AA8618" s="3" t="s">
        <v>11552</v>
      </c>
      <c r="AB8618" s="3" t="s">
        <v>11553</v>
      </c>
      <c r="AC8618" s="3" t="s">
        <v>984</v>
      </c>
      <c r="AD8618" s="3" t="s">
        <v>11554</v>
      </c>
      <c r="AE8618" s="3" t="s">
        <v>11555</v>
      </c>
      <c r="AF8618" s="3" t="s">
        <v>11556</v>
      </c>
    </row>
    <row r="8619">
      <c r="A8619" s="3">
        <v>83.0</v>
      </c>
      <c r="B8619" s="3" t="s">
        <v>19423</v>
      </c>
      <c r="C8619" s="3" t="s">
        <v>11281</v>
      </c>
      <c r="D8619" s="3" t="s">
        <v>11557</v>
      </c>
      <c r="E8619" s="3" t="s">
        <v>11558</v>
      </c>
      <c r="F8619" s="3" t="s">
        <v>11559</v>
      </c>
    </row>
    <row r="8620">
      <c r="A8620" s="3">
        <v>84.0</v>
      </c>
      <c r="B8620" s="3" t="s">
        <v>19423</v>
      </c>
      <c r="C8620" s="3" t="s">
        <v>11281</v>
      </c>
      <c r="D8620" s="3" t="s">
        <v>11560</v>
      </c>
      <c r="E8620" s="3" t="s">
        <v>11561</v>
      </c>
      <c r="F8620" s="3" t="s">
        <v>11562</v>
      </c>
    </row>
    <row r="8621">
      <c r="A8621" s="3">
        <v>85.0</v>
      </c>
      <c r="B8621" s="3" t="s">
        <v>19423</v>
      </c>
      <c r="C8621" s="3" t="s">
        <v>11281</v>
      </c>
      <c r="D8621" s="3" t="s">
        <v>11563</v>
      </c>
      <c r="E8621" s="3" t="s">
        <v>11564</v>
      </c>
      <c r="F8621" s="3" t="s">
        <v>11565</v>
      </c>
    </row>
    <row r="8622">
      <c r="A8622" s="3">
        <v>86.0</v>
      </c>
      <c r="B8622" s="3" t="s">
        <v>19423</v>
      </c>
      <c r="C8622" s="3" t="s">
        <v>11281</v>
      </c>
      <c r="D8622" s="3" t="s">
        <v>11566</v>
      </c>
      <c r="E8622" s="3" t="s">
        <v>11567</v>
      </c>
      <c r="F8622" s="3" t="s">
        <v>11568</v>
      </c>
    </row>
    <row r="8623">
      <c r="A8623" s="3">
        <v>87.0</v>
      </c>
      <c r="B8623" s="3" t="s">
        <v>19423</v>
      </c>
      <c r="C8623" s="3" t="s">
        <v>11281</v>
      </c>
      <c r="D8623" s="3" t="s">
        <v>11569</v>
      </c>
      <c r="E8623" s="3" t="s">
        <v>11570</v>
      </c>
      <c r="F8623" s="3" t="s">
        <v>11571</v>
      </c>
    </row>
    <row r="8624">
      <c r="A8624" s="3">
        <v>88.0</v>
      </c>
      <c r="B8624" s="3" t="s">
        <v>19423</v>
      </c>
      <c r="C8624" s="3" t="s">
        <v>11281</v>
      </c>
      <c r="D8624" s="3" t="s">
        <v>11572</v>
      </c>
      <c r="E8624" s="3" t="s">
        <v>11573</v>
      </c>
      <c r="F8624" s="3" t="s">
        <v>11574</v>
      </c>
    </row>
    <row r="8625">
      <c r="A8625" s="3">
        <v>89.0</v>
      </c>
      <c r="B8625" s="3" t="s">
        <v>19423</v>
      </c>
      <c r="C8625" s="3" t="s">
        <v>11281</v>
      </c>
      <c r="D8625" s="3" t="s">
        <v>11575</v>
      </c>
      <c r="E8625" s="3" t="s">
        <v>11576</v>
      </c>
      <c r="F8625" s="3" t="s">
        <v>11577</v>
      </c>
    </row>
    <row r="8626">
      <c r="A8626" s="3">
        <v>90.0</v>
      </c>
      <c r="B8626" s="3" t="s">
        <v>19423</v>
      </c>
      <c r="C8626" s="3" t="s">
        <v>11281</v>
      </c>
      <c r="D8626" s="3" t="s">
        <v>11578</v>
      </c>
      <c r="E8626" s="3" t="s">
        <v>11579</v>
      </c>
      <c r="F8626" s="3" t="s">
        <v>11580</v>
      </c>
    </row>
    <row r="8627">
      <c r="A8627" s="3">
        <v>91.0</v>
      </c>
      <c r="B8627" s="3" t="s">
        <v>19423</v>
      </c>
      <c r="C8627" s="3" t="s">
        <v>11281</v>
      </c>
      <c r="D8627" s="3" t="s">
        <v>11581</v>
      </c>
      <c r="E8627" s="3" t="s">
        <v>11582</v>
      </c>
      <c r="F8627" s="3" t="s">
        <v>11583</v>
      </c>
    </row>
    <row r="8628">
      <c r="A8628" s="3">
        <v>92.0</v>
      </c>
      <c r="B8628" s="3" t="s">
        <v>19423</v>
      </c>
      <c r="C8628" s="3" t="s">
        <v>11281</v>
      </c>
      <c r="D8628" s="3" t="s">
        <v>11584</v>
      </c>
      <c r="E8628" s="3" t="s">
        <v>11585</v>
      </c>
      <c r="F8628" s="3" t="s">
        <v>11586</v>
      </c>
    </row>
    <row r="8629">
      <c r="A8629" s="3">
        <v>93.0</v>
      </c>
      <c r="B8629" s="3" t="s">
        <v>19423</v>
      </c>
      <c r="C8629" s="3" t="s">
        <v>11281</v>
      </c>
      <c r="D8629" s="3" t="s">
        <v>11587</v>
      </c>
      <c r="E8629" s="3" t="s">
        <v>11588</v>
      </c>
      <c r="F8629" s="3" t="s">
        <v>11589</v>
      </c>
    </row>
    <row r="8630">
      <c r="A8630" s="3">
        <v>94.0</v>
      </c>
      <c r="B8630" s="3" t="s">
        <v>19423</v>
      </c>
      <c r="C8630" s="3" t="s">
        <v>11281</v>
      </c>
      <c r="D8630" s="3" t="s">
        <v>11590</v>
      </c>
      <c r="E8630" s="3" t="s">
        <v>11591</v>
      </c>
      <c r="F8630" s="3" t="s">
        <v>11592</v>
      </c>
    </row>
    <row r="8631">
      <c r="A8631" s="3">
        <v>95.0</v>
      </c>
      <c r="B8631" s="3" t="s">
        <v>19423</v>
      </c>
      <c r="C8631" s="3" t="s">
        <v>11281</v>
      </c>
      <c r="D8631" s="3" t="s">
        <v>11593</v>
      </c>
      <c r="E8631" s="3" t="s">
        <v>11594</v>
      </c>
      <c r="F8631" s="3" t="s">
        <v>11595</v>
      </c>
    </row>
    <row r="8632">
      <c r="A8632" s="3">
        <v>96.0</v>
      </c>
      <c r="B8632" s="3" t="s">
        <v>19423</v>
      </c>
      <c r="C8632" s="3" t="s">
        <v>11281</v>
      </c>
      <c r="D8632" s="3" t="s">
        <v>11596</v>
      </c>
      <c r="E8632" s="3" t="s">
        <v>11597</v>
      </c>
      <c r="F8632" s="3" t="s">
        <v>11598</v>
      </c>
      <c r="G8632" s="3"/>
      <c r="H8632" s="3" t="s">
        <v>11599</v>
      </c>
      <c r="I8632" s="3" t="s">
        <v>11600</v>
      </c>
    </row>
    <row r="8633">
      <c r="A8633" s="3">
        <v>97.0</v>
      </c>
      <c r="B8633" s="3" t="s">
        <v>19423</v>
      </c>
      <c r="C8633" s="3" t="s">
        <v>11281</v>
      </c>
      <c r="D8633" s="3" t="s">
        <v>11601</v>
      </c>
      <c r="E8633" s="3" t="s">
        <v>11602</v>
      </c>
      <c r="F8633" s="3" t="s">
        <v>11603</v>
      </c>
    </row>
    <row r="8634">
      <c r="A8634" s="3">
        <v>98.0</v>
      </c>
      <c r="B8634" s="3" t="s">
        <v>19423</v>
      </c>
      <c r="C8634" s="3" t="s">
        <v>11281</v>
      </c>
      <c r="D8634" s="3" t="s">
        <v>11604</v>
      </c>
      <c r="E8634" s="3" t="s">
        <v>11605</v>
      </c>
      <c r="F8634" s="3" t="s">
        <v>11606</v>
      </c>
    </row>
    <row r="8635">
      <c r="A8635" s="3">
        <v>99.0</v>
      </c>
      <c r="B8635" s="3" t="s">
        <v>19423</v>
      </c>
      <c r="C8635" s="3" t="s">
        <v>11281</v>
      </c>
      <c r="D8635" s="3" t="s">
        <v>11607</v>
      </c>
      <c r="E8635" s="3" t="s">
        <v>11608</v>
      </c>
      <c r="F8635" s="3" t="s">
        <v>11609</v>
      </c>
    </row>
    <row r="8636">
      <c r="A8636" s="3">
        <v>100.0</v>
      </c>
      <c r="B8636" s="3" t="s">
        <v>19423</v>
      </c>
      <c r="C8636" s="3" t="s">
        <v>11281</v>
      </c>
      <c r="D8636" s="3" t="s">
        <v>11610</v>
      </c>
      <c r="E8636" s="3" t="s">
        <v>11611</v>
      </c>
      <c r="F8636" s="3" t="s">
        <v>11612</v>
      </c>
    </row>
    <row r="8637">
      <c r="A8637" s="3">
        <v>101.0</v>
      </c>
      <c r="B8637" s="3" t="s">
        <v>19423</v>
      </c>
      <c r="C8637" s="3" t="s">
        <v>11281</v>
      </c>
      <c r="D8637" s="3" t="s">
        <v>11613</v>
      </c>
      <c r="E8637" s="3" t="s">
        <v>11614</v>
      </c>
      <c r="F8637" s="3" t="s">
        <v>11615</v>
      </c>
    </row>
    <row r="8638">
      <c r="A8638" s="3">
        <v>102.0</v>
      </c>
      <c r="B8638" s="3" t="s">
        <v>19423</v>
      </c>
      <c r="C8638" s="3" t="s">
        <v>11281</v>
      </c>
      <c r="D8638" s="3" t="s">
        <v>11616</v>
      </c>
      <c r="E8638" s="3" t="s">
        <v>11617</v>
      </c>
      <c r="F8638" s="3" t="s">
        <v>11618</v>
      </c>
    </row>
    <row r="8639">
      <c r="A8639" s="3">
        <v>103.0</v>
      </c>
      <c r="B8639" s="3" t="s">
        <v>19423</v>
      </c>
      <c r="C8639" s="3" t="s">
        <v>11281</v>
      </c>
      <c r="D8639" s="3" t="s">
        <v>11619</v>
      </c>
      <c r="E8639" s="3" t="s">
        <v>11620</v>
      </c>
      <c r="F8639" s="3" t="s">
        <v>11621</v>
      </c>
      <c r="G8639" s="3"/>
      <c r="H8639" s="3" t="s">
        <v>5848</v>
      </c>
      <c r="I8639" s="3" t="s">
        <v>11622</v>
      </c>
      <c r="J8639" s="3" t="s">
        <v>5848</v>
      </c>
      <c r="K8639" s="3" t="s">
        <v>11623</v>
      </c>
    </row>
    <row r="8640">
      <c r="A8640" s="3">
        <v>104.0</v>
      </c>
      <c r="B8640" s="3" t="s">
        <v>19423</v>
      </c>
      <c r="C8640" s="3" t="s">
        <v>11281</v>
      </c>
      <c r="D8640" s="3" t="s">
        <v>11624</v>
      </c>
      <c r="E8640" s="3" t="s">
        <v>11625</v>
      </c>
      <c r="F8640" s="3" t="s">
        <v>11626</v>
      </c>
    </row>
    <row r="8641">
      <c r="A8641" s="3">
        <v>105.0</v>
      </c>
      <c r="B8641" s="3" t="s">
        <v>19423</v>
      </c>
      <c r="C8641" s="3" t="s">
        <v>11281</v>
      </c>
      <c r="D8641" s="3" t="s">
        <v>11627</v>
      </c>
      <c r="E8641" s="3" t="s">
        <v>11628</v>
      </c>
      <c r="F8641" s="3" t="s">
        <v>11629</v>
      </c>
    </row>
    <row r="8642">
      <c r="A8642" s="3">
        <v>106.0</v>
      </c>
      <c r="B8642" s="3" t="s">
        <v>19423</v>
      </c>
      <c r="C8642" s="3" t="s">
        <v>11281</v>
      </c>
      <c r="D8642" s="3" t="s">
        <v>11630</v>
      </c>
      <c r="E8642" s="3" t="s">
        <v>11631</v>
      </c>
      <c r="F8642" s="3" t="s">
        <v>11632</v>
      </c>
    </row>
    <row r="8643">
      <c r="A8643" s="3">
        <v>107.0</v>
      </c>
      <c r="B8643" s="3" t="s">
        <v>19423</v>
      </c>
      <c r="C8643" s="3" t="s">
        <v>11281</v>
      </c>
      <c r="D8643" s="3" t="s">
        <v>11633</v>
      </c>
      <c r="E8643" s="3" t="s">
        <v>11634</v>
      </c>
      <c r="F8643" s="3" t="s">
        <v>11635</v>
      </c>
    </row>
    <row r="8644">
      <c r="A8644" s="3">
        <v>108.0</v>
      </c>
      <c r="B8644" s="3" t="s">
        <v>19423</v>
      </c>
      <c r="C8644" s="3" t="s">
        <v>11281</v>
      </c>
      <c r="D8644" s="3" t="s">
        <v>11636</v>
      </c>
      <c r="E8644" s="3" t="s">
        <v>11637</v>
      </c>
      <c r="F8644" s="3" t="s">
        <v>11638</v>
      </c>
    </row>
    <row r="8645">
      <c r="A8645" s="3">
        <v>109.0</v>
      </c>
      <c r="B8645" s="3" t="s">
        <v>19423</v>
      </c>
      <c r="C8645" s="3" t="s">
        <v>11281</v>
      </c>
      <c r="D8645" s="3" t="s">
        <v>11639</v>
      </c>
      <c r="E8645" s="3" t="s">
        <v>11640</v>
      </c>
      <c r="F8645" s="3" t="s">
        <v>11641</v>
      </c>
    </row>
    <row r="8646">
      <c r="A8646" s="3">
        <v>110.0</v>
      </c>
      <c r="B8646" s="3" t="s">
        <v>19423</v>
      </c>
      <c r="C8646" s="3" t="s">
        <v>11281</v>
      </c>
      <c r="D8646" s="3" t="s">
        <v>11642</v>
      </c>
      <c r="E8646" s="3" t="s">
        <v>11643</v>
      </c>
      <c r="F8646" s="3" t="s">
        <v>11284</v>
      </c>
      <c r="G8646" s="3"/>
      <c r="H8646" s="3" t="s">
        <v>11644</v>
      </c>
    </row>
    <row r="8647">
      <c r="A8647" s="3">
        <v>111.0</v>
      </c>
      <c r="B8647" s="3" t="s">
        <v>19423</v>
      </c>
      <c r="C8647" s="3" t="s">
        <v>11281</v>
      </c>
      <c r="D8647" s="3" t="s">
        <v>11645</v>
      </c>
      <c r="E8647" s="3" t="s">
        <v>11646</v>
      </c>
      <c r="F8647" s="3" t="s">
        <v>11306</v>
      </c>
      <c r="G8647" s="3"/>
      <c r="H8647" s="3" t="s">
        <v>8929</v>
      </c>
      <c r="I8647" s="3" t="s">
        <v>8930</v>
      </c>
      <c r="J8647" s="3" t="s">
        <v>8931</v>
      </c>
      <c r="K8647" s="3" t="s">
        <v>8932</v>
      </c>
      <c r="L8647" s="3" t="s">
        <v>8933</v>
      </c>
      <c r="M8647" s="3" t="s">
        <v>8934</v>
      </c>
    </row>
    <row r="8648">
      <c r="A8648" s="3">
        <v>112.0</v>
      </c>
      <c r="B8648" s="3" t="s">
        <v>19423</v>
      </c>
      <c r="C8648" s="3" t="s">
        <v>11281</v>
      </c>
      <c r="D8648" s="3" t="s">
        <v>11647</v>
      </c>
      <c r="E8648" s="3" t="s">
        <v>11648</v>
      </c>
      <c r="F8648" s="3" t="s">
        <v>11649</v>
      </c>
    </row>
    <row r="8649">
      <c r="A8649" s="3">
        <v>113.0</v>
      </c>
      <c r="B8649" s="3" t="s">
        <v>19423</v>
      </c>
      <c r="C8649" s="3" t="s">
        <v>11281</v>
      </c>
      <c r="D8649" s="3" t="s">
        <v>11650</v>
      </c>
      <c r="E8649" s="3" t="s">
        <v>11651</v>
      </c>
      <c r="F8649" s="3" t="s">
        <v>11652</v>
      </c>
    </row>
    <row r="8650">
      <c r="A8650" s="3">
        <v>114.0</v>
      </c>
      <c r="B8650" s="3" t="s">
        <v>19423</v>
      </c>
      <c r="C8650" s="3" t="s">
        <v>11281</v>
      </c>
      <c r="D8650" s="3" t="s">
        <v>11653</v>
      </c>
      <c r="E8650" s="3" t="s">
        <v>11654</v>
      </c>
      <c r="F8650" s="3" t="s">
        <v>11655</v>
      </c>
    </row>
    <row r="8651">
      <c r="A8651" s="3">
        <v>115.0</v>
      </c>
      <c r="B8651" s="3" t="s">
        <v>19423</v>
      </c>
      <c r="C8651" s="3" t="s">
        <v>11281</v>
      </c>
      <c r="D8651" s="3" t="s">
        <v>11656</v>
      </c>
      <c r="E8651" s="3" t="s">
        <v>11657</v>
      </c>
      <c r="F8651" s="3" t="s">
        <v>11658</v>
      </c>
    </row>
    <row r="8652">
      <c r="A8652" s="3">
        <v>116.0</v>
      </c>
      <c r="B8652" s="3" t="s">
        <v>19423</v>
      </c>
      <c r="C8652" s="3" t="s">
        <v>11281</v>
      </c>
      <c r="D8652" s="3" t="s">
        <v>11659</v>
      </c>
      <c r="E8652" s="3" t="s">
        <v>11660</v>
      </c>
      <c r="F8652" s="3" t="s">
        <v>11661</v>
      </c>
    </row>
    <row r="8653">
      <c r="A8653" s="3">
        <v>117.0</v>
      </c>
      <c r="B8653" s="3" t="s">
        <v>19423</v>
      </c>
      <c r="C8653" s="3" t="s">
        <v>11281</v>
      </c>
      <c r="D8653" s="3" t="s">
        <v>11662</v>
      </c>
      <c r="E8653" s="3" t="s">
        <v>11663</v>
      </c>
      <c r="F8653" s="3" t="s">
        <v>11664</v>
      </c>
    </row>
    <row r="8654">
      <c r="A8654" s="3">
        <v>118.0</v>
      </c>
      <c r="B8654" s="3" t="s">
        <v>19423</v>
      </c>
      <c r="C8654" s="3" t="s">
        <v>11281</v>
      </c>
      <c r="D8654" s="3" t="s">
        <v>11665</v>
      </c>
      <c r="E8654" s="3" t="s">
        <v>11666</v>
      </c>
      <c r="F8654" s="3" t="s">
        <v>11667</v>
      </c>
    </row>
    <row r="8655">
      <c r="A8655" s="3">
        <v>119.0</v>
      </c>
      <c r="B8655" s="3" t="s">
        <v>19423</v>
      </c>
      <c r="C8655" s="3" t="s">
        <v>11281</v>
      </c>
      <c r="D8655" s="3" t="s">
        <v>11668</v>
      </c>
      <c r="E8655" s="3" t="s">
        <v>11669</v>
      </c>
      <c r="F8655" s="3" t="s">
        <v>11670</v>
      </c>
    </row>
    <row r="8656">
      <c r="A8656" s="3">
        <v>120.0</v>
      </c>
      <c r="B8656" s="3" t="s">
        <v>19423</v>
      </c>
      <c r="C8656" s="3" t="s">
        <v>11281</v>
      </c>
      <c r="D8656" s="3" t="s">
        <v>11671</v>
      </c>
      <c r="E8656" s="3" t="s">
        <v>11672</v>
      </c>
      <c r="F8656" s="3" t="s">
        <v>11673</v>
      </c>
    </row>
    <row r="8657">
      <c r="A8657" s="3">
        <v>121.0</v>
      </c>
      <c r="B8657" s="3" t="s">
        <v>19423</v>
      </c>
      <c r="C8657" s="3" t="s">
        <v>11281</v>
      </c>
      <c r="D8657" s="3" t="s">
        <v>11674</v>
      </c>
      <c r="E8657" s="3" t="s">
        <v>19468</v>
      </c>
      <c r="F8657" s="3" t="s">
        <v>19469</v>
      </c>
    </row>
    <row r="8658">
      <c r="A8658" s="3">
        <v>122.0</v>
      </c>
      <c r="B8658" s="3" t="s">
        <v>19423</v>
      </c>
      <c r="C8658" s="3" t="s">
        <v>11281</v>
      </c>
      <c r="D8658" s="3" t="s">
        <v>11677</v>
      </c>
      <c r="E8658" s="3" t="s">
        <v>19470</v>
      </c>
      <c r="F8658" s="3" t="s">
        <v>19471</v>
      </c>
    </row>
    <row r="8659">
      <c r="A8659" s="3">
        <v>123.0</v>
      </c>
      <c r="B8659" s="3" t="s">
        <v>19423</v>
      </c>
      <c r="C8659" s="3" t="s">
        <v>11281</v>
      </c>
      <c r="D8659" s="3" t="s">
        <v>11680</v>
      </c>
      <c r="E8659" s="3" t="s">
        <v>19472</v>
      </c>
      <c r="F8659" s="3" t="s">
        <v>19473</v>
      </c>
    </row>
    <row r="8660">
      <c r="A8660" s="3">
        <v>124.0</v>
      </c>
      <c r="B8660" s="3" t="s">
        <v>19423</v>
      </c>
      <c r="C8660" s="3" t="s">
        <v>11281</v>
      </c>
      <c r="D8660" s="3" t="s">
        <v>11683</v>
      </c>
      <c r="E8660" s="3" t="s">
        <v>19474</v>
      </c>
      <c r="F8660" s="3" t="s">
        <v>19475</v>
      </c>
    </row>
    <row r="8661">
      <c r="A8661" s="3">
        <v>125.0</v>
      </c>
      <c r="B8661" s="3" t="s">
        <v>19423</v>
      </c>
      <c r="C8661" s="3" t="s">
        <v>11281</v>
      </c>
      <c r="D8661" s="3" t="s">
        <v>11686</v>
      </c>
      <c r="E8661" s="3" t="s">
        <v>19476</v>
      </c>
      <c r="F8661" s="3" t="s">
        <v>19477</v>
      </c>
    </row>
    <row r="8662">
      <c r="A8662" s="3">
        <v>126.0</v>
      </c>
      <c r="B8662" s="3" t="s">
        <v>19423</v>
      </c>
      <c r="C8662" s="3" t="s">
        <v>11281</v>
      </c>
      <c r="D8662" s="3" t="s">
        <v>11689</v>
      </c>
      <c r="E8662" s="3" t="s">
        <v>19478</v>
      </c>
      <c r="F8662" s="3" t="s">
        <v>19479</v>
      </c>
    </row>
    <row r="8663">
      <c r="A8663" s="3">
        <v>127.0</v>
      </c>
      <c r="B8663" s="3" t="s">
        <v>19423</v>
      </c>
      <c r="C8663" s="3" t="s">
        <v>11281</v>
      </c>
      <c r="D8663" s="3" t="s">
        <v>11692</v>
      </c>
      <c r="E8663" s="3" t="s">
        <v>19480</v>
      </c>
      <c r="F8663" s="3" t="s">
        <v>19481</v>
      </c>
    </row>
    <row r="8664">
      <c r="A8664" s="3">
        <v>128.0</v>
      </c>
      <c r="B8664" s="3" t="s">
        <v>19423</v>
      </c>
      <c r="C8664" s="3" t="s">
        <v>11281</v>
      </c>
      <c r="D8664" s="3" t="s">
        <v>11695</v>
      </c>
      <c r="E8664" s="3" t="s">
        <v>19482</v>
      </c>
      <c r="F8664" s="3" t="s">
        <v>19483</v>
      </c>
    </row>
    <row r="8665">
      <c r="A8665" s="3">
        <v>129.0</v>
      </c>
      <c r="B8665" s="3" t="s">
        <v>19423</v>
      </c>
      <c r="C8665" s="3" t="s">
        <v>11281</v>
      </c>
      <c r="D8665" s="3" t="s">
        <v>11698</v>
      </c>
      <c r="E8665" s="3" t="s">
        <v>19484</v>
      </c>
      <c r="F8665" s="3" t="s">
        <v>19485</v>
      </c>
    </row>
    <row r="8666">
      <c r="A8666" s="3">
        <v>130.0</v>
      </c>
      <c r="B8666" s="3" t="s">
        <v>19423</v>
      </c>
      <c r="C8666" s="3" t="s">
        <v>11281</v>
      </c>
      <c r="D8666" s="3" t="s">
        <v>11701</v>
      </c>
      <c r="E8666" s="3" t="s">
        <v>19486</v>
      </c>
      <c r="F8666" s="3" t="s">
        <v>19487</v>
      </c>
    </row>
    <row r="8667">
      <c r="A8667" s="3">
        <v>131.0</v>
      </c>
      <c r="B8667" s="3" t="s">
        <v>19423</v>
      </c>
      <c r="C8667" s="3" t="s">
        <v>11281</v>
      </c>
      <c r="D8667" s="3" t="s">
        <v>11704</v>
      </c>
      <c r="E8667" s="3" t="s">
        <v>19488</v>
      </c>
      <c r="F8667" s="3" t="s">
        <v>19489</v>
      </c>
    </row>
    <row r="8668">
      <c r="A8668" s="3">
        <v>132.0</v>
      </c>
      <c r="B8668" s="3" t="s">
        <v>19423</v>
      </c>
      <c r="C8668" s="3" t="s">
        <v>11281</v>
      </c>
      <c r="D8668" s="3" t="s">
        <v>11707</v>
      </c>
      <c r="E8668" s="3" t="s">
        <v>19490</v>
      </c>
      <c r="F8668" s="3" t="s">
        <v>19491</v>
      </c>
    </row>
    <row r="8669">
      <c r="A8669" s="3">
        <v>133.0</v>
      </c>
      <c r="B8669" s="3" t="s">
        <v>19423</v>
      </c>
      <c r="C8669" s="3" t="s">
        <v>11281</v>
      </c>
      <c r="D8669" s="3" t="s">
        <v>11710</v>
      </c>
      <c r="E8669" s="3" t="s">
        <v>19492</v>
      </c>
      <c r="F8669" s="3" t="s">
        <v>19493</v>
      </c>
    </row>
    <row r="8670">
      <c r="A8670" s="3">
        <v>134.0</v>
      </c>
      <c r="B8670" s="3" t="s">
        <v>19423</v>
      </c>
      <c r="C8670" s="3" t="s">
        <v>11281</v>
      </c>
      <c r="D8670" s="3" t="s">
        <v>11713</v>
      </c>
      <c r="E8670" s="3" t="s">
        <v>19494</v>
      </c>
      <c r="F8670" s="3" t="s">
        <v>19495</v>
      </c>
    </row>
    <row r="8671">
      <c r="A8671" s="3">
        <v>135.0</v>
      </c>
      <c r="B8671" s="3" t="s">
        <v>19423</v>
      </c>
      <c r="C8671" s="3" t="s">
        <v>11281</v>
      </c>
      <c r="D8671" s="3" t="s">
        <v>11716</v>
      </c>
      <c r="E8671" s="3" t="s">
        <v>11717</v>
      </c>
      <c r="F8671" s="3" t="s">
        <v>280</v>
      </c>
    </row>
    <row r="8672">
      <c r="A8672" s="3">
        <v>136.0</v>
      </c>
      <c r="B8672" s="3" t="s">
        <v>19423</v>
      </c>
      <c r="C8672" s="3" t="s">
        <v>11281</v>
      </c>
      <c r="D8672" s="3" t="s">
        <v>11718</v>
      </c>
      <c r="E8672" s="3" t="s">
        <v>11719</v>
      </c>
      <c r="F8672" s="3" t="s">
        <v>724</v>
      </c>
    </row>
    <row r="8673">
      <c r="A8673" s="3">
        <v>137.0</v>
      </c>
      <c r="B8673" s="3" t="s">
        <v>19423</v>
      </c>
      <c r="C8673" s="3" t="s">
        <v>11281</v>
      </c>
      <c r="D8673" s="3" t="s">
        <v>11720</v>
      </c>
      <c r="E8673" s="3" t="s">
        <v>11721</v>
      </c>
      <c r="F8673" s="3" t="s">
        <v>11722</v>
      </c>
      <c r="G8673" s="3"/>
      <c r="H8673" s="3" t="s">
        <v>11723</v>
      </c>
      <c r="I8673" s="3" t="s">
        <v>11724</v>
      </c>
      <c r="J8673" s="3" t="s">
        <v>11725</v>
      </c>
      <c r="K8673" s="3" t="s">
        <v>11726</v>
      </c>
      <c r="L8673" s="3" t="s">
        <v>11727</v>
      </c>
      <c r="M8673" s="3" t="s">
        <v>11728</v>
      </c>
      <c r="N8673" s="3" t="s">
        <v>11729</v>
      </c>
      <c r="O8673" s="3" t="s">
        <v>11730</v>
      </c>
      <c r="P8673" s="3" t="s">
        <v>11731</v>
      </c>
      <c r="Q8673" s="3" t="s">
        <v>11732</v>
      </c>
      <c r="R8673" s="3" t="s">
        <v>11727</v>
      </c>
      <c r="S8673" s="3" t="s">
        <v>11733</v>
      </c>
      <c r="T8673" s="3" t="s">
        <v>11734</v>
      </c>
      <c r="U8673" s="3" t="s">
        <v>11735</v>
      </c>
      <c r="V8673" s="3" t="s">
        <v>11736</v>
      </c>
      <c r="W8673" s="3" t="s">
        <v>11737</v>
      </c>
      <c r="X8673" s="3" t="s">
        <v>11738</v>
      </c>
      <c r="Y8673" s="3" t="s">
        <v>11739</v>
      </c>
      <c r="Z8673" s="3" t="s">
        <v>11740</v>
      </c>
      <c r="AA8673" s="3" t="s">
        <v>11741</v>
      </c>
      <c r="AB8673" s="3" t="s">
        <v>11742</v>
      </c>
      <c r="AC8673" s="3" t="s">
        <v>11743</v>
      </c>
      <c r="AD8673" s="3" t="s">
        <v>11744</v>
      </c>
      <c r="AE8673" s="3" t="s">
        <v>11745</v>
      </c>
      <c r="AF8673" s="3" t="s">
        <v>11746</v>
      </c>
      <c r="AG8673" s="3" t="s">
        <v>11747</v>
      </c>
      <c r="AH8673" s="3" t="s">
        <v>11748</v>
      </c>
      <c r="AI8673" s="3" t="s">
        <v>210</v>
      </c>
      <c r="AJ8673" s="3" t="s">
        <v>11749</v>
      </c>
      <c r="AK8673" s="3" t="s">
        <v>11750</v>
      </c>
      <c r="AL8673" s="3" t="s">
        <v>11751</v>
      </c>
      <c r="AM8673" s="3" t="s">
        <v>11723</v>
      </c>
      <c r="AN8673" s="3" t="s">
        <v>11747</v>
      </c>
      <c r="AO8673" s="3" t="s">
        <v>11728</v>
      </c>
      <c r="AP8673" s="3" t="s">
        <v>11752</v>
      </c>
      <c r="AQ8673" s="3" t="s">
        <v>11753</v>
      </c>
      <c r="AR8673" s="3" t="s">
        <v>11754</v>
      </c>
      <c r="AS8673" s="3" t="s">
        <v>11723</v>
      </c>
      <c r="AT8673" s="3" t="s">
        <v>11729</v>
      </c>
      <c r="AU8673" s="3" t="s">
        <v>11755</v>
      </c>
      <c r="AV8673" s="3" t="s">
        <v>11756</v>
      </c>
      <c r="AW8673" s="3" t="s">
        <v>11757</v>
      </c>
      <c r="AX8673" s="3" t="s">
        <v>11758</v>
      </c>
      <c r="AY8673" s="3" t="s">
        <v>11759</v>
      </c>
      <c r="AZ8673" s="3" t="s">
        <v>2149</v>
      </c>
      <c r="BA8673" s="3" t="s">
        <v>11760</v>
      </c>
      <c r="BB8673" s="3" t="s">
        <v>11761</v>
      </c>
      <c r="BC8673" s="3" t="s">
        <v>5311</v>
      </c>
      <c r="BD8673" s="3" t="s">
        <v>11747</v>
      </c>
      <c r="BE8673" s="3" t="s">
        <v>5311</v>
      </c>
      <c r="BF8673" s="3" t="s">
        <v>11747</v>
      </c>
      <c r="BG8673" s="3" t="s">
        <v>11729</v>
      </c>
      <c r="BH8673" s="3" t="s">
        <v>11762</v>
      </c>
      <c r="BI8673" s="3" t="s">
        <v>11733</v>
      </c>
    </row>
    <row r="8674">
      <c r="A8674" s="3">
        <v>138.0</v>
      </c>
      <c r="B8674" s="3" t="s">
        <v>19423</v>
      </c>
      <c r="C8674" s="3" t="s">
        <v>11281</v>
      </c>
      <c r="D8674" s="3" t="s">
        <v>11763</v>
      </c>
      <c r="E8674" s="3" t="s">
        <v>11764</v>
      </c>
      <c r="F8674" s="3" t="s">
        <v>11765</v>
      </c>
    </row>
    <row r="8675">
      <c r="A8675" s="3">
        <v>139.0</v>
      </c>
      <c r="B8675" s="3" t="s">
        <v>19423</v>
      </c>
      <c r="C8675" s="3" t="s">
        <v>11281</v>
      </c>
      <c r="D8675" s="3" t="s">
        <v>11766</v>
      </c>
      <c r="E8675" s="3" t="s">
        <v>11767</v>
      </c>
      <c r="F8675" s="3" t="s">
        <v>11768</v>
      </c>
    </row>
    <row r="8676">
      <c r="A8676" s="3">
        <v>140.0</v>
      </c>
      <c r="B8676" s="3" t="s">
        <v>19423</v>
      </c>
      <c r="C8676" s="3" t="s">
        <v>11281</v>
      </c>
      <c r="D8676" s="3" t="s">
        <v>11769</v>
      </c>
      <c r="E8676" s="3" t="s">
        <v>11770</v>
      </c>
      <c r="F8676" s="3" t="s">
        <v>11771</v>
      </c>
    </row>
    <row r="8677">
      <c r="A8677" s="3">
        <v>141.0</v>
      </c>
      <c r="B8677" s="3" t="s">
        <v>19423</v>
      </c>
      <c r="C8677" s="3" t="s">
        <v>11281</v>
      </c>
      <c r="D8677" s="3" t="s">
        <v>11772</v>
      </c>
      <c r="E8677" s="3" t="s">
        <v>11773</v>
      </c>
      <c r="F8677" s="3" t="s">
        <v>289</v>
      </c>
    </row>
    <row r="8678">
      <c r="A8678" s="3">
        <v>142.0</v>
      </c>
      <c r="B8678" s="3" t="s">
        <v>19423</v>
      </c>
      <c r="C8678" s="3" t="s">
        <v>11281</v>
      </c>
      <c r="D8678" s="3" t="s">
        <v>11774</v>
      </c>
      <c r="E8678" s="3" t="s">
        <v>11775</v>
      </c>
      <c r="F8678" s="3" t="s">
        <v>11776</v>
      </c>
    </row>
    <row r="8679">
      <c r="A8679" s="3">
        <v>143.0</v>
      </c>
      <c r="B8679" s="3" t="s">
        <v>19423</v>
      </c>
      <c r="C8679" s="3" t="s">
        <v>11281</v>
      </c>
      <c r="D8679" s="3" t="s">
        <v>11777</v>
      </c>
      <c r="E8679" s="3" t="s">
        <v>11778</v>
      </c>
      <c r="F8679" s="3" t="s">
        <v>11779</v>
      </c>
    </row>
    <row r="8680">
      <c r="A8680" s="3">
        <v>144.0</v>
      </c>
      <c r="B8680" s="3" t="s">
        <v>19423</v>
      </c>
      <c r="C8680" s="3" t="s">
        <v>11281</v>
      </c>
      <c r="D8680" s="3" t="s">
        <v>11780</v>
      </c>
      <c r="E8680" s="3" t="s">
        <v>11781</v>
      </c>
      <c r="F8680" s="3" t="s">
        <v>11782</v>
      </c>
    </row>
    <row r="8681">
      <c r="A8681" s="3">
        <v>145.0</v>
      </c>
      <c r="B8681" s="3" t="s">
        <v>19423</v>
      </c>
      <c r="C8681" s="3" t="s">
        <v>11281</v>
      </c>
      <c r="D8681" s="3" t="s">
        <v>11783</v>
      </c>
      <c r="E8681" s="3" t="s">
        <v>11784</v>
      </c>
      <c r="F8681" s="3" t="s">
        <v>11785</v>
      </c>
    </row>
    <row r="8682">
      <c r="A8682" s="3">
        <v>146.0</v>
      </c>
      <c r="B8682" s="3" t="s">
        <v>19423</v>
      </c>
      <c r="C8682" s="3" t="s">
        <v>11281</v>
      </c>
      <c r="D8682" s="3" t="s">
        <v>11786</v>
      </c>
      <c r="E8682" s="3" t="s">
        <v>11787</v>
      </c>
      <c r="F8682" s="3" t="s">
        <v>11788</v>
      </c>
    </row>
    <row r="8683">
      <c r="A8683" s="3">
        <v>147.0</v>
      </c>
      <c r="B8683" s="3" t="s">
        <v>19423</v>
      </c>
      <c r="C8683" s="3" t="s">
        <v>11281</v>
      </c>
      <c r="D8683" s="3" t="s">
        <v>11789</v>
      </c>
      <c r="E8683" s="3" t="s">
        <v>11790</v>
      </c>
      <c r="F8683" s="3" t="s">
        <v>11791</v>
      </c>
    </row>
    <row r="8684">
      <c r="A8684" s="3">
        <v>148.0</v>
      </c>
      <c r="B8684" s="3" t="s">
        <v>19423</v>
      </c>
      <c r="C8684" s="3" t="s">
        <v>11281</v>
      </c>
      <c r="D8684" s="3" t="s">
        <v>11792</v>
      </c>
      <c r="E8684" s="3" t="s">
        <v>11793</v>
      </c>
      <c r="F8684" s="3" t="s">
        <v>11794</v>
      </c>
    </row>
    <row r="8685">
      <c r="A8685" s="3">
        <v>149.0</v>
      </c>
      <c r="B8685" s="3" t="s">
        <v>19423</v>
      </c>
      <c r="C8685" s="3" t="s">
        <v>11281</v>
      </c>
      <c r="D8685" s="3" t="s">
        <v>11795</v>
      </c>
      <c r="E8685" s="3" t="s">
        <v>11796</v>
      </c>
      <c r="F8685" s="3" t="s">
        <v>11797</v>
      </c>
    </row>
    <row r="8686">
      <c r="A8686" s="3">
        <v>150.0</v>
      </c>
      <c r="B8686" s="3" t="s">
        <v>19423</v>
      </c>
      <c r="C8686" s="3" t="s">
        <v>11281</v>
      </c>
      <c r="D8686" s="3" t="s">
        <v>11798</v>
      </c>
      <c r="E8686" s="3" t="s">
        <v>11799</v>
      </c>
      <c r="F8686" s="3" t="s">
        <v>11800</v>
      </c>
    </row>
    <row r="8687">
      <c r="A8687" s="3">
        <v>151.0</v>
      </c>
      <c r="B8687" s="3" t="s">
        <v>19423</v>
      </c>
      <c r="C8687" s="3" t="s">
        <v>11281</v>
      </c>
      <c r="D8687" s="3" t="s">
        <v>11801</v>
      </c>
      <c r="E8687" s="3" t="s">
        <v>11802</v>
      </c>
      <c r="F8687" s="3" t="s">
        <v>11803</v>
      </c>
      <c r="G8687" s="3"/>
      <c r="H8687" s="3" t="s">
        <v>11804</v>
      </c>
      <c r="I8687" s="3" t="s">
        <v>11805</v>
      </c>
      <c r="J8687" s="3" t="s">
        <v>10170</v>
      </c>
      <c r="K8687" s="3" t="s">
        <v>10170</v>
      </c>
      <c r="L8687" s="3" t="s">
        <v>11806</v>
      </c>
      <c r="M8687" s="3" t="s">
        <v>11807</v>
      </c>
      <c r="N8687" s="3" t="s">
        <v>11808</v>
      </c>
      <c r="O8687" s="3" t="s">
        <v>11809</v>
      </c>
      <c r="P8687" s="3" t="s">
        <v>10170</v>
      </c>
    </row>
    <row r="8688">
      <c r="A8688" s="3">
        <v>152.0</v>
      </c>
      <c r="B8688" s="3" t="s">
        <v>19423</v>
      </c>
      <c r="C8688" s="3" t="s">
        <v>11281</v>
      </c>
      <c r="D8688" s="3" t="s">
        <v>11810</v>
      </c>
      <c r="E8688" s="3" t="s">
        <v>11811</v>
      </c>
      <c r="F8688" s="3" t="s">
        <v>11812</v>
      </c>
    </row>
    <row r="8689">
      <c r="A8689" s="3">
        <v>153.0</v>
      </c>
      <c r="B8689" s="3" t="s">
        <v>19423</v>
      </c>
      <c r="C8689" s="3" t="s">
        <v>11281</v>
      </c>
      <c r="D8689" s="3" t="s">
        <v>11813</v>
      </c>
      <c r="E8689" s="3" t="s">
        <v>11814</v>
      </c>
      <c r="F8689" s="3" t="s">
        <v>11815</v>
      </c>
    </row>
    <row r="8690">
      <c r="A8690" s="3">
        <v>154.0</v>
      </c>
      <c r="B8690" s="3" t="s">
        <v>19423</v>
      </c>
      <c r="C8690" s="3" t="s">
        <v>11281</v>
      </c>
      <c r="D8690" s="3" t="s">
        <v>11816</v>
      </c>
      <c r="E8690" s="3" t="s">
        <v>19496</v>
      </c>
      <c r="F8690" s="3" t="s">
        <v>19497</v>
      </c>
    </row>
    <row r="8691">
      <c r="A8691" s="3">
        <v>155.0</v>
      </c>
      <c r="B8691" s="3" t="s">
        <v>19423</v>
      </c>
      <c r="C8691" s="3" t="s">
        <v>11281</v>
      </c>
      <c r="D8691" s="3" t="s">
        <v>11818</v>
      </c>
      <c r="E8691" s="3" t="s">
        <v>19498</v>
      </c>
      <c r="F8691" s="3" t="s">
        <v>19499</v>
      </c>
    </row>
    <row r="8692">
      <c r="A8692" s="3">
        <v>156.0</v>
      </c>
      <c r="B8692" s="3" t="s">
        <v>19423</v>
      </c>
      <c r="C8692" s="3" t="s">
        <v>11281</v>
      </c>
      <c r="D8692" s="3" t="s">
        <v>11820</v>
      </c>
      <c r="E8692" s="3" t="s">
        <v>19500</v>
      </c>
      <c r="F8692" s="3" t="s">
        <v>19501</v>
      </c>
      <c r="G8692" s="3"/>
      <c r="H8692" s="3" t="s">
        <v>11822</v>
      </c>
    </row>
    <row r="8693">
      <c r="A8693" s="3">
        <v>157.0</v>
      </c>
      <c r="B8693" s="3" t="s">
        <v>19423</v>
      </c>
      <c r="C8693" s="3" t="s">
        <v>11281</v>
      </c>
      <c r="D8693" s="3" t="s">
        <v>11823</v>
      </c>
      <c r="E8693" s="3" t="s">
        <v>19502</v>
      </c>
      <c r="F8693" s="3" t="s">
        <v>19503</v>
      </c>
    </row>
    <row r="8694">
      <c r="A8694" s="3">
        <v>158.0</v>
      </c>
      <c r="B8694" s="3" t="s">
        <v>19423</v>
      </c>
      <c r="C8694" s="3" t="s">
        <v>11281</v>
      </c>
      <c r="D8694" s="3" t="s">
        <v>11825</v>
      </c>
      <c r="E8694" s="3" t="s">
        <v>19504</v>
      </c>
      <c r="F8694" s="3" t="s">
        <v>19505</v>
      </c>
    </row>
    <row r="8695">
      <c r="A8695" s="3">
        <v>159.0</v>
      </c>
      <c r="B8695" s="3" t="s">
        <v>19423</v>
      </c>
      <c r="C8695" s="3" t="s">
        <v>11281</v>
      </c>
      <c r="D8695" s="3" t="s">
        <v>11827</v>
      </c>
      <c r="E8695" s="3" t="s">
        <v>19506</v>
      </c>
      <c r="F8695" s="3" t="s">
        <v>19507</v>
      </c>
    </row>
    <row r="8696">
      <c r="A8696" s="3">
        <v>160.0</v>
      </c>
      <c r="B8696" s="3" t="s">
        <v>19423</v>
      </c>
      <c r="C8696" s="3" t="s">
        <v>11281</v>
      </c>
      <c r="D8696" s="3" t="s">
        <v>11829</v>
      </c>
      <c r="E8696" s="3" t="s">
        <v>19508</v>
      </c>
      <c r="F8696" s="3" t="s">
        <v>19509</v>
      </c>
    </row>
    <row r="8697">
      <c r="A8697" s="3">
        <v>161.0</v>
      </c>
      <c r="B8697" s="3" t="s">
        <v>19423</v>
      </c>
      <c r="C8697" s="3" t="s">
        <v>11281</v>
      </c>
      <c r="D8697" s="3" t="s">
        <v>11831</v>
      </c>
      <c r="E8697" s="3" t="s">
        <v>11832</v>
      </c>
      <c r="F8697" s="3" t="s">
        <v>269</v>
      </c>
    </row>
    <row r="8698">
      <c r="A8698" s="3">
        <v>162.0</v>
      </c>
      <c r="B8698" s="3" t="s">
        <v>19423</v>
      </c>
      <c r="C8698" s="3" t="s">
        <v>11281</v>
      </c>
      <c r="D8698" s="3" t="s">
        <v>11833</v>
      </c>
      <c r="E8698" s="3" t="s">
        <v>11834</v>
      </c>
      <c r="F8698" s="3" t="s">
        <v>11835</v>
      </c>
    </row>
    <row r="8699">
      <c r="A8699" s="3">
        <v>163.0</v>
      </c>
      <c r="B8699" s="3" t="s">
        <v>19423</v>
      </c>
      <c r="C8699" s="3" t="s">
        <v>11281</v>
      </c>
      <c r="D8699" s="3" t="s">
        <v>11836</v>
      </c>
      <c r="E8699" s="3" t="s">
        <v>11837</v>
      </c>
      <c r="F8699" s="3" t="s">
        <v>11838</v>
      </c>
    </row>
    <row r="8700">
      <c r="A8700" s="3">
        <v>164.0</v>
      </c>
      <c r="B8700" s="3" t="s">
        <v>19423</v>
      </c>
      <c r="C8700" s="3" t="s">
        <v>11281</v>
      </c>
      <c r="D8700" s="3" t="s">
        <v>11839</v>
      </c>
      <c r="E8700" s="3" t="s">
        <v>11840</v>
      </c>
      <c r="F8700" s="3" t="s">
        <v>11841</v>
      </c>
    </row>
    <row r="8701">
      <c r="A8701" s="3">
        <v>165.0</v>
      </c>
      <c r="B8701" s="3" t="s">
        <v>19423</v>
      </c>
      <c r="C8701" s="3" t="s">
        <v>11281</v>
      </c>
      <c r="D8701" s="3" t="s">
        <v>11842</v>
      </c>
      <c r="E8701" s="3" t="s">
        <v>11843</v>
      </c>
      <c r="F8701" s="3" t="s">
        <v>11844</v>
      </c>
    </row>
    <row r="8702">
      <c r="A8702" s="3">
        <v>166.0</v>
      </c>
      <c r="B8702" s="3" t="s">
        <v>19423</v>
      </c>
      <c r="C8702" s="3" t="s">
        <v>11281</v>
      </c>
      <c r="D8702" s="3" t="s">
        <v>11845</v>
      </c>
      <c r="E8702" s="3" t="s">
        <v>11846</v>
      </c>
      <c r="F8702" s="3" t="s">
        <v>11847</v>
      </c>
    </row>
    <row r="8703">
      <c r="A8703" s="3">
        <v>167.0</v>
      </c>
      <c r="B8703" s="3" t="s">
        <v>19423</v>
      </c>
      <c r="C8703" s="3" t="s">
        <v>11281</v>
      </c>
      <c r="D8703" s="3" t="s">
        <v>11848</v>
      </c>
      <c r="E8703" s="3" t="s">
        <v>11849</v>
      </c>
      <c r="F8703" s="3" t="s">
        <v>11850</v>
      </c>
    </row>
    <row r="8704">
      <c r="A8704" s="3">
        <v>168.0</v>
      </c>
      <c r="B8704" s="3" t="s">
        <v>19423</v>
      </c>
      <c r="C8704" s="3" t="s">
        <v>11281</v>
      </c>
      <c r="D8704" s="3" t="s">
        <v>11851</v>
      </c>
      <c r="E8704" s="3" t="s">
        <v>11852</v>
      </c>
      <c r="F8704" s="3" t="s">
        <v>11853</v>
      </c>
    </row>
    <row r="8705">
      <c r="A8705" s="3">
        <v>169.0</v>
      </c>
      <c r="B8705" s="3" t="s">
        <v>19423</v>
      </c>
      <c r="C8705" s="3" t="s">
        <v>11281</v>
      </c>
      <c r="D8705" s="3" t="s">
        <v>11854</v>
      </c>
      <c r="E8705" s="3" t="s">
        <v>11855</v>
      </c>
      <c r="F8705" s="3" t="s">
        <v>11856</v>
      </c>
    </row>
    <row r="8706">
      <c r="A8706" s="3">
        <v>170.0</v>
      </c>
      <c r="B8706" s="3" t="s">
        <v>19423</v>
      </c>
      <c r="C8706" s="3" t="s">
        <v>11281</v>
      </c>
      <c r="D8706" s="3" t="s">
        <v>11857</v>
      </c>
      <c r="E8706" s="3" t="s">
        <v>19510</v>
      </c>
      <c r="F8706" s="3" t="s">
        <v>19511</v>
      </c>
    </row>
    <row r="8707">
      <c r="A8707" s="3">
        <v>171.0</v>
      </c>
      <c r="B8707" s="3" t="s">
        <v>19423</v>
      </c>
      <c r="C8707" s="3" t="s">
        <v>11281</v>
      </c>
      <c r="D8707" s="3" t="s">
        <v>11860</v>
      </c>
      <c r="E8707" s="3" t="s">
        <v>11861</v>
      </c>
      <c r="F8707" s="3" t="s">
        <v>11862</v>
      </c>
    </row>
    <row r="8708">
      <c r="A8708" s="3">
        <v>172.0</v>
      </c>
      <c r="B8708" s="3" t="s">
        <v>19423</v>
      </c>
      <c r="C8708" s="3" t="s">
        <v>11281</v>
      </c>
      <c r="D8708" s="3" t="s">
        <v>11863</v>
      </c>
      <c r="E8708" s="3" t="s">
        <v>11864</v>
      </c>
      <c r="F8708" s="3" t="s">
        <v>11865</v>
      </c>
    </row>
    <row r="8709">
      <c r="A8709" s="3">
        <v>173.0</v>
      </c>
      <c r="B8709" s="3" t="s">
        <v>19423</v>
      </c>
      <c r="C8709" s="3" t="s">
        <v>11281</v>
      </c>
      <c r="D8709" s="3" t="s">
        <v>11866</v>
      </c>
      <c r="E8709" s="3" t="s">
        <v>11867</v>
      </c>
      <c r="F8709" s="3" t="s">
        <v>11868</v>
      </c>
    </row>
    <row r="8710">
      <c r="A8710" s="3">
        <v>174.0</v>
      </c>
      <c r="B8710" s="3" t="s">
        <v>19423</v>
      </c>
      <c r="C8710" s="3" t="s">
        <v>11281</v>
      </c>
      <c r="D8710" s="3" t="s">
        <v>11869</v>
      </c>
      <c r="E8710" s="3" t="s">
        <v>11870</v>
      </c>
      <c r="F8710" s="3" t="s">
        <v>11871</v>
      </c>
    </row>
    <row r="8711">
      <c r="A8711" s="3">
        <v>175.0</v>
      </c>
      <c r="B8711" s="3" t="s">
        <v>19423</v>
      </c>
      <c r="C8711" s="3" t="s">
        <v>11281</v>
      </c>
      <c r="D8711" s="3" t="s">
        <v>11872</v>
      </c>
      <c r="E8711" s="3" t="s">
        <v>11873</v>
      </c>
      <c r="F8711" s="3" t="s">
        <v>11874</v>
      </c>
    </row>
    <row r="8712">
      <c r="A8712" s="3">
        <v>176.0</v>
      </c>
      <c r="B8712" s="3" t="s">
        <v>19423</v>
      </c>
      <c r="C8712" s="3" t="s">
        <v>11281</v>
      </c>
      <c r="D8712" s="3" t="s">
        <v>11875</v>
      </c>
      <c r="E8712" s="3" t="s">
        <v>11876</v>
      </c>
      <c r="F8712" s="3" t="s">
        <v>11877</v>
      </c>
    </row>
    <row r="8713">
      <c r="A8713" s="3">
        <v>177.0</v>
      </c>
      <c r="B8713" s="3" t="s">
        <v>19423</v>
      </c>
      <c r="C8713" s="3" t="s">
        <v>11281</v>
      </c>
      <c r="D8713" s="3" t="s">
        <v>11878</v>
      </c>
      <c r="E8713" s="3" t="s">
        <v>11879</v>
      </c>
      <c r="F8713" s="3" t="s">
        <v>11880</v>
      </c>
    </row>
    <row r="8714">
      <c r="A8714" s="3">
        <v>178.0</v>
      </c>
      <c r="B8714" s="3" t="s">
        <v>19423</v>
      </c>
      <c r="C8714" s="3" t="s">
        <v>11281</v>
      </c>
      <c r="D8714" s="3" t="s">
        <v>362</v>
      </c>
      <c r="E8714" s="3" t="s">
        <v>361</v>
      </c>
      <c r="F8714" s="3" t="s">
        <v>362</v>
      </c>
      <c r="G8714" s="3"/>
      <c r="H8714" s="3" t="s">
        <v>11881</v>
      </c>
      <c r="I8714" s="3" t="s">
        <v>11882</v>
      </c>
      <c r="J8714" s="3" t="s">
        <v>11883</v>
      </c>
      <c r="K8714" s="3" t="s">
        <v>11884</v>
      </c>
    </row>
    <row r="8715">
      <c r="A8715" s="3">
        <v>179.0</v>
      </c>
      <c r="B8715" s="3" t="s">
        <v>19423</v>
      </c>
      <c r="C8715" s="3" t="s">
        <v>11281</v>
      </c>
      <c r="D8715" s="3" t="s">
        <v>480</v>
      </c>
      <c r="E8715" s="3" t="s">
        <v>479</v>
      </c>
      <c r="F8715" s="3" t="s">
        <v>480</v>
      </c>
      <c r="G8715" s="3"/>
      <c r="H8715" s="3" t="s">
        <v>363</v>
      </c>
      <c r="I8715" s="3" t="s">
        <v>364</v>
      </c>
      <c r="J8715" s="3" t="s">
        <v>365</v>
      </c>
      <c r="K8715" s="3" t="s">
        <v>366</v>
      </c>
      <c r="L8715" s="3" t="s">
        <v>363</v>
      </c>
      <c r="M8715" s="3" t="s">
        <v>11885</v>
      </c>
      <c r="N8715" s="3" t="s">
        <v>363</v>
      </c>
      <c r="O8715" s="3" t="s">
        <v>363</v>
      </c>
      <c r="P8715" s="3" t="s">
        <v>9881</v>
      </c>
      <c r="Q8715" s="3" t="s">
        <v>11886</v>
      </c>
    </row>
    <row r="8716">
      <c r="A8716" s="3">
        <v>180.0</v>
      </c>
      <c r="B8716" s="3" t="s">
        <v>19423</v>
      </c>
      <c r="C8716" s="3" t="s">
        <v>11281</v>
      </c>
      <c r="D8716" s="3" t="s">
        <v>11887</v>
      </c>
      <c r="E8716" s="3" t="s">
        <v>11888</v>
      </c>
      <c r="F8716" s="3" t="s">
        <v>11889</v>
      </c>
    </row>
    <row r="8717">
      <c r="A8717" s="3">
        <v>181.0</v>
      </c>
      <c r="B8717" s="3" t="s">
        <v>19423</v>
      </c>
      <c r="C8717" s="3" t="s">
        <v>11281</v>
      </c>
      <c r="D8717" s="3" t="s">
        <v>11890</v>
      </c>
      <c r="E8717" s="3" t="s">
        <v>11891</v>
      </c>
      <c r="F8717" s="3" t="s">
        <v>11892</v>
      </c>
    </row>
    <row r="8718">
      <c r="A8718" s="3">
        <v>182.0</v>
      </c>
      <c r="B8718" s="3" t="s">
        <v>19423</v>
      </c>
      <c r="C8718" s="3" t="s">
        <v>11281</v>
      </c>
      <c r="D8718" s="3" t="s">
        <v>11893</v>
      </c>
      <c r="E8718" s="3" t="s">
        <v>11894</v>
      </c>
      <c r="F8718" s="3" t="s">
        <v>11895</v>
      </c>
    </row>
    <row r="8719">
      <c r="A8719" s="3">
        <v>183.0</v>
      </c>
      <c r="B8719" s="3" t="s">
        <v>19423</v>
      </c>
      <c r="C8719" s="3" t="s">
        <v>11281</v>
      </c>
      <c r="D8719" s="3" t="s">
        <v>11896</v>
      </c>
      <c r="E8719" s="3" t="s">
        <v>11897</v>
      </c>
      <c r="F8719" s="3" t="s">
        <v>11898</v>
      </c>
    </row>
    <row r="8720">
      <c r="A8720" s="3">
        <v>184.0</v>
      </c>
      <c r="B8720" s="3" t="s">
        <v>19423</v>
      </c>
      <c r="C8720" s="3" t="s">
        <v>11281</v>
      </c>
      <c r="D8720" s="3" t="s">
        <v>11899</v>
      </c>
      <c r="E8720" s="3" t="s">
        <v>11900</v>
      </c>
      <c r="F8720" s="3" t="s">
        <v>11901</v>
      </c>
    </row>
    <row r="8721">
      <c r="A8721" s="3">
        <v>185.0</v>
      </c>
      <c r="B8721" s="3" t="s">
        <v>19423</v>
      </c>
      <c r="C8721" s="3" t="s">
        <v>11281</v>
      </c>
      <c r="D8721" s="3" t="s">
        <v>11902</v>
      </c>
      <c r="E8721" s="3" t="s">
        <v>11903</v>
      </c>
      <c r="F8721" s="3" t="s">
        <v>11904</v>
      </c>
    </row>
    <row r="8722">
      <c r="A8722" s="3">
        <v>186.0</v>
      </c>
      <c r="B8722" s="3" t="s">
        <v>19423</v>
      </c>
      <c r="C8722" s="3" t="s">
        <v>11281</v>
      </c>
      <c r="D8722" s="3" t="s">
        <v>11905</v>
      </c>
      <c r="E8722" s="3" t="s">
        <v>11906</v>
      </c>
      <c r="F8722" s="3" t="s">
        <v>11907</v>
      </c>
    </row>
    <row r="8723">
      <c r="A8723" s="3">
        <v>187.0</v>
      </c>
      <c r="B8723" s="3" t="s">
        <v>19423</v>
      </c>
      <c r="C8723" s="3" t="s">
        <v>11281</v>
      </c>
      <c r="D8723" s="3" t="s">
        <v>11908</v>
      </c>
      <c r="E8723" s="3" t="s">
        <v>11909</v>
      </c>
      <c r="F8723" s="3" t="s">
        <v>11908</v>
      </c>
    </row>
    <row r="8724">
      <c r="A8724" s="3">
        <v>188.0</v>
      </c>
      <c r="B8724" s="3" t="s">
        <v>19423</v>
      </c>
      <c r="C8724" s="3" t="s">
        <v>11281</v>
      </c>
      <c r="D8724" s="3" t="s">
        <v>11910</v>
      </c>
      <c r="E8724" s="3" t="s">
        <v>11911</v>
      </c>
      <c r="F8724" s="3" t="s">
        <v>11910</v>
      </c>
    </row>
    <row r="8725">
      <c r="A8725" s="3">
        <v>189.0</v>
      </c>
      <c r="B8725" s="3" t="s">
        <v>19423</v>
      </c>
      <c r="C8725" s="3" t="s">
        <v>11281</v>
      </c>
      <c r="D8725" s="3" t="s">
        <v>11912</v>
      </c>
      <c r="E8725" s="3" t="s">
        <v>11913</v>
      </c>
      <c r="F8725" s="3" t="s">
        <v>11912</v>
      </c>
    </row>
    <row r="8726">
      <c r="A8726" s="3">
        <v>190.0</v>
      </c>
      <c r="B8726" s="3" t="s">
        <v>19423</v>
      </c>
      <c r="C8726" s="3" t="s">
        <v>11281</v>
      </c>
      <c r="D8726" s="3" t="s">
        <v>11914</v>
      </c>
      <c r="E8726" s="3" t="s">
        <v>11915</v>
      </c>
      <c r="F8726" s="3" t="s">
        <v>11914</v>
      </c>
    </row>
    <row r="8727">
      <c r="A8727" s="3">
        <v>191.0</v>
      </c>
      <c r="B8727" s="3" t="s">
        <v>19423</v>
      </c>
      <c r="C8727" s="3" t="s">
        <v>11281</v>
      </c>
      <c r="D8727" s="3" t="s">
        <v>11916</v>
      </c>
      <c r="E8727" s="3" t="s">
        <v>11917</v>
      </c>
      <c r="F8727" s="3" t="s">
        <v>11916</v>
      </c>
    </row>
    <row r="8728">
      <c r="A8728" s="3">
        <v>192.0</v>
      </c>
      <c r="B8728" s="3" t="s">
        <v>19423</v>
      </c>
      <c r="C8728" s="3" t="s">
        <v>11281</v>
      </c>
      <c r="D8728" s="3" t="s">
        <v>11918</v>
      </c>
      <c r="E8728" s="3" t="s">
        <v>11919</v>
      </c>
      <c r="F8728" s="3" t="s">
        <v>11918</v>
      </c>
      <c r="G8728" s="3"/>
      <c r="H8728" s="3" t="s">
        <v>11920</v>
      </c>
      <c r="I8728" s="3" t="s">
        <v>11918</v>
      </c>
    </row>
    <row r="8729">
      <c r="A8729" s="3">
        <v>193.0</v>
      </c>
      <c r="B8729" s="3" t="s">
        <v>19423</v>
      </c>
      <c r="C8729" s="3" t="s">
        <v>11281</v>
      </c>
      <c r="D8729" s="3" t="s">
        <v>489</v>
      </c>
      <c r="E8729" s="3" t="s">
        <v>488</v>
      </c>
      <c r="F8729" s="3" t="s">
        <v>489</v>
      </c>
    </row>
    <row r="8730">
      <c r="A8730" s="3">
        <v>194.0</v>
      </c>
      <c r="B8730" s="3" t="s">
        <v>19423</v>
      </c>
      <c r="C8730" s="3" t="s">
        <v>11281</v>
      </c>
      <c r="D8730" s="3" t="s">
        <v>11921</v>
      </c>
      <c r="E8730" s="3" t="s">
        <v>19512</v>
      </c>
      <c r="F8730" s="3" t="s">
        <v>19513</v>
      </c>
    </row>
    <row r="8731">
      <c r="A8731" s="3">
        <v>195.0</v>
      </c>
      <c r="B8731" s="3" t="s">
        <v>19423</v>
      </c>
      <c r="C8731" s="3" t="s">
        <v>11281</v>
      </c>
      <c r="D8731" s="3" t="s">
        <v>11924</v>
      </c>
      <c r="E8731" s="3" t="s">
        <v>19514</v>
      </c>
      <c r="F8731" s="3" t="s">
        <v>19515</v>
      </c>
    </row>
    <row r="8732">
      <c r="A8732" s="3">
        <v>196.0</v>
      </c>
      <c r="B8732" s="3" t="s">
        <v>19423</v>
      </c>
      <c r="C8732" s="3" t="s">
        <v>11281</v>
      </c>
      <c r="D8732" s="3" t="s">
        <v>11927</v>
      </c>
      <c r="E8732" s="3" t="s">
        <v>11928</v>
      </c>
      <c r="F8732" s="3" t="s">
        <v>11889</v>
      </c>
    </row>
    <row r="8733">
      <c r="A8733" s="3">
        <v>197.0</v>
      </c>
      <c r="B8733" s="3" t="s">
        <v>19423</v>
      </c>
      <c r="C8733" s="3" t="s">
        <v>11281</v>
      </c>
      <c r="D8733" s="3" t="s">
        <v>11929</v>
      </c>
      <c r="E8733" s="3" t="s">
        <v>11930</v>
      </c>
      <c r="F8733" s="3" t="s">
        <v>11892</v>
      </c>
    </row>
    <row r="8734">
      <c r="A8734" s="3">
        <v>198.0</v>
      </c>
      <c r="B8734" s="3" t="s">
        <v>19423</v>
      </c>
      <c r="C8734" s="3" t="s">
        <v>11281</v>
      </c>
      <c r="D8734" s="3" t="s">
        <v>11931</v>
      </c>
      <c r="E8734" s="3" t="s">
        <v>11932</v>
      </c>
      <c r="F8734" s="3" t="s">
        <v>11895</v>
      </c>
    </row>
    <row r="8735">
      <c r="A8735" s="3">
        <v>199.0</v>
      </c>
      <c r="B8735" s="3" t="s">
        <v>19423</v>
      </c>
      <c r="C8735" s="3" t="s">
        <v>11281</v>
      </c>
      <c r="D8735" s="3" t="s">
        <v>11933</v>
      </c>
      <c r="E8735" s="3" t="s">
        <v>11934</v>
      </c>
      <c r="F8735" s="3" t="s">
        <v>11898</v>
      </c>
    </row>
    <row r="8736">
      <c r="A8736" s="3">
        <v>200.0</v>
      </c>
      <c r="B8736" s="3" t="s">
        <v>19423</v>
      </c>
      <c r="C8736" s="3" t="s">
        <v>11281</v>
      </c>
      <c r="D8736" s="3" t="s">
        <v>11935</v>
      </c>
      <c r="E8736" s="3" t="s">
        <v>11936</v>
      </c>
      <c r="F8736" s="3" t="s">
        <v>11901</v>
      </c>
    </row>
    <row r="8737">
      <c r="A8737" s="3">
        <v>201.0</v>
      </c>
      <c r="B8737" s="3" t="s">
        <v>19423</v>
      </c>
      <c r="C8737" s="3" t="s">
        <v>11281</v>
      </c>
      <c r="D8737" s="3" t="s">
        <v>11937</v>
      </c>
      <c r="E8737" s="3" t="s">
        <v>11938</v>
      </c>
      <c r="F8737" s="3" t="s">
        <v>11904</v>
      </c>
    </row>
    <row r="8738">
      <c r="A8738" s="3">
        <v>202.0</v>
      </c>
      <c r="B8738" s="3" t="s">
        <v>19423</v>
      </c>
      <c r="C8738" s="3" t="s">
        <v>11281</v>
      </c>
      <c r="D8738" s="3" t="s">
        <v>11939</v>
      </c>
      <c r="E8738" s="3" t="s">
        <v>11940</v>
      </c>
      <c r="F8738" s="3" t="s">
        <v>11907</v>
      </c>
    </row>
    <row r="8739">
      <c r="A8739" s="3">
        <v>203.0</v>
      </c>
      <c r="B8739" s="3" t="s">
        <v>19423</v>
      </c>
      <c r="C8739" s="3" t="s">
        <v>11281</v>
      </c>
      <c r="D8739" s="3" t="s">
        <v>11941</v>
      </c>
      <c r="E8739" s="3" t="s">
        <v>11942</v>
      </c>
      <c r="F8739" s="3" t="s">
        <v>11943</v>
      </c>
    </row>
    <row r="8740">
      <c r="A8740" s="3">
        <v>204.0</v>
      </c>
      <c r="B8740" s="3" t="s">
        <v>19423</v>
      </c>
      <c r="C8740" s="3" t="s">
        <v>11281</v>
      </c>
      <c r="D8740" s="3" t="s">
        <v>11944</v>
      </c>
      <c r="E8740" s="3" t="s">
        <v>11945</v>
      </c>
      <c r="F8740" s="3" t="s">
        <v>11946</v>
      </c>
    </row>
    <row r="8741">
      <c r="A8741" s="3">
        <v>205.0</v>
      </c>
      <c r="B8741" s="3" t="s">
        <v>19423</v>
      </c>
      <c r="C8741" s="3" t="s">
        <v>11281</v>
      </c>
      <c r="D8741" s="3" t="s">
        <v>11947</v>
      </c>
      <c r="E8741" s="3" t="s">
        <v>11948</v>
      </c>
      <c r="F8741" s="3" t="s">
        <v>11949</v>
      </c>
    </row>
    <row r="8742">
      <c r="A8742" s="3">
        <v>206.0</v>
      </c>
      <c r="B8742" s="3" t="s">
        <v>19423</v>
      </c>
      <c r="C8742" s="3" t="s">
        <v>11281</v>
      </c>
      <c r="D8742" s="3" t="s">
        <v>11950</v>
      </c>
      <c r="E8742" s="3" t="s">
        <v>11951</v>
      </c>
      <c r="F8742" s="3" t="s">
        <v>11952</v>
      </c>
    </row>
    <row r="8743">
      <c r="A8743" s="3">
        <v>207.0</v>
      </c>
      <c r="B8743" s="3" t="s">
        <v>19423</v>
      </c>
      <c r="C8743" s="3" t="s">
        <v>11281</v>
      </c>
      <c r="D8743" s="3" t="s">
        <v>11953</v>
      </c>
      <c r="E8743" s="3" t="s">
        <v>11954</v>
      </c>
      <c r="F8743" s="3" t="s">
        <v>11955</v>
      </c>
    </row>
    <row r="8744">
      <c r="A8744" s="3">
        <v>208.0</v>
      </c>
      <c r="B8744" s="3" t="s">
        <v>19423</v>
      </c>
      <c r="C8744" s="3" t="s">
        <v>11281</v>
      </c>
      <c r="D8744" s="3" t="s">
        <v>11956</v>
      </c>
      <c r="E8744" s="3" t="s">
        <v>11957</v>
      </c>
      <c r="F8744" s="3" t="s">
        <v>11958</v>
      </c>
    </row>
    <row r="8745">
      <c r="A8745" s="3">
        <v>209.0</v>
      </c>
      <c r="B8745" s="3" t="s">
        <v>19423</v>
      </c>
      <c r="C8745" s="3" t="s">
        <v>11281</v>
      </c>
      <c r="D8745" s="3" t="s">
        <v>11959</v>
      </c>
      <c r="E8745" s="3" t="s">
        <v>11960</v>
      </c>
      <c r="F8745" s="3" t="s">
        <v>11961</v>
      </c>
    </row>
    <row r="8746">
      <c r="A8746" s="3">
        <v>210.0</v>
      </c>
      <c r="B8746" s="3" t="s">
        <v>19423</v>
      </c>
      <c r="C8746" s="3" t="s">
        <v>11281</v>
      </c>
      <c r="D8746" s="3" t="s">
        <v>11962</v>
      </c>
      <c r="E8746" s="3" t="s">
        <v>11963</v>
      </c>
      <c r="F8746" s="3" t="s">
        <v>11964</v>
      </c>
    </row>
    <row r="8747">
      <c r="A8747" s="3">
        <v>211.0</v>
      </c>
      <c r="B8747" s="3" t="s">
        <v>19423</v>
      </c>
      <c r="C8747" s="3" t="s">
        <v>11281</v>
      </c>
      <c r="D8747" s="3" t="s">
        <v>11965</v>
      </c>
      <c r="E8747" s="3" t="s">
        <v>11966</v>
      </c>
      <c r="F8747" s="3" t="s">
        <v>11967</v>
      </c>
    </row>
    <row r="8748">
      <c r="A8748" s="3">
        <v>212.0</v>
      </c>
      <c r="B8748" s="3" t="s">
        <v>19423</v>
      </c>
      <c r="C8748" s="3" t="s">
        <v>11281</v>
      </c>
      <c r="D8748" s="3" t="s">
        <v>11968</v>
      </c>
      <c r="E8748" s="3" t="s">
        <v>11969</v>
      </c>
      <c r="F8748" s="3" t="s">
        <v>11970</v>
      </c>
    </row>
    <row r="8749">
      <c r="A8749" s="3">
        <v>213.0</v>
      </c>
      <c r="B8749" s="3" t="s">
        <v>19423</v>
      </c>
      <c r="C8749" s="3" t="s">
        <v>11281</v>
      </c>
      <c r="D8749" s="3" t="s">
        <v>11971</v>
      </c>
      <c r="E8749" s="3" t="s">
        <v>11972</v>
      </c>
      <c r="F8749" s="3" t="s">
        <v>11973</v>
      </c>
    </row>
    <row r="8750">
      <c r="A8750" s="3">
        <v>214.0</v>
      </c>
      <c r="B8750" s="3" t="s">
        <v>19423</v>
      </c>
      <c r="C8750" s="3" t="s">
        <v>11281</v>
      </c>
      <c r="D8750" s="3" t="s">
        <v>11974</v>
      </c>
      <c r="E8750" s="3" t="s">
        <v>11975</v>
      </c>
      <c r="F8750" s="3" t="s">
        <v>11976</v>
      </c>
    </row>
    <row r="8751">
      <c r="A8751" s="3">
        <v>215.0</v>
      </c>
      <c r="B8751" s="3" t="s">
        <v>19423</v>
      </c>
      <c r="C8751" s="3" t="s">
        <v>11281</v>
      </c>
      <c r="D8751" s="3" t="s">
        <v>11977</v>
      </c>
      <c r="E8751" s="3" t="s">
        <v>11978</v>
      </c>
      <c r="F8751" s="3" t="s">
        <v>11979</v>
      </c>
    </row>
    <row r="8752">
      <c r="A8752" s="3">
        <v>216.0</v>
      </c>
      <c r="B8752" s="3" t="s">
        <v>19423</v>
      </c>
      <c r="C8752" s="3" t="s">
        <v>11281</v>
      </c>
      <c r="D8752" s="3" t="s">
        <v>11980</v>
      </c>
      <c r="E8752" s="3" t="s">
        <v>11981</v>
      </c>
      <c r="F8752" s="3" t="s">
        <v>11982</v>
      </c>
    </row>
    <row r="8753">
      <c r="A8753" s="3">
        <v>217.0</v>
      </c>
      <c r="B8753" s="3" t="s">
        <v>19423</v>
      </c>
      <c r="C8753" s="3" t="s">
        <v>11281</v>
      </c>
      <c r="D8753" s="3" t="s">
        <v>11983</v>
      </c>
      <c r="E8753" s="3" t="s">
        <v>11984</v>
      </c>
      <c r="F8753" s="3" t="s">
        <v>11985</v>
      </c>
    </row>
    <row r="8754">
      <c r="A8754" s="3">
        <v>218.0</v>
      </c>
      <c r="B8754" s="3" t="s">
        <v>19423</v>
      </c>
      <c r="C8754" s="3" t="s">
        <v>11281</v>
      </c>
      <c r="D8754" s="3" t="s">
        <v>11986</v>
      </c>
      <c r="E8754" s="3" t="s">
        <v>11987</v>
      </c>
      <c r="F8754" s="3" t="s">
        <v>11988</v>
      </c>
    </row>
    <row r="8755">
      <c r="A8755" s="3">
        <v>219.0</v>
      </c>
      <c r="B8755" s="3" t="s">
        <v>19423</v>
      </c>
      <c r="C8755" s="3" t="s">
        <v>11281</v>
      </c>
      <c r="D8755" s="3" t="s">
        <v>11989</v>
      </c>
      <c r="E8755" s="3" t="s">
        <v>11990</v>
      </c>
      <c r="F8755" s="3" t="s">
        <v>11970</v>
      </c>
    </row>
    <row r="8756">
      <c r="A8756" s="3">
        <v>220.0</v>
      </c>
      <c r="B8756" s="3" t="s">
        <v>19423</v>
      </c>
      <c r="C8756" s="3" t="s">
        <v>11281</v>
      </c>
      <c r="D8756" s="3" t="s">
        <v>11991</v>
      </c>
      <c r="E8756" s="3" t="s">
        <v>11992</v>
      </c>
      <c r="F8756" s="3" t="s">
        <v>11973</v>
      </c>
    </row>
    <row r="8757">
      <c r="A8757" s="3">
        <v>221.0</v>
      </c>
      <c r="B8757" s="3" t="s">
        <v>19423</v>
      </c>
      <c r="C8757" s="3" t="s">
        <v>11281</v>
      </c>
      <c r="D8757" s="3" t="s">
        <v>11993</v>
      </c>
      <c r="E8757" s="3" t="s">
        <v>11994</v>
      </c>
      <c r="F8757" s="3" t="s">
        <v>11976</v>
      </c>
    </row>
    <row r="8758">
      <c r="A8758" s="3">
        <v>222.0</v>
      </c>
      <c r="B8758" s="3" t="s">
        <v>19423</v>
      </c>
      <c r="C8758" s="3" t="s">
        <v>11281</v>
      </c>
      <c r="D8758" s="3" t="s">
        <v>11995</v>
      </c>
      <c r="E8758" s="3" t="s">
        <v>11996</v>
      </c>
      <c r="F8758" s="3" t="s">
        <v>11979</v>
      </c>
    </row>
    <row r="8759">
      <c r="A8759" s="3">
        <v>223.0</v>
      </c>
      <c r="B8759" s="3" t="s">
        <v>19423</v>
      </c>
      <c r="C8759" s="3" t="s">
        <v>11281</v>
      </c>
      <c r="D8759" s="3" t="s">
        <v>11997</v>
      </c>
      <c r="E8759" s="3" t="s">
        <v>11998</v>
      </c>
      <c r="F8759" s="3" t="s">
        <v>11982</v>
      </c>
    </row>
    <row r="8760">
      <c r="A8760" s="3">
        <v>224.0</v>
      </c>
      <c r="B8760" s="3" t="s">
        <v>19423</v>
      </c>
      <c r="C8760" s="3" t="s">
        <v>11281</v>
      </c>
      <c r="D8760" s="3" t="s">
        <v>11999</v>
      </c>
      <c r="E8760" s="3" t="s">
        <v>12000</v>
      </c>
      <c r="F8760" s="3" t="s">
        <v>12001</v>
      </c>
    </row>
    <row r="8761">
      <c r="A8761" s="3">
        <v>225.0</v>
      </c>
      <c r="B8761" s="3" t="s">
        <v>19423</v>
      </c>
      <c r="C8761" s="3" t="s">
        <v>11281</v>
      </c>
      <c r="D8761" s="3" t="s">
        <v>12002</v>
      </c>
      <c r="E8761" s="3" t="s">
        <v>12003</v>
      </c>
      <c r="F8761" s="3" t="s">
        <v>12004</v>
      </c>
    </row>
    <row r="8762">
      <c r="A8762" s="3">
        <v>226.0</v>
      </c>
      <c r="B8762" s="3" t="s">
        <v>19423</v>
      </c>
      <c r="C8762" s="3" t="s">
        <v>11281</v>
      </c>
      <c r="D8762" s="3" t="s">
        <v>12005</v>
      </c>
      <c r="E8762" s="3" t="s">
        <v>12006</v>
      </c>
      <c r="F8762" s="3" t="s">
        <v>12007</v>
      </c>
    </row>
    <row r="8763">
      <c r="A8763" s="3">
        <v>227.0</v>
      </c>
      <c r="B8763" s="3" t="s">
        <v>19423</v>
      </c>
      <c r="C8763" s="3" t="s">
        <v>11281</v>
      </c>
      <c r="D8763" s="3" t="s">
        <v>12008</v>
      </c>
      <c r="E8763" s="3" t="s">
        <v>12009</v>
      </c>
      <c r="F8763" s="3" t="s">
        <v>12010</v>
      </c>
    </row>
    <row r="8764">
      <c r="A8764" s="3">
        <v>228.0</v>
      </c>
      <c r="B8764" s="3" t="s">
        <v>19423</v>
      </c>
      <c r="C8764" s="3" t="s">
        <v>11281</v>
      </c>
      <c r="D8764" s="3" t="s">
        <v>12011</v>
      </c>
      <c r="E8764" s="3" t="s">
        <v>12012</v>
      </c>
      <c r="F8764" s="3" t="s">
        <v>11985</v>
      </c>
    </row>
    <row r="8765">
      <c r="A8765" s="3">
        <v>229.0</v>
      </c>
      <c r="B8765" s="3" t="s">
        <v>19423</v>
      </c>
      <c r="C8765" s="3" t="s">
        <v>11281</v>
      </c>
      <c r="D8765" s="3" t="s">
        <v>12013</v>
      </c>
      <c r="E8765" s="3" t="s">
        <v>12014</v>
      </c>
      <c r="F8765" s="3" t="s">
        <v>11988</v>
      </c>
    </row>
    <row r="8766">
      <c r="A8766" s="3">
        <v>230.0</v>
      </c>
      <c r="B8766" s="3" t="s">
        <v>19423</v>
      </c>
      <c r="C8766" s="3" t="s">
        <v>11281</v>
      </c>
      <c r="D8766" s="3" t="s">
        <v>12015</v>
      </c>
      <c r="E8766" s="3" t="s">
        <v>12016</v>
      </c>
      <c r="F8766" s="3" t="s">
        <v>12015</v>
      </c>
    </row>
    <row r="8767">
      <c r="A8767" s="3">
        <v>231.0</v>
      </c>
      <c r="B8767" s="3" t="s">
        <v>19423</v>
      </c>
      <c r="C8767" s="3" t="s">
        <v>11281</v>
      </c>
      <c r="D8767" s="3" t="s">
        <v>12017</v>
      </c>
      <c r="E8767" s="3" t="s">
        <v>12018</v>
      </c>
      <c r="F8767" s="3" t="s">
        <v>12017</v>
      </c>
    </row>
    <row r="8768">
      <c r="A8768" s="3">
        <v>232.0</v>
      </c>
      <c r="B8768" s="3" t="s">
        <v>19423</v>
      </c>
      <c r="C8768" s="3" t="s">
        <v>11281</v>
      </c>
      <c r="D8768" s="3" t="s">
        <v>447</v>
      </c>
      <c r="E8768" s="3" t="s">
        <v>446</v>
      </c>
      <c r="F8768" s="3" t="s">
        <v>447</v>
      </c>
    </row>
    <row r="8769">
      <c r="A8769" s="3">
        <v>233.0</v>
      </c>
      <c r="B8769" s="3" t="s">
        <v>19423</v>
      </c>
      <c r="C8769" s="3" t="s">
        <v>11281</v>
      </c>
      <c r="D8769" s="3" t="s">
        <v>12019</v>
      </c>
      <c r="E8769" s="3" t="s">
        <v>12020</v>
      </c>
      <c r="F8769" s="3" t="s">
        <v>12019</v>
      </c>
    </row>
    <row r="8770">
      <c r="A8770" s="3">
        <v>234.0</v>
      </c>
      <c r="B8770" s="3" t="s">
        <v>19423</v>
      </c>
      <c r="C8770" s="3" t="s">
        <v>11281</v>
      </c>
      <c r="D8770" s="3" t="s">
        <v>12021</v>
      </c>
      <c r="E8770" s="3" t="s">
        <v>12022</v>
      </c>
      <c r="F8770" s="3" t="s">
        <v>12021</v>
      </c>
    </row>
    <row r="8771">
      <c r="A8771" s="3">
        <v>235.0</v>
      </c>
      <c r="B8771" s="3" t="s">
        <v>19423</v>
      </c>
      <c r="C8771" s="3" t="s">
        <v>11281</v>
      </c>
      <c r="D8771" s="3" t="s">
        <v>12023</v>
      </c>
      <c r="E8771" s="3" t="s">
        <v>12024</v>
      </c>
      <c r="F8771" s="3" t="s">
        <v>12023</v>
      </c>
    </row>
    <row r="8772">
      <c r="A8772" s="3">
        <v>236.0</v>
      </c>
      <c r="B8772" s="3" t="s">
        <v>19423</v>
      </c>
      <c r="C8772" s="3" t="s">
        <v>11281</v>
      </c>
      <c r="D8772" s="3" t="s">
        <v>12025</v>
      </c>
      <c r="E8772" s="3" t="s">
        <v>12026</v>
      </c>
      <c r="F8772" s="3" t="s">
        <v>12025</v>
      </c>
    </row>
    <row r="8773">
      <c r="A8773" s="3">
        <v>237.0</v>
      </c>
      <c r="B8773" s="3" t="s">
        <v>19423</v>
      </c>
      <c r="C8773" s="3" t="s">
        <v>11281</v>
      </c>
      <c r="D8773" s="3" t="s">
        <v>12027</v>
      </c>
      <c r="E8773" s="3" t="s">
        <v>12028</v>
      </c>
      <c r="F8773" s="3" t="s">
        <v>12027</v>
      </c>
    </row>
    <row r="8774">
      <c r="A8774" s="3">
        <v>238.0</v>
      </c>
      <c r="B8774" s="3" t="s">
        <v>19423</v>
      </c>
      <c r="C8774" s="3" t="s">
        <v>11281</v>
      </c>
      <c r="D8774" s="3" t="s">
        <v>456</v>
      </c>
      <c r="E8774" s="3" t="s">
        <v>455</v>
      </c>
      <c r="F8774" s="3" t="s">
        <v>456</v>
      </c>
    </row>
    <row r="8775">
      <c r="A8775" s="3">
        <v>239.0</v>
      </c>
      <c r="B8775" s="3" t="s">
        <v>19423</v>
      </c>
      <c r="C8775" s="3" t="s">
        <v>11281</v>
      </c>
      <c r="D8775" s="3" t="s">
        <v>12029</v>
      </c>
      <c r="E8775" s="3" t="s">
        <v>12030</v>
      </c>
      <c r="F8775" s="3" t="s">
        <v>12029</v>
      </c>
    </row>
    <row r="8776">
      <c r="A8776" s="3">
        <v>240.0</v>
      </c>
      <c r="B8776" s="3" t="s">
        <v>19423</v>
      </c>
      <c r="C8776" s="3" t="s">
        <v>11281</v>
      </c>
      <c r="D8776" s="3" t="s">
        <v>12031</v>
      </c>
      <c r="E8776" s="3" t="s">
        <v>12032</v>
      </c>
      <c r="F8776" s="3" t="s">
        <v>12031</v>
      </c>
    </row>
    <row r="8777">
      <c r="A8777" s="3">
        <v>241.0</v>
      </c>
      <c r="B8777" s="3" t="s">
        <v>19423</v>
      </c>
      <c r="C8777" s="3" t="s">
        <v>11281</v>
      </c>
      <c r="D8777" s="3" t="s">
        <v>12033</v>
      </c>
      <c r="E8777" s="3" t="s">
        <v>12034</v>
      </c>
      <c r="F8777" s="3" t="s">
        <v>12033</v>
      </c>
    </row>
    <row r="8778">
      <c r="A8778" s="3">
        <v>242.0</v>
      </c>
      <c r="B8778" s="3" t="s">
        <v>19423</v>
      </c>
      <c r="C8778" s="3" t="s">
        <v>11281</v>
      </c>
      <c r="D8778" s="3" t="s">
        <v>12035</v>
      </c>
      <c r="E8778" s="3" t="s">
        <v>12036</v>
      </c>
      <c r="F8778" s="3" t="s">
        <v>12035</v>
      </c>
    </row>
    <row r="8779">
      <c r="A8779" s="3">
        <v>243.0</v>
      </c>
      <c r="B8779" s="3" t="s">
        <v>19423</v>
      </c>
      <c r="C8779" s="3" t="s">
        <v>11281</v>
      </c>
      <c r="D8779" s="3" t="s">
        <v>12037</v>
      </c>
      <c r="E8779" s="3" t="s">
        <v>12038</v>
      </c>
      <c r="F8779" s="3" t="s">
        <v>12037</v>
      </c>
    </row>
    <row r="8780">
      <c r="A8780" s="3">
        <v>244.0</v>
      </c>
      <c r="B8780" s="3" t="s">
        <v>19423</v>
      </c>
      <c r="C8780" s="3" t="s">
        <v>11281</v>
      </c>
      <c r="D8780" s="3" t="s">
        <v>12039</v>
      </c>
      <c r="E8780" s="3" t="s">
        <v>12040</v>
      </c>
      <c r="F8780" s="3" t="s">
        <v>12039</v>
      </c>
    </row>
    <row r="8781">
      <c r="A8781" s="3">
        <v>245.0</v>
      </c>
      <c r="B8781" s="3" t="s">
        <v>19423</v>
      </c>
      <c r="C8781" s="3" t="s">
        <v>11281</v>
      </c>
      <c r="D8781" s="3" t="s">
        <v>12041</v>
      </c>
      <c r="E8781" s="3" t="s">
        <v>12042</v>
      </c>
      <c r="F8781" s="3" t="s">
        <v>12041</v>
      </c>
    </row>
    <row r="8782">
      <c r="A8782" s="3">
        <v>246.0</v>
      </c>
      <c r="B8782" s="3" t="s">
        <v>19423</v>
      </c>
      <c r="C8782" s="3" t="s">
        <v>11281</v>
      </c>
      <c r="D8782" s="3" t="s">
        <v>12043</v>
      </c>
      <c r="E8782" s="3" t="s">
        <v>19516</v>
      </c>
      <c r="F8782" s="3" t="s">
        <v>19517</v>
      </c>
    </row>
    <row r="8783">
      <c r="A8783" s="3">
        <v>247.0</v>
      </c>
      <c r="B8783" s="3" t="s">
        <v>19423</v>
      </c>
      <c r="C8783" s="3" t="s">
        <v>11281</v>
      </c>
      <c r="D8783" s="3" t="s">
        <v>12044</v>
      </c>
      <c r="E8783" s="3" t="s">
        <v>12045</v>
      </c>
      <c r="F8783" s="3" t="s">
        <v>12044</v>
      </c>
    </row>
    <row r="8784">
      <c r="A8784" s="3">
        <v>248.0</v>
      </c>
      <c r="B8784" s="3" t="s">
        <v>19423</v>
      </c>
      <c r="C8784" s="3" t="s">
        <v>11281</v>
      </c>
      <c r="D8784" s="3" t="s">
        <v>12046</v>
      </c>
      <c r="E8784" s="3" t="s">
        <v>12047</v>
      </c>
      <c r="F8784" s="3" t="s">
        <v>12046</v>
      </c>
    </row>
    <row r="8785">
      <c r="A8785" s="3">
        <v>249.0</v>
      </c>
      <c r="B8785" s="3" t="s">
        <v>19423</v>
      </c>
      <c r="C8785" s="3" t="s">
        <v>11281</v>
      </c>
      <c r="D8785" s="3" t="s">
        <v>12048</v>
      </c>
      <c r="E8785" s="3" t="s">
        <v>12049</v>
      </c>
      <c r="F8785" s="3" t="s">
        <v>12048</v>
      </c>
    </row>
    <row r="8786">
      <c r="A8786" s="3">
        <v>250.0</v>
      </c>
      <c r="B8786" s="3" t="s">
        <v>19423</v>
      </c>
      <c r="C8786" s="3" t="s">
        <v>11281</v>
      </c>
      <c r="D8786" s="3" t="s">
        <v>12050</v>
      </c>
      <c r="E8786" s="3" t="s">
        <v>12051</v>
      </c>
      <c r="F8786" s="3" t="s">
        <v>12050</v>
      </c>
    </row>
    <row r="8787">
      <c r="A8787" s="3">
        <v>251.0</v>
      </c>
      <c r="B8787" s="3" t="s">
        <v>19423</v>
      </c>
      <c r="C8787" s="3" t="s">
        <v>11281</v>
      </c>
      <c r="D8787" s="3" t="s">
        <v>12052</v>
      </c>
      <c r="E8787" s="3" t="s">
        <v>12053</v>
      </c>
      <c r="F8787" s="3" t="s">
        <v>12052</v>
      </c>
    </row>
    <row r="8788">
      <c r="A8788" s="3">
        <v>252.0</v>
      </c>
      <c r="B8788" s="3" t="s">
        <v>19423</v>
      </c>
      <c r="C8788" s="3" t="s">
        <v>11281</v>
      </c>
      <c r="D8788" s="3" t="s">
        <v>12054</v>
      </c>
      <c r="E8788" s="3" t="s">
        <v>12055</v>
      </c>
      <c r="F8788" s="3" t="s">
        <v>12054</v>
      </c>
    </row>
    <row r="8789">
      <c r="A8789" s="3">
        <v>253.0</v>
      </c>
      <c r="B8789" s="3" t="s">
        <v>19423</v>
      </c>
      <c r="C8789" s="3" t="s">
        <v>11281</v>
      </c>
      <c r="D8789" s="3" t="s">
        <v>12056</v>
      </c>
      <c r="E8789" s="3" t="s">
        <v>12057</v>
      </c>
      <c r="F8789" s="3" t="s">
        <v>12056</v>
      </c>
    </row>
    <row r="8790">
      <c r="A8790" s="3">
        <v>254.0</v>
      </c>
      <c r="B8790" s="3" t="s">
        <v>19423</v>
      </c>
      <c r="C8790" s="3" t="s">
        <v>11281</v>
      </c>
      <c r="D8790" s="3" t="s">
        <v>12058</v>
      </c>
      <c r="E8790" s="3" t="s">
        <v>19518</v>
      </c>
      <c r="F8790" s="3" t="s">
        <v>19519</v>
      </c>
    </row>
    <row r="8791">
      <c r="A8791" s="3">
        <v>255.0</v>
      </c>
      <c r="B8791" s="3" t="s">
        <v>19423</v>
      </c>
      <c r="C8791" s="3" t="s">
        <v>11281</v>
      </c>
      <c r="D8791" s="3" t="s">
        <v>12061</v>
      </c>
      <c r="E8791" s="3" t="s">
        <v>19520</v>
      </c>
      <c r="F8791" s="3" t="s">
        <v>19521</v>
      </c>
    </row>
    <row r="8792">
      <c r="A8792" s="3">
        <v>256.0</v>
      </c>
      <c r="B8792" s="3" t="s">
        <v>19423</v>
      </c>
      <c r="C8792" s="3" t="s">
        <v>11281</v>
      </c>
      <c r="D8792" s="3" t="s">
        <v>12064</v>
      </c>
      <c r="E8792" s="3" t="s">
        <v>19522</v>
      </c>
      <c r="F8792" s="3" t="s">
        <v>19523</v>
      </c>
    </row>
    <row r="8793">
      <c r="A8793" s="3">
        <v>257.0</v>
      </c>
      <c r="B8793" s="3" t="s">
        <v>19423</v>
      </c>
      <c r="C8793" s="3" t="s">
        <v>11281</v>
      </c>
      <c r="D8793" s="3" t="s">
        <v>12067</v>
      </c>
      <c r="E8793" s="3" t="s">
        <v>19524</v>
      </c>
      <c r="F8793" s="3" t="s">
        <v>19525</v>
      </c>
    </row>
    <row r="8794">
      <c r="A8794" s="3">
        <v>258.0</v>
      </c>
      <c r="B8794" s="3" t="s">
        <v>19423</v>
      </c>
      <c r="C8794" s="3" t="s">
        <v>11281</v>
      </c>
      <c r="D8794" s="3" t="s">
        <v>12070</v>
      </c>
      <c r="E8794" s="3" t="s">
        <v>19526</v>
      </c>
      <c r="F8794" s="3" t="s">
        <v>19527</v>
      </c>
    </row>
    <row r="8795">
      <c r="A8795" s="3">
        <v>259.0</v>
      </c>
      <c r="B8795" s="3" t="s">
        <v>19423</v>
      </c>
      <c r="C8795" s="3" t="s">
        <v>11281</v>
      </c>
      <c r="D8795" s="3" t="s">
        <v>12073</v>
      </c>
      <c r="E8795" s="3" t="s">
        <v>19528</v>
      </c>
      <c r="F8795" s="3" t="s">
        <v>19529</v>
      </c>
    </row>
    <row r="8796">
      <c r="A8796" s="3">
        <v>260.0</v>
      </c>
      <c r="B8796" s="3" t="s">
        <v>19423</v>
      </c>
      <c r="C8796" s="3" t="s">
        <v>11281</v>
      </c>
      <c r="D8796" s="3" t="s">
        <v>12076</v>
      </c>
      <c r="E8796" s="3" t="s">
        <v>19530</v>
      </c>
      <c r="F8796" s="3" t="s">
        <v>19531</v>
      </c>
    </row>
    <row r="8797">
      <c r="A8797" s="3">
        <v>261.0</v>
      </c>
      <c r="B8797" s="3" t="s">
        <v>19423</v>
      </c>
      <c r="C8797" s="3" t="s">
        <v>11281</v>
      </c>
      <c r="D8797" s="3" t="s">
        <v>12079</v>
      </c>
      <c r="E8797" s="3" t="s">
        <v>12080</v>
      </c>
      <c r="F8797" s="3" t="s">
        <v>12079</v>
      </c>
    </row>
    <row r="8798">
      <c r="A8798" s="3">
        <v>262.0</v>
      </c>
      <c r="B8798" s="3" t="s">
        <v>19423</v>
      </c>
      <c r="C8798" s="3" t="s">
        <v>11281</v>
      </c>
      <c r="D8798" s="3" t="s">
        <v>12081</v>
      </c>
      <c r="E8798" s="3" t="s">
        <v>12082</v>
      </c>
      <c r="F8798" s="3" t="s">
        <v>12081</v>
      </c>
    </row>
    <row r="8799">
      <c r="A8799" s="3">
        <v>263.0</v>
      </c>
      <c r="B8799" s="3" t="s">
        <v>19423</v>
      </c>
      <c r="C8799" s="3" t="s">
        <v>11281</v>
      </c>
      <c r="D8799" s="3" t="s">
        <v>395</v>
      </c>
      <c r="E8799" s="3" t="s">
        <v>394</v>
      </c>
      <c r="F8799" s="3" t="s">
        <v>395</v>
      </c>
      <c r="G8799" s="3"/>
      <c r="H8799" s="3" t="s">
        <v>8514</v>
      </c>
      <c r="I8799" s="3" t="s">
        <v>8515</v>
      </c>
      <c r="J8799" s="3" t="s">
        <v>8516</v>
      </c>
      <c r="K8799" s="3" t="s">
        <v>8517</v>
      </c>
    </row>
    <row r="8800">
      <c r="A8800" s="3">
        <v>264.0</v>
      </c>
      <c r="B8800" s="3" t="s">
        <v>19423</v>
      </c>
      <c r="C8800" s="3" t="s">
        <v>11281</v>
      </c>
      <c r="D8800" s="3" t="s">
        <v>12083</v>
      </c>
      <c r="E8800" s="3" t="s">
        <v>12084</v>
      </c>
      <c r="F8800" s="3" t="s">
        <v>12085</v>
      </c>
    </row>
    <row r="8801">
      <c r="A8801" s="3">
        <v>265.0</v>
      </c>
      <c r="B8801" s="3" t="s">
        <v>19423</v>
      </c>
      <c r="C8801" s="3" t="s">
        <v>11281</v>
      </c>
      <c r="D8801" s="3" t="s">
        <v>12086</v>
      </c>
      <c r="E8801" s="3" t="s">
        <v>12087</v>
      </c>
      <c r="F8801" s="3" t="s">
        <v>12088</v>
      </c>
    </row>
    <row r="8802">
      <c r="A8802" s="3">
        <v>266.0</v>
      </c>
      <c r="B8802" s="3" t="s">
        <v>19423</v>
      </c>
      <c r="C8802" s="3" t="s">
        <v>11281</v>
      </c>
      <c r="D8802" s="3" t="s">
        <v>12089</v>
      </c>
      <c r="E8802" s="3" t="s">
        <v>12090</v>
      </c>
      <c r="F8802" s="3" t="s">
        <v>12091</v>
      </c>
    </row>
    <row r="8803">
      <c r="A8803" s="3">
        <v>267.0</v>
      </c>
      <c r="B8803" s="3" t="s">
        <v>19423</v>
      </c>
      <c r="C8803" s="3" t="s">
        <v>11281</v>
      </c>
      <c r="D8803" s="3" t="s">
        <v>12092</v>
      </c>
      <c r="E8803" s="3" t="s">
        <v>12093</v>
      </c>
      <c r="F8803" s="3" t="s">
        <v>9285</v>
      </c>
    </row>
    <row r="8804">
      <c r="A8804" s="3">
        <v>268.0</v>
      </c>
      <c r="B8804" s="3" t="s">
        <v>19423</v>
      </c>
      <c r="C8804" s="3" t="s">
        <v>11281</v>
      </c>
      <c r="D8804" s="3" t="s">
        <v>12094</v>
      </c>
      <c r="E8804" s="3" t="s">
        <v>12095</v>
      </c>
      <c r="F8804" s="3" t="s">
        <v>12096</v>
      </c>
    </row>
    <row r="8805">
      <c r="A8805" s="3">
        <v>269.0</v>
      </c>
      <c r="B8805" s="3" t="s">
        <v>19423</v>
      </c>
      <c r="C8805" s="3" t="s">
        <v>11281</v>
      </c>
      <c r="D8805" s="3" t="s">
        <v>12097</v>
      </c>
      <c r="E8805" s="3" t="s">
        <v>12098</v>
      </c>
      <c r="F8805" s="3" t="s">
        <v>12099</v>
      </c>
    </row>
    <row r="8806">
      <c r="A8806" s="3">
        <v>270.0</v>
      </c>
      <c r="B8806" s="3" t="s">
        <v>19423</v>
      </c>
      <c r="C8806" s="3" t="s">
        <v>11281</v>
      </c>
      <c r="D8806" s="3" t="s">
        <v>12100</v>
      </c>
      <c r="E8806" s="3" t="s">
        <v>12101</v>
      </c>
      <c r="F8806" s="3" t="s">
        <v>12102</v>
      </c>
    </row>
    <row r="8807">
      <c r="A8807" s="3">
        <v>271.0</v>
      </c>
      <c r="B8807" s="3" t="s">
        <v>19423</v>
      </c>
      <c r="C8807" s="3" t="s">
        <v>11281</v>
      </c>
      <c r="D8807" s="3" t="s">
        <v>12103</v>
      </c>
      <c r="E8807" s="3" t="s">
        <v>12104</v>
      </c>
      <c r="F8807" s="3" t="s">
        <v>12105</v>
      </c>
    </row>
    <row r="8808">
      <c r="A8808" s="3">
        <v>272.0</v>
      </c>
      <c r="B8808" s="3" t="s">
        <v>19423</v>
      </c>
      <c r="C8808" s="3" t="s">
        <v>11281</v>
      </c>
      <c r="D8808" s="3" t="s">
        <v>12106</v>
      </c>
      <c r="E8808" s="3" t="s">
        <v>12107</v>
      </c>
      <c r="F8808" s="3" t="s">
        <v>12108</v>
      </c>
    </row>
    <row r="8809">
      <c r="A8809" s="3">
        <v>273.0</v>
      </c>
      <c r="B8809" s="3" t="s">
        <v>19423</v>
      </c>
      <c r="C8809" s="3" t="s">
        <v>11281</v>
      </c>
      <c r="D8809" s="3" t="s">
        <v>12109</v>
      </c>
      <c r="E8809" s="3" t="s">
        <v>12110</v>
      </c>
      <c r="F8809" s="3" t="s">
        <v>12111</v>
      </c>
    </row>
    <row r="8810">
      <c r="A8810" s="3">
        <v>274.0</v>
      </c>
      <c r="B8810" s="3" t="s">
        <v>19423</v>
      </c>
      <c r="C8810" s="3" t="s">
        <v>11281</v>
      </c>
      <c r="D8810" s="3" t="s">
        <v>12112</v>
      </c>
      <c r="E8810" s="3" t="s">
        <v>12113</v>
      </c>
      <c r="F8810" s="3" t="s">
        <v>12114</v>
      </c>
    </row>
    <row r="8811">
      <c r="A8811" s="3">
        <v>275.0</v>
      </c>
      <c r="B8811" s="3" t="s">
        <v>19423</v>
      </c>
      <c r="C8811" s="3" t="s">
        <v>11281</v>
      </c>
      <c r="D8811" s="3" t="s">
        <v>12115</v>
      </c>
      <c r="E8811" s="3" t="s">
        <v>12116</v>
      </c>
      <c r="F8811" s="3" t="s">
        <v>12117</v>
      </c>
    </row>
    <row r="8812">
      <c r="A8812" s="3">
        <v>276.0</v>
      </c>
      <c r="B8812" s="3" t="s">
        <v>19423</v>
      </c>
      <c r="C8812" s="3" t="s">
        <v>11281</v>
      </c>
      <c r="D8812" s="3" t="s">
        <v>12118</v>
      </c>
      <c r="E8812" s="3" t="s">
        <v>12119</v>
      </c>
      <c r="F8812" s="3" t="s">
        <v>12120</v>
      </c>
    </row>
    <row r="8813">
      <c r="A8813" s="3">
        <v>277.0</v>
      </c>
      <c r="B8813" s="3" t="s">
        <v>19423</v>
      </c>
      <c r="C8813" s="3" t="s">
        <v>11281</v>
      </c>
      <c r="D8813" s="3" t="s">
        <v>12121</v>
      </c>
      <c r="E8813" s="3" t="s">
        <v>12122</v>
      </c>
      <c r="F8813" s="3" t="s">
        <v>12123</v>
      </c>
    </row>
    <row r="8814">
      <c r="A8814" s="3">
        <v>278.0</v>
      </c>
      <c r="B8814" s="3" t="s">
        <v>19423</v>
      </c>
      <c r="C8814" s="3" t="s">
        <v>11281</v>
      </c>
      <c r="D8814" s="3" t="s">
        <v>530</v>
      </c>
      <c r="E8814" s="3" t="s">
        <v>529</v>
      </c>
      <c r="F8814" s="3" t="s">
        <v>530</v>
      </c>
    </row>
    <row r="8815">
      <c r="A8815" s="3">
        <v>279.0</v>
      </c>
      <c r="B8815" s="3" t="s">
        <v>19423</v>
      </c>
      <c r="C8815" s="3" t="s">
        <v>11281</v>
      </c>
      <c r="D8815" s="3" t="s">
        <v>12124</v>
      </c>
      <c r="E8815" s="3" t="s">
        <v>12125</v>
      </c>
      <c r="F8815" s="3" t="s">
        <v>12124</v>
      </c>
    </row>
    <row r="8816">
      <c r="A8816" s="3">
        <v>280.0</v>
      </c>
      <c r="B8816" s="3" t="s">
        <v>19423</v>
      </c>
      <c r="C8816" s="3" t="s">
        <v>11281</v>
      </c>
      <c r="D8816" s="3" t="s">
        <v>12126</v>
      </c>
      <c r="E8816" s="3" t="s">
        <v>12127</v>
      </c>
      <c r="F8816" s="3" t="s">
        <v>12126</v>
      </c>
    </row>
    <row r="8817">
      <c r="A8817" s="3">
        <v>281.0</v>
      </c>
      <c r="B8817" s="3" t="s">
        <v>19423</v>
      </c>
      <c r="C8817" s="3" t="s">
        <v>11281</v>
      </c>
      <c r="D8817" s="3" t="s">
        <v>12128</v>
      </c>
      <c r="E8817" s="3" t="s">
        <v>12129</v>
      </c>
      <c r="F8817" s="3" t="s">
        <v>12128</v>
      </c>
    </row>
    <row r="8818">
      <c r="A8818" s="3">
        <v>282.0</v>
      </c>
      <c r="B8818" s="3" t="s">
        <v>19423</v>
      </c>
      <c r="C8818" s="3" t="s">
        <v>11281</v>
      </c>
      <c r="D8818" s="3" t="s">
        <v>12130</v>
      </c>
      <c r="E8818" s="3" t="s">
        <v>12131</v>
      </c>
      <c r="F8818" s="3" t="s">
        <v>12130</v>
      </c>
    </row>
    <row r="8819">
      <c r="A8819" s="3">
        <v>283.0</v>
      </c>
      <c r="B8819" s="3" t="s">
        <v>19423</v>
      </c>
      <c r="C8819" s="3" t="s">
        <v>11281</v>
      </c>
      <c r="D8819" s="3" t="s">
        <v>12132</v>
      </c>
      <c r="E8819" s="3" t="s">
        <v>12133</v>
      </c>
      <c r="F8819" s="3" t="s">
        <v>12132</v>
      </c>
    </row>
    <row r="8820">
      <c r="A8820" s="3">
        <v>284.0</v>
      </c>
      <c r="B8820" s="3" t="s">
        <v>19423</v>
      </c>
      <c r="C8820" s="3" t="s">
        <v>11281</v>
      </c>
      <c r="D8820" s="3" t="s">
        <v>12134</v>
      </c>
      <c r="E8820" s="3" t="s">
        <v>12135</v>
      </c>
      <c r="F8820" s="3" t="s">
        <v>12134</v>
      </c>
    </row>
    <row r="8821">
      <c r="A8821" s="3">
        <v>285.0</v>
      </c>
      <c r="B8821" s="3" t="s">
        <v>19423</v>
      </c>
      <c r="C8821" s="3" t="s">
        <v>11281</v>
      </c>
      <c r="D8821" s="3" t="s">
        <v>12136</v>
      </c>
      <c r="E8821" s="3" t="s">
        <v>12137</v>
      </c>
      <c r="F8821" s="3" t="s">
        <v>12136</v>
      </c>
    </row>
    <row r="8822">
      <c r="A8822" s="3">
        <v>286.0</v>
      </c>
      <c r="B8822" s="3" t="s">
        <v>19423</v>
      </c>
      <c r="C8822" s="3" t="s">
        <v>11281</v>
      </c>
      <c r="D8822" s="3" t="s">
        <v>12138</v>
      </c>
      <c r="E8822" s="3" t="s">
        <v>12139</v>
      </c>
      <c r="F8822" s="3" t="s">
        <v>12138</v>
      </c>
      <c r="G8822" s="3"/>
      <c r="H8822" s="3" t="s">
        <v>12140</v>
      </c>
    </row>
    <row r="8823">
      <c r="A8823" s="3">
        <v>287.0</v>
      </c>
      <c r="B8823" s="3" t="s">
        <v>19423</v>
      </c>
      <c r="C8823" s="3" t="s">
        <v>11281</v>
      </c>
      <c r="D8823" s="3" t="s">
        <v>12141</v>
      </c>
      <c r="E8823" s="3" t="s">
        <v>12142</v>
      </c>
      <c r="F8823" s="3" t="s">
        <v>12141</v>
      </c>
    </row>
    <row r="8824">
      <c r="A8824" s="3">
        <v>288.0</v>
      </c>
      <c r="B8824" s="3" t="s">
        <v>19423</v>
      </c>
      <c r="C8824" s="3" t="s">
        <v>11281</v>
      </c>
      <c r="D8824" s="3" t="s">
        <v>12143</v>
      </c>
      <c r="E8824" s="3" t="s">
        <v>12144</v>
      </c>
      <c r="F8824" s="3" t="s">
        <v>12143</v>
      </c>
    </row>
    <row r="8825">
      <c r="A8825" s="3">
        <v>289.0</v>
      </c>
      <c r="B8825" s="3" t="s">
        <v>19423</v>
      </c>
      <c r="C8825" s="3" t="s">
        <v>11281</v>
      </c>
      <c r="D8825" s="3" t="s">
        <v>12145</v>
      </c>
      <c r="E8825" s="3" t="s">
        <v>12146</v>
      </c>
      <c r="F8825" s="3" t="s">
        <v>12145</v>
      </c>
    </row>
    <row r="8826">
      <c r="A8826" s="3">
        <v>290.0</v>
      </c>
      <c r="B8826" s="3" t="s">
        <v>19423</v>
      </c>
      <c r="C8826" s="3" t="s">
        <v>11281</v>
      </c>
      <c r="D8826" s="3" t="s">
        <v>12147</v>
      </c>
      <c r="E8826" s="3" t="s">
        <v>12148</v>
      </c>
      <c r="F8826" s="3" t="s">
        <v>12147</v>
      </c>
    </row>
    <row r="8827">
      <c r="A8827" s="3">
        <v>291.0</v>
      </c>
      <c r="B8827" s="3" t="s">
        <v>19423</v>
      </c>
      <c r="C8827" s="3" t="s">
        <v>11281</v>
      </c>
      <c r="D8827" s="3" t="s">
        <v>12149</v>
      </c>
      <c r="E8827" s="3" t="s">
        <v>12150</v>
      </c>
      <c r="F8827" s="3" t="s">
        <v>12149</v>
      </c>
    </row>
    <row r="8828">
      <c r="A8828" s="3">
        <v>292.0</v>
      </c>
      <c r="B8828" s="3" t="s">
        <v>19423</v>
      </c>
      <c r="C8828" s="3" t="s">
        <v>11281</v>
      </c>
      <c r="D8828" s="3" t="s">
        <v>12151</v>
      </c>
      <c r="E8828" s="3" t="s">
        <v>12152</v>
      </c>
      <c r="F8828" s="3" t="s">
        <v>12151</v>
      </c>
    </row>
    <row r="8829">
      <c r="A8829" s="3">
        <v>293.0</v>
      </c>
      <c r="B8829" s="3" t="s">
        <v>19423</v>
      </c>
      <c r="C8829" s="3" t="s">
        <v>11281</v>
      </c>
      <c r="D8829" s="3" t="s">
        <v>12153</v>
      </c>
      <c r="E8829" s="3" t="s">
        <v>12154</v>
      </c>
      <c r="F8829" s="3" t="s">
        <v>12153</v>
      </c>
    </row>
    <row r="8830">
      <c r="A8830" s="3">
        <v>294.0</v>
      </c>
      <c r="B8830" s="3" t="s">
        <v>19423</v>
      </c>
      <c r="C8830" s="3" t="s">
        <v>11281</v>
      </c>
      <c r="D8830" s="3" t="s">
        <v>12155</v>
      </c>
      <c r="E8830" s="3" t="s">
        <v>12156</v>
      </c>
      <c r="F8830" s="3" t="s">
        <v>12155</v>
      </c>
    </row>
    <row r="8831">
      <c r="A8831" s="3">
        <v>295.0</v>
      </c>
      <c r="B8831" s="3" t="s">
        <v>19423</v>
      </c>
      <c r="C8831" s="3" t="s">
        <v>11281</v>
      </c>
      <c r="D8831" s="3" t="s">
        <v>12157</v>
      </c>
      <c r="E8831" s="3" t="s">
        <v>12158</v>
      </c>
      <c r="F8831" s="3" t="s">
        <v>12157</v>
      </c>
    </row>
    <row r="8832">
      <c r="A8832" s="3">
        <v>296.0</v>
      </c>
      <c r="B8832" s="3" t="s">
        <v>19423</v>
      </c>
      <c r="C8832" s="3" t="s">
        <v>11281</v>
      </c>
      <c r="D8832" s="3" t="s">
        <v>12159</v>
      </c>
      <c r="E8832" s="3" t="s">
        <v>12160</v>
      </c>
      <c r="F8832" s="3" t="s">
        <v>12159</v>
      </c>
    </row>
    <row r="8833">
      <c r="A8833" s="3">
        <v>297.0</v>
      </c>
      <c r="B8833" s="3" t="s">
        <v>19423</v>
      </c>
      <c r="C8833" s="3" t="s">
        <v>11281</v>
      </c>
      <c r="D8833" s="3" t="s">
        <v>12161</v>
      </c>
      <c r="E8833" s="3" t="s">
        <v>12162</v>
      </c>
      <c r="F8833" s="3" t="s">
        <v>12161</v>
      </c>
    </row>
    <row r="8834">
      <c r="A8834" s="3">
        <v>298.0</v>
      </c>
      <c r="B8834" s="3" t="s">
        <v>19423</v>
      </c>
      <c r="C8834" s="3" t="s">
        <v>11281</v>
      </c>
      <c r="D8834" s="3" t="s">
        <v>12163</v>
      </c>
      <c r="E8834" s="3" t="s">
        <v>12164</v>
      </c>
      <c r="F8834" s="3" t="s">
        <v>12163</v>
      </c>
    </row>
    <row r="8835">
      <c r="A8835" s="3">
        <v>299.0</v>
      </c>
      <c r="B8835" s="3" t="s">
        <v>19423</v>
      </c>
      <c r="C8835" s="3" t="s">
        <v>11281</v>
      </c>
      <c r="D8835" s="3" t="s">
        <v>12165</v>
      </c>
      <c r="E8835" s="3" t="s">
        <v>19532</v>
      </c>
      <c r="F8835" s="3" t="s">
        <v>19533</v>
      </c>
    </row>
    <row r="8836">
      <c r="A8836" s="3">
        <v>300.0</v>
      </c>
      <c r="B8836" s="3" t="s">
        <v>19423</v>
      </c>
      <c r="C8836" s="3" t="s">
        <v>11281</v>
      </c>
      <c r="D8836" s="3" t="s">
        <v>12168</v>
      </c>
      <c r="E8836" s="3" t="s">
        <v>19534</v>
      </c>
      <c r="F8836" s="3" t="s">
        <v>19535</v>
      </c>
    </row>
    <row r="8837">
      <c r="A8837" s="3">
        <v>301.0</v>
      </c>
      <c r="B8837" s="3" t="s">
        <v>19423</v>
      </c>
      <c r="C8837" s="3" t="s">
        <v>11281</v>
      </c>
      <c r="D8837" s="3" t="s">
        <v>12171</v>
      </c>
      <c r="E8837" s="3" t="s">
        <v>19536</v>
      </c>
      <c r="F8837" s="3" t="s">
        <v>19537</v>
      </c>
    </row>
    <row r="8838">
      <c r="A8838" s="3">
        <v>302.0</v>
      </c>
      <c r="B8838" s="3" t="s">
        <v>19423</v>
      </c>
      <c r="C8838" s="3" t="s">
        <v>11281</v>
      </c>
      <c r="D8838" s="3" t="s">
        <v>12174</v>
      </c>
      <c r="E8838" s="3" t="s">
        <v>19538</v>
      </c>
      <c r="F8838" s="3" t="s">
        <v>19539</v>
      </c>
    </row>
    <row r="8839">
      <c r="A8839" s="3">
        <v>303.0</v>
      </c>
      <c r="B8839" s="3" t="s">
        <v>19423</v>
      </c>
      <c r="C8839" s="3" t="s">
        <v>11281</v>
      </c>
      <c r="D8839" s="3" t="s">
        <v>12177</v>
      </c>
      <c r="E8839" s="3" t="s">
        <v>19540</v>
      </c>
      <c r="F8839" s="3" t="s">
        <v>19541</v>
      </c>
    </row>
    <row r="8840">
      <c r="A8840" s="3">
        <v>304.0</v>
      </c>
      <c r="B8840" s="3" t="s">
        <v>19423</v>
      </c>
      <c r="C8840" s="3" t="s">
        <v>11281</v>
      </c>
      <c r="D8840" s="3" t="s">
        <v>12180</v>
      </c>
      <c r="E8840" s="3" t="s">
        <v>19542</v>
      </c>
      <c r="F8840" s="3" t="s">
        <v>19543</v>
      </c>
    </row>
    <row r="8841">
      <c r="A8841" s="3">
        <v>305.0</v>
      </c>
      <c r="B8841" s="3" t="s">
        <v>19423</v>
      </c>
      <c r="C8841" s="3" t="s">
        <v>11281</v>
      </c>
      <c r="D8841" s="3" t="s">
        <v>12183</v>
      </c>
      <c r="E8841" s="3" t="s">
        <v>19544</v>
      </c>
      <c r="F8841" s="3" t="s">
        <v>19545</v>
      </c>
    </row>
    <row r="8842">
      <c r="A8842" s="3">
        <v>306.0</v>
      </c>
      <c r="B8842" s="3" t="s">
        <v>19423</v>
      </c>
      <c r="C8842" s="3" t="s">
        <v>11281</v>
      </c>
      <c r="D8842" s="3" t="s">
        <v>404</v>
      </c>
      <c r="E8842" s="3" t="s">
        <v>403</v>
      </c>
      <c r="F8842" s="3" t="s">
        <v>404</v>
      </c>
    </row>
    <row r="8843">
      <c r="A8843" s="3">
        <v>307.0</v>
      </c>
      <c r="B8843" s="3" t="s">
        <v>19423</v>
      </c>
      <c r="C8843" s="3" t="s">
        <v>11281</v>
      </c>
      <c r="D8843" s="3" t="s">
        <v>509</v>
      </c>
      <c r="E8843" s="3" t="s">
        <v>508</v>
      </c>
      <c r="F8843" s="3" t="s">
        <v>509</v>
      </c>
    </row>
    <row r="8844">
      <c r="A8844" s="3">
        <v>308.0</v>
      </c>
      <c r="B8844" s="3" t="s">
        <v>19423</v>
      </c>
      <c r="C8844" s="3" t="s">
        <v>11281</v>
      </c>
      <c r="D8844" s="3" t="s">
        <v>12186</v>
      </c>
      <c r="E8844" s="3" t="s">
        <v>12187</v>
      </c>
      <c r="F8844" s="3" t="s">
        <v>12186</v>
      </c>
    </row>
    <row r="8845">
      <c r="A8845" s="3">
        <v>309.0</v>
      </c>
      <c r="B8845" s="3" t="s">
        <v>19423</v>
      </c>
      <c r="C8845" s="3" t="s">
        <v>11281</v>
      </c>
      <c r="D8845" s="3" t="s">
        <v>12188</v>
      </c>
      <c r="E8845" s="3" t="s">
        <v>12189</v>
      </c>
      <c r="F8845" s="3" t="s">
        <v>12188</v>
      </c>
      <c r="G8845" s="3"/>
      <c r="H8845" s="3" t="s">
        <v>12190</v>
      </c>
      <c r="I8845" s="3" t="s">
        <v>12191</v>
      </c>
    </row>
    <row r="8846">
      <c r="A8846" s="3">
        <v>310.0</v>
      </c>
      <c r="B8846" s="3" t="s">
        <v>19423</v>
      </c>
      <c r="C8846" s="3" t="s">
        <v>11281</v>
      </c>
      <c r="D8846" s="3" t="s">
        <v>12192</v>
      </c>
      <c r="E8846" s="3" t="s">
        <v>12193</v>
      </c>
      <c r="F8846" s="3" t="s">
        <v>12192</v>
      </c>
    </row>
    <row r="8847">
      <c r="A8847" s="3">
        <v>311.0</v>
      </c>
      <c r="B8847" s="3" t="s">
        <v>19423</v>
      </c>
      <c r="C8847" s="3" t="s">
        <v>11281</v>
      </c>
      <c r="D8847" s="3" t="s">
        <v>12194</v>
      </c>
      <c r="E8847" s="3" t="s">
        <v>12195</v>
      </c>
      <c r="F8847" s="3" t="s">
        <v>12194</v>
      </c>
    </row>
    <row r="8848">
      <c r="A8848" s="3">
        <v>312.0</v>
      </c>
      <c r="B8848" s="3" t="s">
        <v>19423</v>
      </c>
      <c r="C8848" s="3" t="s">
        <v>11281</v>
      </c>
      <c r="D8848" s="3" t="s">
        <v>12196</v>
      </c>
      <c r="E8848" s="3" t="s">
        <v>12197</v>
      </c>
      <c r="F8848" s="3" t="s">
        <v>12196</v>
      </c>
    </row>
    <row r="8849">
      <c r="A8849" s="3">
        <v>313.0</v>
      </c>
      <c r="B8849" s="3" t="s">
        <v>19423</v>
      </c>
      <c r="C8849" s="3" t="s">
        <v>11281</v>
      </c>
      <c r="D8849" s="3" t="s">
        <v>518</v>
      </c>
      <c r="E8849" s="3" t="s">
        <v>517</v>
      </c>
      <c r="F8849" s="3" t="s">
        <v>518</v>
      </c>
    </row>
    <row r="8850">
      <c r="A8850" s="3">
        <v>314.0</v>
      </c>
      <c r="B8850" s="3" t="s">
        <v>19423</v>
      </c>
      <c r="C8850" s="3" t="s">
        <v>11281</v>
      </c>
      <c r="D8850" s="3" t="s">
        <v>12198</v>
      </c>
      <c r="E8850" s="3" t="s">
        <v>12199</v>
      </c>
      <c r="F8850" s="3" t="s">
        <v>12200</v>
      </c>
      <c r="G8850" s="3"/>
      <c r="H8850" s="3" t="s">
        <v>8776</v>
      </c>
      <c r="I8850" s="3" t="s">
        <v>8777</v>
      </c>
      <c r="J8850" s="3" t="s">
        <v>8778</v>
      </c>
      <c r="K8850" s="3" t="s">
        <v>8522</v>
      </c>
      <c r="L8850" s="3" t="s">
        <v>8523</v>
      </c>
      <c r="M8850" s="3" t="s">
        <v>12201</v>
      </c>
      <c r="N8850" s="3" t="s">
        <v>12202</v>
      </c>
      <c r="O8850" s="3" t="s">
        <v>12203</v>
      </c>
      <c r="P8850" s="3" t="s">
        <v>555</v>
      </c>
      <c r="Q8850" s="3" t="s">
        <v>556</v>
      </c>
      <c r="R8850" s="3" t="s">
        <v>557</v>
      </c>
      <c r="S8850" s="3" t="s">
        <v>558</v>
      </c>
      <c r="T8850" s="3" t="s">
        <v>559</v>
      </c>
      <c r="U8850" s="3" t="s">
        <v>548</v>
      </c>
    </row>
    <row r="8851">
      <c r="A8851" s="3">
        <v>315.0</v>
      </c>
      <c r="B8851" s="3" t="s">
        <v>19423</v>
      </c>
      <c r="C8851" s="3" t="s">
        <v>11281</v>
      </c>
      <c r="D8851" s="3" t="s">
        <v>12204</v>
      </c>
      <c r="E8851" s="3" t="s">
        <v>12205</v>
      </c>
      <c r="F8851" s="3" t="s">
        <v>12206</v>
      </c>
    </row>
    <row r="8852">
      <c r="A8852" s="3">
        <v>316.0</v>
      </c>
      <c r="B8852" s="3" t="s">
        <v>19423</v>
      </c>
      <c r="C8852" s="3" t="s">
        <v>11281</v>
      </c>
      <c r="D8852" s="3" t="s">
        <v>12207</v>
      </c>
      <c r="E8852" s="3" t="s">
        <v>12208</v>
      </c>
      <c r="F8852" s="3" t="s">
        <v>12209</v>
      </c>
    </row>
    <row r="8853">
      <c r="A8853" s="3">
        <v>317.0</v>
      </c>
      <c r="B8853" s="3" t="s">
        <v>19423</v>
      </c>
      <c r="C8853" s="3" t="s">
        <v>11281</v>
      </c>
      <c r="D8853" s="3" t="s">
        <v>12210</v>
      </c>
      <c r="E8853" s="3" t="s">
        <v>12211</v>
      </c>
      <c r="F8853" s="3" t="s">
        <v>12212</v>
      </c>
    </row>
    <row r="8854">
      <c r="A8854" s="3">
        <v>318.0</v>
      </c>
      <c r="B8854" s="3" t="s">
        <v>19423</v>
      </c>
      <c r="C8854" s="3" t="s">
        <v>11281</v>
      </c>
      <c r="D8854" s="3" t="s">
        <v>12213</v>
      </c>
      <c r="E8854" s="3" t="s">
        <v>12214</v>
      </c>
      <c r="F8854" s="3" t="s">
        <v>12215</v>
      </c>
    </row>
    <row r="8855">
      <c r="A8855" s="3">
        <v>319.0</v>
      </c>
      <c r="B8855" s="3" t="s">
        <v>19423</v>
      </c>
      <c r="C8855" s="3" t="s">
        <v>11281</v>
      </c>
      <c r="D8855" s="3" t="s">
        <v>12216</v>
      </c>
      <c r="E8855" s="3" t="s">
        <v>12217</v>
      </c>
      <c r="F8855" s="3" t="s">
        <v>12218</v>
      </c>
    </row>
    <row r="8856">
      <c r="A8856" s="3">
        <v>320.0</v>
      </c>
      <c r="B8856" s="3" t="s">
        <v>19423</v>
      </c>
      <c r="C8856" s="3" t="s">
        <v>11281</v>
      </c>
      <c r="D8856" s="3" t="s">
        <v>12219</v>
      </c>
      <c r="E8856" s="3" t="s">
        <v>12220</v>
      </c>
      <c r="F8856" s="3" t="s">
        <v>12221</v>
      </c>
    </row>
    <row r="8857">
      <c r="A8857" s="3">
        <v>321.0</v>
      </c>
      <c r="B8857" s="3" t="s">
        <v>19423</v>
      </c>
      <c r="C8857" s="3" t="s">
        <v>11281</v>
      </c>
      <c r="D8857" s="3" t="s">
        <v>12222</v>
      </c>
      <c r="E8857" s="3" t="s">
        <v>12223</v>
      </c>
      <c r="F8857" s="3" t="s">
        <v>12222</v>
      </c>
    </row>
    <row r="8858">
      <c r="A8858" s="3">
        <v>322.0</v>
      </c>
      <c r="B8858" s="3" t="s">
        <v>19423</v>
      </c>
      <c r="C8858" s="3" t="s">
        <v>11281</v>
      </c>
      <c r="D8858" s="3" t="s">
        <v>12224</v>
      </c>
      <c r="E8858" s="3" t="s">
        <v>12225</v>
      </c>
      <c r="F8858" s="3" t="s">
        <v>12224</v>
      </c>
    </row>
    <row r="8859">
      <c r="A8859" s="3">
        <v>323.0</v>
      </c>
      <c r="B8859" s="3" t="s">
        <v>19423</v>
      </c>
      <c r="C8859" s="3" t="s">
        <v>11281</v>
      </c>
      <c r="D8859" s="3" t="s">
        <v>12226</v>
      </c>
      <c r="E8859" s="3" t="s">
        <v>12227</v>
      </c>
      <c r="F8859" s="3" t="s">
        <v>12226</v>
      </c>
    </row>
    <row r="8860">
      <c r="A8860" s="3">
        <v>324.0</v>
      </c>
      <c r="B8860" s="3" t="s">
        <v>19423</v>
      </c>
      <c r="C8860" s="3" t="s">
        <v>11281</v>
      </c>
      <c r="D8860" s="3" t="s">
        <v>12228</v>
      </c>
      <c r="E8860" s="3" t="s">
        <v>12229</v>
      </c>
      <c r="F8860" s="3" t="s">
        <v>12228</v>
      </c>
    </row>
    <row r="8861">
      <c r="A8861" s="3">
        <v>325.0</v>
      </c>
      <c r="B8861" s="3" t="s">
        <v>19423</v>
      </c>
      <c r="C8861" s="3" t="s">
        <v>11281</v>
      </c>
      <c r="D8861" s="3" t="s">
        <v>12230</v>
      </c>
      <c r="E8861" s="3" t="s">
        <v>12231</v>
      </c>
      <c r="F8861" s="3" t="s">
        <v>12230</v>
      </c>
    </row>
    <row r="8862">
      <c r="A8862" s="3">
        <v>326.0</v>
      </c>
      <c r="B8862" s="3" t="s">
        <v>19423</v>
      </c>
      <c r="C8862" s="3" t="s">
        <v>11281</v>
      </c>
      <c r="D8862" s="3" t="s">
        <v>12232</v>
      </c>
      <c r="E8862" s="3" t="s">
        <v>12233</v>
      </c>
      <c r="F8862" s="3" t="s">
        <v>12232</v>
      </c>
    </row>
    <row r="8863">
      <c r="A8863" s="3">
        <v>327.0</v>
      </c>
      <c r="B8863" s="3" t="s">
        <v>19423</v>
      </c>
      <c r="C8863" s="3" t="s">
        <v>11281</v>
      </c>
      <c r="D8863" s="3" t="s">
        <v>12234</v>
      </c>
      <c r="E8863" s="3" t="s">
        <v>12235</v>
      </c>
      <c r="F8863" s="3" t="s">
        <v>12234</v>
      </c>
    </row>
    <row r="8864">
      <c r="A8864" s="3">
        <v>328.0</v>
      </c>
      <c r="B8864" s="3" t="s">
        <v>19423</v>
      </c>
      <c r="C8864" s="3" t="s">
        <v>11281</v>
      </c>
      <c r="D8864" s="3" t="s">
        <v>12236</v>
      </c>
      <c r="E8864" s="3" t="s">
        <v>12237</v>
      </c>
      <c r="F8864" s="3" t="s">
        <v>12236</v>
      </c>
    </row>
    <row r="8865">
      <c r="A8865" s="3">
        <v>329.0</v>
      </c>
      <c r="B8865" s="3" t="s">
        <v>19423</v>
      </c>
      <c r="C8865" s="3" t="s">
        <v>11281</v>
      </c>
      <c r="D8865" s="3" t="s">
        <v>12238</v>
      </c>
      <c r="E8865" s="3" t="s">
        <v>12239</v>
      </c>
      <c r="F8865" s="3" t="s">
        <v>12238</v>
      </c>
    </row>
    <row r="8866">
      <c r="A8866" s="3">
        <v>330.0</v>
      </c>
      <c r="B8866" s="3" t="s">
        <v>19423</v>
      </c>
      <c r="C8866" s="3" t="s">
        <v>11281</v>
      </c>
      <c r="D8866" s="3" t="s">
        <v>12240</v>
      </c>
      <c r="E8866" s="3" t="s">
        <v>12241</v>
      </c>
      <c r="F8866" s="3" t="s">
        <v>12240</v>
      </c>
    </row>
    <row r="8867">
      <c r="A8867" s="3">
        <v>331.0</v>
      </c>
      <c r="B8867" s="3" t="s">
        <v>19423</v>
      </c>
      <c r="C8867" s="3" t="s">
        <v>11281</v>
      </c>
      <c r="D8867" s="3" t="s">
        <v>12242</v>
      </c>
      <c r="E8867" s="3" t="s">
        <v>12243</v>
      </c>
      <c r="F8867" s="3" t="s">
        <v>12242</v>
      </c>
    </row>
    <row r="8868">
      <c r="A8868" s="3">
        <v>332.0</v>
      </c>
      <c r="B8868" s="3" t="s">
        <v>19423</v>
      </c>
      <c r="C8868" s="3" t="s">
        <v>11281</v>
      </c>
      <c r="D8868" s="3" t="s">
        <v>12244</v>
      </c>
      <c r="E8868" s="3" t="s">
        <v>12245</v>
      </c>
      <c r="F8868" s="3" t="s">
        <v>12244</v>
      </c>
    </row>
    <row r="8869">
      <c r="A8869" s="3">
        <v>333.0</v>
      </c>
      <c r="B8869" s="3" t="s">
        <v>19423</v>
      </c>
      <c r="C8869" s="3" t="s">
        <v>11281</v>
      </c>
      <c r="D8869" s="3" t="s">
        <v>12246</v>
      </c>
      <c r="E8869" s="3" t="s">
        <v>12247</v>
      </c>
      <c r="F8869" s="3" t="s">
        <v>12246</v>
      </c>
    </row>
    <row r="8870">
      <c r="A8870" s="3">
        <v>334.0</v>
      </c>
      <c r="B8870" s="3" t="s">
        <v>19423</v>
      </c>
      <c r="C8870" s="3" t="s">
        <v>11281</v>
      </c>
      <c r="D8870" s="3" t="s">
        <v>12248</v>
      </c>
      <c r="E8870" s="3" t="s">
        <v>12249</v>
      </c>
      <c r="F8870" s="3" t="s">
        <v>12248</v>
      </c>
    </row>
    <row r="8871">
      <c r="A8871" s="3">
        <v>335.0</v>
      </c>
      <c r="B8871" s="3" t="s">
        <v>19423</v>
      </c>
      <c r="C8871" s="3" t="s">
        <v>11281</v>
      </c>
      <c r="D8871" s="3" t="s">
        <v>12250</v>
      </c>
      <c r="E8871" s="3" t="s">
        <v>12251</v>
      </c>
      <c r="F8871" s="3" t="s">
        <v>12250</v>
      </c>
    </row>
    <row r="8872">
      <c r="A8872" s="3">
        <v>336.0</v>
      </c>
      <c r="B8872" s="3" t="s">
        <v>19423</v>
      </c>
      <c r="C8872" s="3" t="s">
        <v>11281</v>
      </c>
      <c r="D8872" s="3" t="s">
        <v>12252</v>
      </c>
      <c r="E8872" s="3" t="s">
        <v>12253</v>
      </c>
      <c r="F8872" s="3" t="s">
        <v>12252</v>
      </c>
    </row>
    <row r="8873">
      <c r="A8873" s="3">
        <v>337.0</v>
      </c>
      <c r="B8873" s="3" t="s">
        <v>19423</v>
      </c>
      <c r="C8873" s="3" t="s">
        <v>11281</v>
      </c>
      <c r="D8873" s="3" t="s">
        <v>12254</v>
      </c>
      <c r="E8873" s="3" t="s">
        <v>12255</v>
      </c>
      <c r="F8873" s="3" t="s">
        <v>12254</v>
      </c>
    </row>
    <row r="8874">
      <c r="A8874" s="3">
        <v>338.0</v>
      </c>
      <c r="B8874" s="3" t="s">
        <v>19423</v>
      </c>
      <c r="C8874" s="3" t="s">
        <v>11281</v>
      </c>
      <c r="D8874" s="3" t="s">
        <v>12256</v>
      </c>
      <c r="E8874" s="3" t="s">
        <v>12257</v>
      </c>
      <c r="F8874" s="3" t="s">
        <v>12256</v>
      </c>
    </row>
    <row r="8875">
      <c r="A8875" s="3">
        <v>339.0</v>
      </c>
      <c r="B8875" s="3" t="s">
        <v>19423</v>
      </c>
      <c r="C8875" s="3" t="s">
        <v>11281</v>
      </c>
      <c r="D8875" s="3" t="s">
        <v>12258</v>
      </c>
      <c r="E8875" s="3" t="s">
        <v>12259</v>
      </c>
      <c r="F8875" s="3" t="s">
        <v>12258</v>
      </c>
    </row>
    <row r="8876">
      <c r="A8876" s="3">
        <v>340.0</v>
      </c>
      <c r="B8876" s="3" t="s">
        <v>19423</v>
      </c>
      <c r="C8876" s="3" t="s">
        <v>11281</v>
      </c>
      <c r="D8876" s="3" t="s">
        <v>12260</v>
      </c>
      <c r="E8876" s="3" t="s">
        <v>12261</v>
      </c>
      <c r="F8876" s="3" t="s">
        <v>12260</v>
      </c>
    </row>
    <row r="8877">
      <c r="A8877" s="3">
        <v>341.0</v>
      </c>
      <c r="B8877" s="3" t="s">
        <v>19423</v>
      </c>
      <c r="C8877" s="3" t="s">
        <v>11281</v>
      </c>
      <c r="D8877" s="3" t="s">
        <v>12262</v>
      </c>
      <c r="E8877" s="3" t="s">
        <v>12263</v>
      </c>
      <c r="F8877" s="3" t="s">
        <v>12262</v>
      </c>
    </row>
    <row r="8878">
      <c r="A8878" s="3">
        <v>342.0</v>
      </c>
      <c r="B8878" s="3" t="s">
        <v>19423</v>
      </c>
      <c r="C8878" s="3" t="s">
        <v>11281</v>
      </c>
      <c r="D8878" s="3" t="s">
        <v>12264</v>
      </c>
      <c r="E8878" s="3" t="s">
        <v>12265</v>
      </c>
      <c r="F8878" s="3" t="s">
        <v>12264</v>
      </c>
    </row>
    <row r="8879">
      <c r="A8879" s="3">
        <v>343.0</v>
      </c>
      <c r="B8879" s="3" t="s">
        <v>19423</v>
      </c>
      <c r="C8879" s="3" t="s">
        <v>11281</v>
      </c>
      <c r="D8879" s="3" t="s">
        <v>12266</v>
      </c>
      <c r="E8879" s="3" t="s">
        <v>12267</v>
      </c>
      <c r="F8879" s="3" t="s">
        <v>12266</v>
      </c>
    </row>
    <row r="8880">
      <c r="A8880" s="3">
        <v>344.0</v>
      </c>
      <c r="B8880" s="3" t="s">
        <v>19423</v>
      </c>
      <c r="C8880" s="3" t="s">
        <v>11281</v>
      </c>
      <c r="D8880" s="3" t="s">
        <v>12268</v>
      </c>
      <c r="E8880" s="3" t="s">
        <v>12269</v>
      </c>
      <c r="F8880" s="3" t="s">
        <v>12268</v>
      </c>
    </row>
    <row r="8881">
      <c r="A8881" s="3">
        <v>345.0</v>
      </c>
      <c r="B8881" s="3" t="s">
        <v>19423</v>
      </c>
      <c r="C8881" s="3" t="s">
        <v>11281</v>
      </c>
      <c r="D8881" s="3" t="s">
        <v>12270</v>
      </c>
      <c r="E8881" s="3" t="s">
        <v>12271</v>
      </c>
      <c r="F8881" s="3" t="s">
        <v>12270</v>
      </c>
    </row>
    <row r="8882">
      <c r="A8882" s="3">
        <v>346.0</v>
      </c>
      <c r="B8882" s="3" t="s">
        <v>19423</v>
      </c>
      <c r="C8882" s="3" t="s">
        <v>11281</v>
      </c>
      <c r="D8882" s="3" t="s">
        <v>12272</v>
      </c>
      <c r="E8882" s="3" t="s">
        <v>12273</v>
      </c>
      <c r="F8882" s="3" t="s">
        <v>12272</v>
      </c>
    </row>
    <row r="8883">
      <c r="A8883" s="3">
        <v>347.0</v>
      </c>
      <c r="B8883" s="3" t="s">
        <v>19423</v>
      </c>
      <c r="C8883" s="3" t="s">
        <v>11281</v>
      </c>
      <c r="D8883" s="3" t="s">
        <v>12274</v>
      </c>
      <c r="E8883" s="3" t="s">
        <v>12275</v>
      </c>
      <c r="F8883" s="3" t="s">
        <v>12274</v>
      </c>
    </row>
    <row r="8884">
      <c r="A8884" s="3">
        <v>348.0</v>
      </c>
      <c r="B8884" s="3" t="s">
        <v>19423</v>
      </c>
      <c r="C8884" s="3" t="s">
        <v>11281</v>
      </c>
      <c r="D8884" s="3" t="s">
        <v>12276</v>
      </c>
      <c r="E8884" s="3" t="s">
        <v>12277</v>
      </c>
      <c r="F8884" s="3" t="s">
        <v>12276</v>
      </c>
    </row>
    <row r="8885">
      <c r="A8885" s="3">
        <v>349.0</v>
      </c>
      <c r="B8885" s="3" t="s">
        <v>19423</v>
      </c>
      <c r="C8885" s="3" t="s">
        <v>11281</v>
      </c>
      <c r="D8885" s="3" t="s">
        <v>12278</v>
      </c>
      <c r="E8885" s="3" t="s">
        <v>12279</v>
      </c>
      <c r="F8885" s="3" t="s">
        <v>12278</v>
      </c>
    </row>
    <row r="8886">
      <c r="A8886" s="3">
        <v>350.0</v>
      </c>
      <c r="B8886" s="3" t="s">
        <v>19423</v>
      </c>
      <c r="C8886" s="3" t="s">
        <v>11281</v>
      </c>
      <c r="D8886" s="3" t="s">
        <v>12280</v>
      </c>
      <c r="E8886" s="3" t="s">
        <v>12281</v>
      </c>
      <c r="F8886" s="3" t="s">
        <v>12280</v>
      </c>
    </row>
    <row r="8887">
      <c r="A8887" s="3">
        <v>351.0</v>
      </c>
      <c r="B8887" s="3" t="s">
        <v>19423</v>
      </c>
      <c r="C8887" s="3" t="s">
        <v>11281</v>
      </c>
      <c r="D8887" s="3" t="s">
        <v>12282</v>
      </c>
      <c r="E8887" s="3" t="s">
        <v>12283</v>
      </c>
      <c r="F8887" s="3" t="s">
        <v>12282</v>
      </c>
    </row>
    <row r="8888">
      <c r="A8888" s="3">
        <v>352.0</v>
      </c>
      <c r="B8888" s="3" t="s">
        <v>19423</v>
      </c>
      <c r="C8888" s="3" t="s">
        <v>11281</v>
      </c>
      <c r="D8888" s="3" t="s">
        <v>12284</v>
      </c>
      <c r="E8888" s="3" t="s">
        <v>12285</v>
      </c>
      <c r="F8888" s="3" t="s">
        <v>12284</v>
      </c>
    </row>
    <row r="8889">
      <c r="A8889" s="3">
        <v>353.0</v>
      </c>
      <c r="B8889" s="3" t="s">
        <v>19423</v>
      </c>
      <c r="C8889" s="3" t="s">
        <v>11281</v>
      </c>
      <c r="D8889" s="3" t="s">
        <v>12286</v>
      </c>
      <c r="E8889" s="3" t="s">
        <v>12287</v>
      </c>
      <c r="F8889" s="3" t="s">
        <v>12286</v>
      </c>
    </row>
    <row r="8890">
      <c r="A8890" s="3">
        <v>354.0</v>
      </c>
      <c r="B8890" s="3" t="s">
        <v>19423</v>
      </c>
      <c r="C8890" s="3" t="s">
        <v>11281</v>
      </c>
      <c r="D8890" s="3" t="s">
        <v>12288</v>
      </c>
      <c r="E8890" s="3" t="s">
        <v>12289</v>
      </c>
      <c r="F8890" s="3" t="s">
        <v>12288</v>
      </c>
    </row>
    <row r="8891">
      <c r="A8891" s="3">
        <v>355.0</v>
      </c>
      <c r="B8891" s="3" t="s">
        <v>19423</v>
      </c>
      <c r="C8891" s="3" t="s">
        <v>11281</v>
      </c>
      <c r="D8891" s="3" t="s">
        <v>12290</v>
      </c>
      <c r="E8891" s="3" t="s">
        <v>12291</v>
      </c>
      <c r="F8891" s="3" t="s">
        <v>12290</v>
      </c>
    </row>
    <row r="8892">
      <c r="A8892" s="3">
        <v>356.0</v>
      </c>
      <c r="B8892" s="3" t="s">
        <v>19423</v>
      </c>
      <c r="C8892" s="3" t="s">
        <v>11281</v>
      </c>
      <c r="D8892" s="3" t="s">
        <v>12292</v>
      </c>
      <c r="E8892" s="3" t="s">
        <v>12293</v>
      </c>
      <c r="F8892" s="3" t="s">
        <v>12292</v>
      </c>
    </row>
    <row r="8893">
      <c r="A8893" s="3">
        <v>357.0</v>
      </c>
      <c r="B8893" s="3" t="s">
        <v>19423</v>
      </c>
      <c r="C8893" s="3" t="s">
        <v>11281</v>
      </c>
      <c r="D8893" s="3" t="s">
        <v>12294</v>
      </c>
      <c r="E8893" s="3" t="s">
        <v>8063</v>
      </c>
      <c r="F8893" s="3" t="s">
        <v>8062</v>
      </c>
    </row>
    <row r="8894">
      <c r="A8894" s="3">
        <v>358.0</v>
      </c>
      <c r="B8894" s="3" t="s">
        <v>19423</v>
      </c>
      <c r="C8894" s="3" t="s">
        <v>11281</v>
      </c>
      <c r="D8894" s="3" t="s">
        <v>567</v>
      </c>
      <c r="E8894" s="3" t="s">
        <v>568</v>
      </c>
      <c r="F8894" s="3" t="s">
        <v>567</v>
      </c>
      <c r="G8894" s="3"/>
      <c r="H8894" s="3" t="s">
        <v>567</v>
      </c>
    </row>
    <row r="8895">
      <c r="A8895" s="3">
        <v>359.0</v>
      </c>
      <c r="B8895" s="3" t="s">
        <v>19423</v>
      </c>
      <c r="C8895" s="3" t="s">
        <v>11281</v>
      </c>
      <c r="D8895" s="3" t="s">
        <v>12295</v>
      </c>
      <c r="E8895" s="3" t="s">
        <v>19546</v>
      </c>
      <c r="F8895" s="3" t="s">
        <v>19547</v>
      </c>
    </row>
    <row r="8896">
      <c r="A8896" s="3">
        <v>360.0</v>
      </c>
      <c r="B8896" s="3" t="s">
        <v>19423</v>
      </c>
      <c r="C8896" s="3" t="s">
        <v>11281</v>
      </c>
      <c r="D8896" s="3" t="s">
        <v>12298</v>
      </c>
      <c r="E8896" s="3" t="s">
        <v>19548</v>
      </c>
      <c r="F8896" s="3" t="s">
        <v>19549</v>
      </c>
    </row>
    <row r="8897">
      <c r="A8897" s="3">
        <v>361.0</v>
      </c>
      <c r="B8897" s="3" t="s">
        <v>19423</v>
      </c>
      <c r="C8897" s="3" t="s">
        <v>11281</v>
      </c>
      <c r="D8897" s="3" t="s">
        <v>12301</v>
      </c>
      <c r="E8897" s="3" t="s">
        <v>19550</v>
      </c>
      <c r="F8897" s="3" t="s">
        <v>19551</v>
      </c>
      <c r="G8897" s="3"/>
      <c r="H8897" s="3" t="s">
        <v>12304</v>
      </c>
      <c r="I8897" s="3" t="s">
        <v>12305</v>
      </c>
      <c r="J8897" s="3" t="s">
        <v>12306</v>
      </c>
      <c r="K8897" s="3" t="s">
        <v>12307</v>
      </c>
      <c r="L8897" s="3" t="s">
        <v>12308</v>
      </c>
      <c r="M8897" s="3" t="s">
        <v>12304</v>
      </c>
      <c r="N8897" s="3" t="s">
        <v>12305</v>
      </c>
      <c r="O8897" s="3" t="s">
        <v>12309</v>
      </c>
      <c r="P8897" s="3" t="s">
        <v>12310</v>
      </c>
      <c r="Q8897" s="3" t="s">
        <v>12311</v>
      </c>
      <c r="R8897" s="3" t="s">
        <v>12312</v>
      </c>
      <c r="S8897" s="3" t="s">
        <v>12304</v>
      </c>
      <c r="T8897" s="3" t="s">
        <v>12305</v>
      </c>
      <c r="U8897" s="3" t="s">
        <v>12313</v>
      </c>
      <c r="V8897" s="3" t="s">
        <v>12314</v>
      </c>
    </row>
    <row r="8898">
      <c r="A8898" s="3">
        <v>362.0</v>
      </c>
      <c r="B8898" s="3" t="s">
        <v>19423</v>
      </c>
      <c r="C8898" s="3" t="s">
        <v>11281</v>
      </c>
      <c r="D8898" s="3" t="s">
        <v>12315</v>
      </c>
      <c r="E8898" s="3" t="s">
        <v>19552</v>
      </c>
      <c r="F8898" s="3" t="s">
        <v>19553</v>
      </c>
    </row>
    <row r="8899">
      <c r="A8899" s="3">
        <v>363.0</v>
      </c>
      <c r="B8899" s="3" t="s">
        <v>19423</v>
      </c>
      <c r="C8899" s="3" t="s">
        <v>11281</v>
      </c>
      <c r="D8899" s="3" t="s">
        <v>12318</v>
      </c>
      <c r="E8899" s="3" t="s">
        <v>19554</v>
      </c>
      <c r="F8899" s="3" t="s">
        <v>19555</v>
      </c>
    </row>
    <row r="8900">
      <c r="A8900" s="3">
        <v>364.0</v>
      </c>
      <c r="B8900" s="3" t="s">
        <v>19423</v>
      </c>
      <c r="C8900" s="3" t="s">
        <v>11281</v>
      </c>
      <c r="D8900" s="3" t="s">
        <v>12321</v>
      </c>
      <c r="E8900" s="3" t="s">
        <v>19556</v>
      </c>
      <c r="F8900" s="3" t="s">
        <v>19557</v>
      </c>
    </row>
    <row r="8901">
      <c r="A8901" s="3">
        <v>365.0</v>
      </c>
      <c r="B8901" s="3" t="s">
        <v>19423</v>
      </c>
      <c r="C8901" s="3" t="s">
        <v>11281</v>
      </c>
      <c r="D8901" s="3" t="s">
        <v>12324</v>
      </c>
      <c r="E8901" s="3" t="s">
        <v>19558</v>
      </c>
      <c r="F8901" s="3" t="s">
        <v>19559</v>
      </c>
    </row>
    <row r="8902">
      <c r="A8902" s="3">
        <v>366.0</v>
      </c>
      <c r="B8902" s="3" t="s">
        <v>19423</v>
      </c>
      <c r="C8902" s="3" t="s">
        <v>11281</v>
      </c>
      <c r="D8902" s="3" t="s">
        <v>9419</v>
      </c>
      <c r="E8902" s="3" t="s">
        <v>9418</v>
      </c>
      <c r="F8902" s="3" t="s">
        <v>9419</v>
      </c>
    </row>
    <row r="8903">
      <c r="A8903" s="3">
        <v>367.0</v>
      </c>
      <c r="B8903" s="3" t="s">
        <v>19423</v>
      </c>
      <c r="C8903" s="3" t="s">
        <v>11281</v>
      </c>
      <c r="D8903" s="3" t="s">
        <v>12327</v>
      </c>
      <c r="E8903" s="3" t="s">
        <v>12328</v>
      </c>
      <c r="F8903" s="3" t="s">
        <v>12327</v>
      </c>
    </row>
    <row r="8904">
      <c r="A8904" s="3">
        <v>368.0</v>
      </c>
      <c r="B8904" s="3" t="s">
        <v>19423</v>
      </c>
      <c r="C8904" s="3" t="s">
        <v>11281</v>
      </c>
      <c r="D8904" s="3" t="s">
        <v>12329</v>
      </c>
      <c r="E8904" s="3" t="s">
        <v>12330</v>
      </c>
      <c r="F8904" s="3" t="s">
        <v>12329</v>
      </c>
      <c r="G8904" s="3"/>
      <c r="H8904" s="3" t="s">
        <v>12331</v>
      </c>
      <c r="I8904" s="3" t="s">
        <v>12332</v>
      </c>
      <c r="J8904" s="3" t="s">
        <v>12333</v>
      </c>
      <c r="K8904" s="3" t="s">
        <v>12334</v>
      </c>
    </row>
    <row r="8905">
      <c r="A8905" s="3">
        <v>369.0</v>
      </c>
      <c r="B8905" s="3" t="s">
        <v>19423</v>
      </c>
      <c r="C8905" s="3" t="s">
        <v>11281</v>
      </c>
      <c r="D8905" s="3" t="s">
        <v>12335</v>
      </c>
      <c r="E8905" s="3" t="s">
        <v>12336</v>
      </c>
      <c r="F8905" s="3" t="s">
        <v>12335</v>
      </c>
    </row>
    <row r="8906">
      <c r="A8906" s="3">
        <v>370.0</v>
      </c>
      <c r="B8906" s="3" t="s">
        <v>19423</v>
      </c>
      <c r="C8906" s="3" t="s">
        <v>11281</v>
      </c>
      <c r="D8906" s="3" t="s">
        <v>12337</v>
      </c>
      <c r="E8906" s="3" t="s">
        <v>12338</v>
      </c>
      <c r="F8906" s="3" t="s">
        <v>12337</v>
      </c>
    </row>
    <row r="8907">
      <c r="A8907" s="3">
        <v>371.0</v>
      </c>
      <c r="B8907" s="3" t="s">
        <v>19423</v>
      </c>
      <c r="C8907" s="3" t="s">
        <v>11281</v>
      </c>
      <c r="D8907" s="3" t="s">
        <v>12339</v>
      </c>
      <c r="E8907" s="3" t="s">
        <v>12340</v>
      </c>
      <c r="F8907" s="3" t="s">
        <v>12339</v>
      </c>
    </row>
    <row r="8908">
      <c r="A8908" s="3">
        <v>372.0</v>
      </c>
      <c r="B8908" s="3" t="s">
        <v>19423</v>
      </c>
      <c r="C8908" s="3" t="s">
        <v>11281</v>
      </c>
      <c r="D8908" s="3" t="s">
        <v>12341</v>
      </c>
      <c r="E8908" s="3" t="s">
        <v>12342</v>
      </c>
      <c r="F8908" s="3" t="s">
        <v>12341</v>
      </c>
    </row>
    <row r="8909">
      <c r="A8909" s="3">
        <v>373.0</v>
      </c>
      <c r="B8909" s="3" t="s">
        <v>19423</v>
      </c>
      <c r="C8909" s="3" t="s">
        <v>11281</v>
      </c>
      <c r="D8909" s="3" t="s">
        <v>12343</v>
      </c>
      <c r="E8909" s="3" t="s">
        <v>12344</v>
      </c>
      <c r="F8909" s="3" t="s">
        <v>12343</v>
      </c>
    </row>
    <row r="8910">
      <c r="A8910" s="3">
        <v>374.0</v>
      </c>
      <c r="B8910" s="3" t="s">
        <v>19423</v>
      </c>
      <c r="C8910" s="3" t="s">
        <v>11281</v>
      </c>
      <c r="D8910" s="3" t="s">
        <v>12345</v>
      </c>
      <c r="E8910" s="3" t="s">
        <v>12346</v>
      </c>
      <c r="F8910" s="3" t="s">
        <v>12345</v>
      </c>
    </row>
    <row r="8911">
      <c r="A8911" s="3">
        <v>375.0</v>
      </c>
      <c r="B8911" s="3" t="s">
        <v>19423</v>
      </c>
      <c r="C8911" s="3" t="s">
        <v>11281</v>
      </c>
      <c r="D8911" s="3" t="s">
        <v>12347</v>
      </c>
      <c r="E8911" s="3" t="s">
        <v>12348</v>
      </c>
      <c r="F8911" s="3" t="s">
        <v>12347</v>
      </c>
    </row>
    <row r="8912">
      <c r="A8912" s="3">
        <v>376.0</v>
      </c>
      <c r="B8912" s="3" t="s">
        <v>19423</v>
      </c>
      <c r="C8912" s="3" t="s">
        <v>11281</v>
      </c>
      <c r="D8912" s="3" t="s">
        <v>12349</v>
      </c>
      <c r="E8912" s="3" t="s">
        <v>12350</v>
      </c>
      <c r="F8912" s="3" t="s">
        <v>12349</v>
      </c>
      <c r="G8912" s="3"/>
      <c r="H8912" s="3" t="s">
        <v>12351</v>
      </c>
      <c r="I8912" s="3" t="s">
        <v>12352</v>
      </c>
    </row>
    <row r="8913">
      <c r="A8913" s="3">
        <v>377.0</v>
      </c>
      <c r="B8913" s="3" t="s">
        <v>19423</v>
      </c>
      <c r="C8913" s="3" t="s">
        <v>11281</v>
      </c>
      <c r="D8913" s="3" t="s">
        <v>613</v>
      </c>
      <c r="E8913" s="3" t="s">
        <v>6799</v>
      </c>
      <c r="F8913" s="3" t="s">
        <v>613</v>
      </c>
    </row>
    <row r="8914">
      <c r="A8914" s="3">
        <v>378.0</v>
      </c>
      <c r="B8914" s="3" t="s">
        <v>19423</v>
      </c>
      <c r="C8914" s="3" t="s">
        <v>11281</v>
      </c>
      <c r="D8914" s="3" t="s">
        <v>617</v>
      </c>
      <c r="E8914" s="3" t="s">
        <v>6800</v>
      </c>
      <c r="F8914" s="3" t="s">
        <v>617</v>
      </c>
      <c r="G8914" s="3"/>
      <c r="H8914" s="3" t="s">
        <v>617</v>
      </c>
      <c r="I8914" s="3" t="s">
        <v>619</v>
      </c>
      <c r="J8914" s="3" t="s">
        <v>620</v>
      </c>
      <c r="K8914" s="3" t="s">
        <v>621</v>
      </c>
      <c r="L8914" s="3" t="s">
        <v>622</v>
      </c>
      <c r="M8914" s="3" t="s">
        <v>623</v>
      </c>
      <c r="N8914" s="3" t="s">
        <v>620</v>
      </c>
      <c r="O8914" s="3" t="s">
        <v>3086</v>
      </c>
      <c r="P8914" s="3" t="s">
        <v>3093</v>
      </c>
      <c r="Q8914" s="3" t="s">
        <v>621</v>
      </c>
      <c r="R8914" s="3" t="s">
        <v>3094</v>
      </c>
      <c r="S8914" s="3" t="s">
        <v>12353</v>
      </c>
      <c r="T8914" s="3" t="s">
        <v>12354</v>
      </c>
      <c r="U8914" s="3" t="s">
        <v>12355</v>
      </c>
      <c r="V8914" s="3" t="s">
        <v>12356</v>
      </c>
      <c r="W8914" s="3" t="s">
        <v>12357</v>
      </c>
      <c r="X8914" s="3" t="s">
        <v>12358</v>
      </c>
      <c r="Y8914" s="3" t="s">
        <v>12359</v>
      </c>
      <c r="Z8914" s="3" t="s">
        <v>12360</v>
      </c>
      <c r="AA8914" s="3" t="s">
        <v>12361</v>
      </c>
      <c r="AB8914" s="3" t="s">
        <v>12362</v>
      </c>
      <c r="AC8914" s="3" t="s">
        <v>12363</v>
      </c>
      <c r="AD8914" s="3" t="s">
        <v>12364</v>
      </c>
      <c r="AE8914" s="3" t="s">
        <v>12365</v>
      </c>
    </row>
    <row r="8915">
      <c r="A8915" s="3">
        <v>379.0</v>
      </c>
      <c r="B8915" s="3" t="s">
        <v>19423</v>
      </c>
      <c r="C8915" s="3" t="s">
        <v>11281</v>
      </c>
      <c r="D8915" s="3" t="s">
        <v>12366</v>
      </c>
      <c r="E8915" s="3" t="s">
        <v>19560</v>
      </c>
      <c r="F8915" s="3" t="s">
        <v>19561</v>
      </c>
    </row>
    <row r="8916">
      <c r="A8916" s="3">
        <v>380.0</v>
      </c>
      <c r="B8916" s="3" t="s">
        <v>19423</v>
      </c>
      <c r="C8916" s="3" t="s">
        <v>11281</v>
      </c>
      <c r="D8916" s="3" t="s">
        <v>12369</v>
      </c>
      <c r="E8916" s="3" t="s">
        <v>19562</v>
      </c>
      <c r="F8916" s="3" t="s">
        <v>19563</v>
      </c>
    </row>
    <row r="8917">
      <c r="A8917" s="3">
        <v>381.0</v>
      </c>
      <c r="B8917" s="3" t="s">
        <v>19423</v>
      </c>
      <c r="C8917" s="3" t="s">
        <v>11281</v>
      </c>
      <c r="D8917" s="3" t="s">
        <v>12372</v>
      </c>
      <c r="E8917" s="3" t="s">
        <v>19564</v>
      </c>
      <c r="F8917" s="3" t="s">
        <v>19565</v>
      </c>
    </row>
    <row r="8918">
      <c r="A8918" s="3">
        <v>382.0</v>
      </c>
      <c r="B8918" s="3" t="s">
        <v>19423</v>
      </c>
      <c r="C8918" s="3" t="s">
        <v>11281</v>
      </c>
      <c r="D8918" s="3" t="s">
        <v>12375</v>
      </c>
      <c r="E8918" s="3" t="s">
        <v>19566</v>
      </c>
      <c r="F8918" s="3" t="s">
        <v>19567</v>
      </c>
    </row>
    <row r="8919">
      <c r="A8919" s="3">
        <v>383.0</v>
      </c>
      <c r="B8919" s="3" t="s">
        <v>19423</v>
      </c>
      <c r="C8919" s="3" t="s">
        <v>11281</v>
      </c>
      <c r="D8919" s="3" t="s">
        <v>12378</v>
      </c>
      <c r="E8919" s="3" t="s">
        <v>19568</v>
      </c>
      <c r="F8919" s="3" t="s">
        <v>19569</v>
      </c>
    </row>
    <row r="8920">
      <c r="A8920" s="3">
        <v>384.0</v>
      </c>
      <c r="B8920" s="3" t="s">
        <v>19423</v>
      </c>
      <c r="C8920" s="3" t="s">
        <v>11281</v>
      </c>
      <c r="D8920" s="3" t="s">
        <v>12381</v>
      </c>
      <c r="E8920" s="3" t="s">
        <v>19570</v>
      </c>
      <c r="F8920" s="3" t="s">
        <v>19571</v>
      </c>
    </row>
    <row r="8921">
      <c r="A8921" s="3">
        <v>385.0</v>
      </c>
      <c r="B8921" s="3" t="s">
        <v>19423</v>
      </c>
      <c r="C8921" s="3" t="s">
        <v>11281</v>
      </c>
      <c r="D8921" s="3" t="s">
        <v>12384</v>
      </c>
      <c r="E8921" s="3" t="s">
        <v>19572</v>
      </c>
      <c r="F8921" s="3" t="s">
        <v>19573</v>
      </c>
    </row>
    <row r="8922">
      <c r="A8922" s="3">
        <v>386.0</v>
      </c>
      <c r="B8922" s="3" t="s">
        <v>19423</v>
      </c>
      <c r="C8922" s="3" t="s">
        <v>11281</v>
      </c>
      <c r="D8922" s="3" t="s">
        <v>12387</v>
      </c>
      <c r="E8922" s="3" t="s">
        <v>12388</v>
      </c>
      <c r="F8922" s="3" t="s">
        <v>12387</v>
      </c>
    </row>
    <row r="8923">
      <c r="A8923" s="3">
        <v>387.0</v>
      </c>
      <c r="B8923" s="3" t="s">
        <v>19423</v>
      </c>
      <c r="C8923" s="3" t="s">
        <v>11281</v>
      </c>
      <c r="D8923" s="3" t="s">
        <v>12389</v>
      </c>
      <c r="E8923" s="3" t="s">
        <v>12390</v>
      </c>
      <c r="F8923" s="3" t="s">
        <v>12389</v>
      </c>
      <c r="G8923" s="3"/>
      <c r="H8923" s="3" t="s">
        <v>12391</v>
      </c>
      <c r="I8923" s="3" t="s">
        <v>12392</v>
      </c>
      <c r="J8923" s="3" t="s">
        <v>12393</v>
      </c>
      <c r="K8923" s="3" t="s">
        <v>12394</v>
      </c>
      <c r="L8923" s="3" t="s">
        <v>12395</v>
      </c>
      <c r="M8923" s="3" t="s">
        <v>12396</v>
      </c>
      <c r="N8923" s="3" t="s">
        <v>12397</v>
      </c>
      <c r="O8923" s="3" t="s">
        <v>12398</v>
      </c>
      <c r="P8923" s="3" t="s">
        <v>12399</v>
      </c>
      <c r="Q8923" s="3" t="s">
        <v>8913</v>
      </c>
      <c r="R8923" s="3" t="s">
        <v>12400</v>
      </c>
      <c r="S8923" s="3" t="s">
        <v>12401</v>
      </c>
      <c r="T8923" s="3" t="s">
        <v>8776</v>
      </c>
      <c r="U8923" s="3" t="s">
        <v>12402</v>
      </c>
      <c r="V8923" s="3" t="s">
        <v>12403</v>
      </c>
      <c r="W8923" s="3" t="s">
        <v>12399</v>
      </c>
      <c r="X8923" s="3" t="s">
        <v>11735</v>
      </c>
      <c r="Y8923" s="3" t="s">
        <v>1863</v>
      </c>
      <c r="Z8923" s="3" t="s">
        <v>5831</v>
      </c>
      <c r="AA8923" s="3" t="s">
        <v>8925</v>
      </c>
      <c r="AB8923" s="3" t="s">
        <v>12404</v>
      </c>
      <c r="AC8923" s="3" t="s">
        <v>12405</v>
      </c>
      <c r="AD8923" s="3" t="s">
        <v>12406</v>
      </c>
      <c r="AE8923" s="3" t="s">
        <v>12406</v>
      </c>
      <c r="AF8923" s="3" t="s">
        <v>12407</v>
      </c>
      <c r="AG8923" s="3" t="s">
        <v>12408</v>
      </c>
      <c r="AH8923" s="3" t="s">
        <v>12409</v>
      </c>
      <c r="AI8923" s="3" t="s">
        <v>12410</v>
      </c>
      <c r="AJ8923" s="3" t="s">
        <v>12411</v>
      </c>
      <c r="AK8923" s="3" t="s">
        <v>12412</v>
      </c>
      <c r="AL8923" s="3" t="s">
        <v>12393</v>
      </c>
      <c r="AM8923" s="3" t="s">
        <v>12406</v>
      </c>
      <c r="AN8923" s="3" t="s">
        <v>12413</v>
      </c>
      <c r="AO8923" s="3" t="s">
        <v>12414</v>
      </c>
      <c r="AP8923" s="3" t="s">
        <v>12415</v>
      </c>
      <c r="AQ8923" s="3" t="s">
        <v>12416</v>
      </c>
      <c r="AR8923" s="3" t="s">
        <v>12417</v>
      </c>
      <c r="AS8923" s="3" t="s">
        <v>12418</v>
      </c>
      <c r="AT8923" s="3" t="s">
        <v>12408</v>
      </c>
      <c r="AU8923" s="3" t="s">
        <v>12399</v>
      </c>
      <c r="AV8923" s="3" t="s">
        <v>12398</v>
      </c>
      <c r="AW8923" s="3" t="s">
        <v>12395</v>
      </c>
      <c r="AX8923" s="3" t="s">
        <v>12419</v>
      </c>
      <c r="AY8923" s="3" t="s">
        <v>12406</v>
      </c>
      <c r="AZ8923" s="3" t="s">
        <v>12420</v>
      </c>
      <c r="BA8923" s="3" t="s">
        <v>12421</v>
      </c>
      <c r="BB8923" s="3" t="s">
        <v>12422</v>
      </c>
      <c r="BC8923" s="3" t="s">
        <v>12405</v>
      </c>
      <c r="BD8923" s="3" t="s">
        <v>12423</v>
      </c>
      <c r="BE8923" s="3" t="s">
        <v>12424</v>
      </c>
    </row>
    <row r="8924">
      <c r="A8924" s="3">
        <v>388.0</v>
      </c>
      <c r="B8924" s="3" t="s">
        <v>19423</v>
      </c>
      <c r="C8924" s="3" t="s">
        <v>11281</v>
      </c>
      <c r="D8924" s="3" t="s">
        <v>12425</v>
      </c>
      <c r="E8924" s="3" t="s">
        <v>12426</v>
      </c>
      <c r="F8924" s="3" t="s">
        <v>12425</v>
      </c>
    </row>
    <row r="8925">
      <c r="A8925" s="3">
        <v>389.0</v>
      </c>
      <c r="B8925" s="3" t="s">
        <v>19423</v>
      </c>
      <c r="C8925" s="3" t="s">
        <v>11281</v>
      </c>
      <c r="D8925" s="3" t="s">
        <v>12427</v>
      </c>
      <c r="E8925" s="3" t="s">
        <v>12428</v>
      </c>
      <c r="F8925" s="3" t="s">
        <v>12427</v>
      </c>
    </row>
    <row r="8926">
      <c r="A8926" s="3">
        <v>390.0</v>
      </c>
      <c r="B8926" s="3" t="s">
        <v>19423</v>
      </c>
      <c r="C8926" s="3" t="s">
        <v>11281</v>
      </c>
      <c r="D8926" s="3" t="s">
        <v>12429</v>
      </c>
      <c r="E8926" s="3" t="s">
        <v>12430</v>
      </c>
      <c r="F8926" s="3" t="s">
        <v>12429</v>
      </c>
    </row>
    <row r="8927">
      <c r="A8927" s="3">
        <v>391.0</v>
      </c>
      <c r="B8927" s="3" t="s">
        <v>19423</v>
      </c>
      <c r="C8927" s="3" t="s">
        <v>11281</v>
      </c>
      <c r="D8927" s="3" t="s">
        <v>637</v>
      </c>
      <c r="E8927" s="3" t="s">
        <v>6802</v>
      </c>
      <c r="F8927" s="3" t="s">
        <v>637</v>
      </c>
    </row>
    <row r="8928">
      <c r="A8928" s="3">
        <v>392.0</v>
      </c>
      <c r="B8928" s="3" t="s">
        <v>19423</v>
      </c>
      <c r="C8928" s="3" t="s">
        <v>11281</v>
      </c>
      <c r="D8928" s="3" t="s">
        <v>12431</v>
      </c>
      <c r="E8928" s="3" t="s">
        <v>12432</v>
      </c>
      <c r="F8928" s="3" t="s">
        <v>12431</v>
      </c>
    </row>
    <row r="8929">
      <c r="A8929" s="3">
        <v>393.0</v>
      </c>
      <c r="B8929" s="3" t="s">
        <v>19423</v>
      </c>
      <c r="C8929" s="3" t="s">
        <v>11281</v>
      </c>
      <c r="D8929" s="3" t="s">
        <v>12433</v>
      </c>
      <c r="E8929" s="3" t="s">
        <v>12434</v>
      </c>
      <c r="F8929" s="3" t="s">
        <v>12435</v>
      </c>
    </row>
    <row r="8930">
      <c r="A8930" s="3">
        <v>394.0</v>
      </c>
      <c r="B8930" s="3" t="s">
        <v>19423</v>
      </c>
      <c r="C8930" s="3" t="s">
        <v>11281</v>
      </c>
      <c r="D8930" s="3" t="s">
        <v>12436</v>
      </c>
      <c r="E8930" s="3" t="s">
        <v>12437</v>
      </c>
      <c r="F8930" s="3" t="s">
        <v>12438</v>
      </c>
    </row>
    <row r="8931">
      <c r="A8931" s="3">
        <v>395.0</v>
      </c>
      <c r="B8931" s="3" t="s">
        <v>19423</v>
      </c>
      <c r="C8931" s="3" t="s">
        <v>11281</v>
      </c>
      <c r="D8931" s="3" t="s">
        <v>12439</v>
      </c>
      <c r="E8931" s="3" t="s">
        <v>12440</v>
      </c>
      <c r="F8931" s="3" t="s">
        <v>12441</v>
      </c>
      <c r="G8931" s="3"/>
      <c r="H8931" s="3" t="s">
        <v>12442</v>
      </c>
      <c r="I8931" s="3" t="s">
        <v>12443</v>
      </c>
      <c r="J8931" s="3" t="s">
        <v>12444</v>
      </c>
      <c r="K8931" s="3" t="s">
        <v>12445</v>
      </c>
    </row>
    <row r="8932">
      <c r="A8932" s="3">
        <v>396.0</v>
      </c>
      <c r="B8932" s="3" t="s">
        <v>19423</v>
      </c>
      <c r="C8932" s="3" t="s">
        <v>11281</v>
      </c>
      <c r="D8932" s="3" t="s">
        <v>12446</v>
      </c>
      <c r="E8932" s="3" t="s">
        <v>12447</v>
      </c>
      <c r="F8932" s="3" t="s">
        <v>12448</v>
      </c>
    </row>
    <row r="8933">
      <c r="A8933" s="3">
        <v>397.0</v>
      </c>
      <c r="B8933" s="3" t="s">
        <v>19423</v>
      </c>
      <c r="C8933" s="3" t="s">
        <v>11281</v>
      </c>
      <c r="D8933" s="3" t="s">
        <v>12449</v>
      </c>
      <c r="E8933" s="3" t="s">
        <v>12450</v>
      </c>
      <c r="F8933" s="3" t="s">
        <v>12451</v>
      </c>
    </row>
    <row r="8934">
      <c r="A8934" s="3">
        <v>398.0</v>
      </c>
      <c r="B8934" s="3" t="s">
        <v>19423</v>
      </c>
      <c r="C8934" s="3" t="s">
        <v>11281</v>
      </c>
      <c r="D8934" s="3" t="s">
        <v>12452</v>
      </c>
      <c r="E8934" s="3" t="s">
        <v>12453</v>
      </c>
      <c r="F8934" s="3" t="s">
        <v>12454</v>
      </c>
    </row>
    <row r="8935">
      <c r="A8935" s="3">
        <v>399.0</v>
      </c>
      <c r="B8935" s="3" t="s">
        <v>19423</v>
      </c>
      <c r="C8935" s="3" t="s">
        <v>11281</v>
      </c>
      <c r="D8935" s="3" t="s">
        <v>12455</v>
      </c>
      <c r="E8935" s="3" t="s">
        <v>12456</v>
      </c>
      <c r="F8935" s="3" t="s">
        <v>12457</v>
      </c>
    </row>
    <row r="8936">
      <c r="A8936" s="3">
        <v>400.0</v>
      </c>
      <c r="B8936" s="3" t="s">
        <v>19423</v>
      </c>
      <c r="C8936" s="3" t="s">
        <v>11281</v>
      </c>
      <c r="D8936" s="3" t="s">
        <v>12458</v>
      </c>
      <c r="E8936" s="3" t="s">
        <v>12459</v>
      </c>
      <c r="F8936" s="3" t="s">
        <v>12458</v>
      </c>
    </row>
    <row r="8937">
      <c r="A8937" s="3">
        <v>401.0</v>
      </c>
      <c r="B8937" s="3" t="s">
        <v>19423</v>
      </c>
      <c r="C8937" s="3" t="s">
        <v>11281</v>
      </c>
      <c r="D8937" s="3" t="s">
        <v>12460</v>
      </c>
      <c r="E8937" s="3" t="s">
        <v>12461</v>
      </c>
      <c r="F8937" s="3" t="s">
        <v>12460</v>
      </c>
    </row>
    <row r="8938">
      <c r="A8938" s="3">
        <v>402.0</v>
      </c>
      <c r="B8938" s="3" t="s">
        <v>19423</v>
      </c>
      <c r="C8938" s="3" t="s">
        <v>11281</v>
      </c>
      <c r="D8938" s="3" t="s">
        <v>12462</v>
      </c>
      <c r="E8938" s="3" t="s">
        <v>12463</v>
      </c>
      <c r="F8938" s="3" t="s">
        <v>12462</v>
      </c>
    </row>
    <row r="8939">
      <c r="A8939" s="3">
        <v>403.0</v>
      </c>
      <c r="B8939" s="3" t="s">
        <v>19423</v>
      </c>
      <c r="C8939" s="3" t="s">
        <v>11281</v>
      </c>
      <c r="D8939" s="3" t="s">
        <v>12464</v>
      </c>
      <c r="E8939" s="3" t="s">
        <v>12465</v>
      </c>
      <c r="F8939" s="3" t="s">
        <v>12464</v>
      </c>
    </row>
    <row r="8940">
      <c r="A8940" s="3">
        <v>404.0</v>
      </c>
      <c r="B8940" s="3" t="s">
        <v>19423</v>
      </c>
      <c r="C8940" s="3" t="s">
        <v>11281</v>
      </c>
      <c r="D8940" s="3" t="s">
        <v>12466</v>
      </c>
      <c r="E8940" s="3" t="s">
        <v>12467</v>
      </c>
      <c r="F8940" s="3" t="s">
        <v>12466</v>
      </c>
      <c r="G8940" s="3"/>
      <c r="H8940" s="3" t="s">
        <v>12468</v>
      </c>
      <c r="I8940" s="3" t="s">
        <v>12469</v>
      </c>
      <c r="J8940" s="3" t="s">
        <v>12470</v>
      </c>
      <c r="K8940" s="3" t="s">
        <v>12471</v>
      </c>
      <c r="L8940" s="3" t="s">
        <v>12472</v>
      </c>
      <c r="M8940" s="3" t="s">
        <v>12473</v>
      </c>
      <c r="N8940" s="3" t="s">
        <v>12474</v>
      </c>
      <c r="O8940" s="3" t="s">
        <v>12475</v>
      </c>
      <c r="P8940" s="3" t="s">
        <v>12476</v>
      </c>
      <c r="Q8940" s="3" t="s">
        <v>12477</v>
      </c>
      <c r="R8940" s="3" t="s">
        <v>12478</v>
      </c>
      <c r="S8940" s="3" t="s">
        <v>12479</v>
      </c>
      <c r="T8940" s="3" t="s">
        <v>12480</v>
      </c>
      <c r="U8940" s="3" t="s">
        <v>12481</v>
      </c>
      <c r="V8940" s="3" t="s">
        <v>9436</v>
      </c>
      <c r="W8940" s="3" t="s">
        <v>12482</v>
      </c>
      <c r="X8940" s="3" t="s">
        <v>12483</v>
      </c>
      <c r="Y8940" s="3" t="s">
        <v>1863</v>
      </c>
      <c r="Z8940" s="3" t="s">
        <v>12484</v>
      </c>
      <c r="AA8940" s="3" t="s">
        <v>9436</v>
      </c>
      <c r="AB8940" s="3" t="s">
        <v>10613</v>
      </c>
      <c r="AC8940" s="3" t="s">
        <v>12479</v>
      </c>
      <c r="AD8940" s="3" t="s">
        <v>12485</v>
      </c>
      <c r="AE8940" s="3" t="s">
        <v>12486</v>
      </c>
      <c r="AF8940" s="3" t="s">
        <v>12487</v>
      </c>
      <c r="AG8940" s="3" t="s">
        <v>12488</v>
      </c>
      <c r="AH8940" s="3" t="s">
        <v>12488</v>
      </c>
      <c r="AI8940" s="3" t="s">
        <v>12489</v>
      </c>
      <c r="AJ8940" s="3" t="s">
        <v>12468</v>
      </c>
      <c r="AK8940" s="3" t="s">
        <v>12483</v>
      </c>
      <c r="AL8940" s="3" t="s">
        <v>12490</v>
      </c>
      <c r="AM8940" s="3" t="s">
        <v>12469</v>
      </c>
      <c r="AN8940" s="3" t="s">
        <v>12491</v>
      </c>
      <c r="AO8940" s="3" t="s">
        <v>12473</v>
      </c>
      <c r="AP8940" s="3" t="s">
        <v>12480</v>
      </c>
      <c r="AQ8940" s="3" t="s">
        <v>12492</v>
      </c>
      <c r="AR8940" s="3" t="s">
        <v>12489</v>
      </c>
      <c r="AS8940" s="3" t="s">
        <v>12493</v>
      </c>
      <c r="AT8940" s="3" t="s">
        <v>12494</v>
      </c>
      <c r="AU8940" s="3" t="s">
        <v>12495</v>
      </c>
    </row>
    <row r="8941">
      <c r="A8941" s="3">
        <v>405.0</v>
      </c>
      <c r="B8941" s="3" t="s">
        <v>19423</v>
      </c>
      <c r="C8941" s="3" t="s">
        <v>11281</v>
      </c>
      <c r="D8941" s="3" t="s">
        <v>12496</v>
      </c>
      <c r="E8941" s="3" t="s">
        <v>12497</v>
      </c>
      <c r="F8941" s="3" t="s">
        <v>12496</v>
      </c>
    </row>
    <row r="8942">
      <c r="A8942" s="3">
        <v>406.0</v>
      </c>
      <c r="B8942" s="3" t="s">
        <v>19423</v>
      </c>
      <c r="C8942" s="3" t="s">
        <v>11281</v>
      </c>
      <c r="D8942" s="3" t="s">
        <v>12498</v>
      </c>
      <c r="E8942" s="3" t="s">
        <v>12499</v>
      </c>
      <c r="F8942" s="3" t="s">
        <v>12498</v>
      </c>
    </row>
    <row r="8943">
      <c r="A8943" s="3">
        <v>407.0</v>
      </c>
      <c r="B8943" s="3" t="s">
        <v>19423</v>
      </c>
      <c r="C8943" s="3" t="s">
        <v>11281</v>
      </c>
      <c r="D8943" s="3" t="s">
        <v>12500</v>
      </c>
      <c r="E8943" s="3" t="s">
        <v>12501</v>
      </c>
      <c r="F8943" s="3" t="s">
        <v>12500</v>
      </c>
    </row>
    <row r="8944">
      <c r="A8944" s="3">
        <v>408.0</v>
      </c>
      <c r="B8944" s="3" t="s">
        <v>19423</v>
      </c>
      <c r="C8944" s="3" t="s">
        <v>11281</v>
      </c>
      <c r="D8944" s="3" t="s">
        <v>12502</v>
      </c>
      <c r="E8944" s="3" t="s">
        <v>12503</v>
      </c>
      <c r="F8944" s="3" t="s">
        <v>12502</v>
      </c>
    </row>
    <row r="8945">
      <c r="A8945" s="3">
        <v>409.0</v>
      </c>
      <c r="B8945" s="3" t="s">
        <v>19423</v>
      </c>
      <c r="C8945" s="3" t="s">
        <v>11281</v>
      </c>
      <c r="D8945" s="3" t="s">
        <v>12504</v>
      </c>
      <c r="E8945" s="3" t="s">
        <v>12505</v>
      </c>
      <c r="F8945" s="3" t="s">
        <v>12504</v>
      </c>
      <c r="G8945" s="3"/>
      <c r="H8945" s="3" t="s">
        <v>12506</v>
      </c>
      <c r="I8945" s="3" t="s">
        <v>12507</v>
      </c>
      <c r="J8945" s="3" t="s">
        <v>12508</v>
      </c>
      <c r="K8945" s="3" t="s">
        <v>12509</v>
      </c>
      <c r="L8945" s="3" t="s">
        <v>12510</v>
      </c>
      <c r="M8945" s="3" t="s">
        <v>12511</v>
      </c>
      <c r="N8945" s="3" t="s">
        <v>12512</v>
      </c>
      <c r="O8945" s="3" t="s">
        <v>12513</v>
      </c>
      <c r="P8945" s="3" t="s">
        <v>12514</v>
      </c>
      <c r="Q8945" s="3" t="s">
        <v>12515</v>
      </c>
      <c r="R8945" s="3" t="s">
        <v>12516</v>
      </c>
      <c r="S8945" s="3" t="s">
        <v>12517</v>
      </c>
    </row>
    <row r="8946">
      <c r="A8946" s="3">
        <v>410.0</v>
      </c>
      <c r="B8946" s="3" t="s">
        <v>19423</v>
      </c>
      <c r="C8946" s="3" t="s">
        <v>11281</v>
      </c>
      <c r="D8946" s="3" t="s">
        <v>12518</v>
      </c>
      <c r="E8946" s="3" t="s">
        <v>12519</v>
      </c>
      <c r="F8946" s="3" t="s">
        <v>12518</v>
      </c>
    </row>
    <row r="8947">
      <c r="A8947" s="3">
        <v>411.0</v>
      </c>
      <c r="B8947" s="3" t="s">
        <v>19423</v>
      </c>
      <c r="C8947" s="3" t="s">
        <v>11281</v>
      </c>
      <c r="D8947" s="3" t="s">
        <v>12520</v>
      </c>
      <c r="E8947" s="3" t="s">
        <v>19574</v>
      </c>
      <c r="F8947" s="3" t="s">
        <v>19575</v>
      </c>
    </row>
    <row r="8948">
      <c r="A8948" s="3">
        <v>412.0</v>
      </c>
      <c r="B8948" s="3" t="s">
        <v>19423</v>
      </c>
      <c r="C8948" s="3" t="s">
        <v>11281</v>
      </c>
      <c r="D8948" s="3" t="s">
        <v>12523</v>
      </c>
      <c r="E8948" s="3" t="s">
        <v>19576</v>
      </c>
      <c r="F8948" s="3" t="s">
        <v>19577</v>
      </c>
    </row>
    <row r="8949">
      <c r="A8949" s="3">
        <v>413.0</v>
      </c>
      <c r="B8949" s="3" t="s">
        <v>19423</v>
      </c>
      <c r="C8949" s="3" t="s">
        <v>11281</v>
      </c>
      <c r="D8949" s="3" t="s">
        <v>12526</v>
      </c>
      <c r="E8949" s="3" t="s">
        <v>12527</v>
      </c>
      <c r="F8949" s="3" t="s">
        <v>12526</v>
      </c>
    </row>
    <row r="8950">
      <c r="A8950" s="3">
        <v>414.0</v>
      </c>
      <c r="B8950" s="3" t="s">
        <v>19423</v>
      </c>
      <c r="C8950" s="3" t="s">
        <v>11281</v>
      </c>
      <c r="D8950" s="3" t="s">
        <v>12528</v>
      </c>
      <c r="E8950" s="3" t="s">
        <v>12529</v>
      </c>
      <c r="F8950" s="3" t="s">
        <v>12528</v>
      </c>
    </row>
    <row r="8951">
      <c r="A8951" s="3">
        <v>415.0</v>
      </c>
      <c r="B8951" s="3" t="s">
        <v>19423</v>
      </c>
      <c r="C8951" s="3" t="s">
        <v>11281</v>
      </c>
      <c r="D8951" s="3" t="s">
        <v>12530</v>
      </c>
      <c r="E8951" s="3" t="s">
        <v>12531</v>
      </c>
      <c r="F8951" s="3" t="s">
        <v>12530</v>
      </c>
    </row>
    <row r="8952">
      <c r="A8952" s="3">
        <v>416.0</v>
      </c>
      <c r="B8952" s="3" t="s">
        <v>19423</v>
      </c>
      <c r="C8952" s="3" t="s">
        <v>11281</v>
      </c>
      <c r="D8952" s="3" t="s">
        <v>12532</v>
      </c>
      <c r="E8952" s="3" t="s">
        <v>12533</v>
      </c>
      <c r="F8952" s="3" t="s">
        <v>12532</v>
      </c>
    </row>
    <row r="8953">
      <c r="A8953" s="3">
        <v>417.0</v>
      </c>
      <c r="B8953" s="3" t="s">
        <v>19423</v>
      </c>
      <c r="C8953" s="3" t="s">
        <v>11281</v>
      </c>
      <c r="D8953" s="3" t="s">
        <v>12534</v>
      </c>
      <c r="E8953" s="3" t="s">
        <v>12535</v>
      </c>
      <c r="F8953" s="3" t="s">
        <v>12534</v>
      </c>
    </row>
    <row r="8954">
      <c r="A8954" s="3">
        <v>418.0</v>
      </c>
      <c r="B8954" s="3" t="s">
        <v>19423</v>
      </c>
      <c r="C8954" s="3" t="s">
        <v>11281</v>
      </c>
      <c r="D8954" s="3" t="s">
        <v>12536</v>
      </c>
      <c r="E8954" s="3" t="s">
        <v>12537</v>
      </c>
      <c r="F8954" s="3" t="s">
        <v>12536</v>
      </c>
    </row>
    <row r="8955">
      <c r="A8955" s="3">
        <v>419.0</v>
      </c>
      <c r="B8955" s="3" t="s">
        <v>19423</v>
      </c>
      <c r="C8955" s="3" t="s">
        <v>11281</v>
      </c>
      <c r="D8955" s="3" t="s">
        <v>12538</v>
      </c>
      <c r="E8955" s="3" t="s">
        <v>12539</v>
      </c>
      <c r="F8955" s="3" t="s">
        <v>12538</v>
      </c>
    </row>
    <row r="8956">
      <c r="A8956" s="3">
        <v>420.0</v>
      </c>
      <c r="B8956" s="3" t="s">
        <v>19423</v>
      </c>
      <c r="C8956" s="3" t="s">
        <v>11281</v>
      </c>
      <c r="D8956" s="3" t="s">
        <v>12540</v>
      </c>
      <c r="E8956" s="3" t="s">
        <v>12541</v>
      </c>
      <c r="F8956" s="3" t="s">
        <v>12540</v>
      </c>
    </row>
    <row r="8957">
      <c r="A8957" s="3">
        <v>421.0</v>
      </c>
      <c r="B8957" s="3" t="s">
        <v>19423</v>
      </c>
      <c r="C8957" s="3" t="s">
        <v>11281</v>
      </c>
      <c r="D8957" s="3" t="s">
        <v>12542</v>
      </c>
      <c r="E8957" s="3" t="s">
        <v>12543</v>
      </c>
      <c r="F8957" s="3" t="s">
        <v>12544</v>
      </c>
    </row>
    <row r="8958">
      <c r="A8958" s="3">
        <v>422.0</v>
      </c>
      <c r="B8958" s="3" t="s">
        <v>19423</v>
      </c>
      <c r="C8958" s="3" t="s">
        <v>11281</v>
      </c>
      <c r="D8958" s="3" t="s">
        <v>12545</v>
      </c>
      <c r="E8958" s="3" t="s">
        <v>12546</v>
      </c>
      <c r="F8958" s="3" t="s">
        <v>12547</v>
      </c>
    </row>
    <row r="8959">
      <c r="A8959" s="3">
        <v>423.0</v>
      </c>
      <c r="B8959" s="3" t="s">
        <v>19423</v>
      </c>
      <c r="C8959" s="3" t="s">
        <v>11281</v>
      </c>
      <c r="D8959" s="3" t="s">
        <v>12548</v>
      </c>
      <c r="E8959" s="3" t="s">
        <v>12549</v>
      </c>
      <c r="F8959" s="3" t="s">
        <v>12550</v>
      </c>
      <c r="G8959" s="3"/>
      <c r="H8959" s="3" t="s">
        <v>12551</v>
      </c>
      <c r="I8959" s="3" t="s">
        <v>12552</v>
      </c>
      <c r="J8959" s="3" t="s">
        <v>12553</v>
      </c>
      <c r="K8959" s="3" t="s">
        <v>12554</v>
      </c>
      <c r="L8959" s="3" t="s">
        <v>12555</v>
      </c>
      <c r="M8959" s="3" t="s">
        <v>12556</v>
      </c>
      <c r="N8959" s="3" t="s">
        <v>12557</v>
      </c>
      <c r="O8959" s="3" t="s">
        <v>2181</v>
      </c>
      <c r="P8959" s="3" t="s">
        <v>12558</v>
      </c>
      <c r="Q8959" s="3" t="s">
        <v>12559</v>
      </c>
      <c r="R8959" s="3" t="s">
        <v>12560</v>
      </c>
      <c r="S8959" s="3" t="s">
        <v>12561</v>
      </c>
      <c r="T8959" s="3" t="s">
        <v>1208</v>
      </c>
      <c r="U8959" s="3" t="s">
        <v>12561</v>
      </c>
      <c r="V8959" s="3" t="s">
        <v>12562</v>
      </c>
      <c r="W8959" s="3" t="s">
        <v>12563</v>
      </c>
      <c r="X8959" s="3" t="s">
        <v>12555</v>
      </c>
      <c r="Y8959" s="3" t="s">
        <v>12564</v>
      </c>
    </row>
    <row r="8960">
      <c r="A8960" s="3">
        <v>424.0</v>
      </c>
      <c r="B8960" s="3" t="s">
        <v>19423</v>
      </c>
      <c r="C8960" s="3" t="s">
        <v>11281</v>
      </c>
      <c r="D8960" s="3" t="s">
        <v>12565</v>
      </c>
      <c r="E8960" s="3" t="s">
        <v>12566</v>
      </c>
      <c r="F8960" s="3" t="s">
        <v>12567</v>
      </c>
    </row>
    <row r="8961">
      <c r="A8961" s="3">
        <v>425.0</v>
      </c>
      <c r="B8961" s="3" t="s">
        <v>19423</v>
      </c>
      <c r="C8961" s="3" t="s">
        <v>11281</v>
      </c>
      <c r="D8961" s="3" t="s">
        <v>12568</v>
      </c>
      <c r="E8961" s="3" t="s">
        <v>12569</v>
      </c>
      <c r="F8961" s="3" t="s">
        <v>12570</v>
      </c>
    </row>
    <row r="8962">
      <c r="A8962" s="3">
        <v>426.0</v>
      </c>
      <c r="B8962" s="3" t="s">
        <v>19423</v>
      </c>
      <c r="C8962" s="3" t="s">
        <v>11281</v>
      </c>
      <c r="D8962" s="3" t="s">
        <v>12571</v>
      </c>
      <c r="E8962" s="3" t="s">
        <v>12572</v>
      </c>
      <c r="F8962" s="3" t="s">
        <v>12573</v>
      </c>
    </row>
    <row r="8963">
      <c r="A8963" s="3">
        <v>427.0</v>
      </c>
      <c r="B8963" s="3" t="s">
        <v>19423</v>
      </c>
      <c r="C8963" s="3" t="s">
        <v>11281</v>
      </c>
      <c r="D8963" s="3" t="s">
        <v>12574</v>
      </c>
      <c r="E8963" s="3" t="s">
        <v>12575</v>
      </c>
      <c r="F8963" s="3" t="s">
        <v>12576</v>
      </c>
    </row>
    <row r="8964">
      <c r="A8964" s="3">
        <v>428.0</v>
      </c>
      <c r="B8964" s="3" t="s">
        <v>19423</v>
      </c>
      <c r="C8964" s="3" t="s">
        <v>11281</v>
      </c>
      <c r="D8964" s="3" t="s">
        <v>12577</v>
      </c>
      <c r="E8964" s="3" t="s">
        <v>12578</v>
      </c>
      <c r="F8964" s="3" t="s">
        <v>12577</v>
      </c>
    </row>
    <row r="8965">
      <c r="A8965" s="3">
        <v>429.0</v>
      </c>
      <c r="B8965" s="3" t="s">
        <v>19423</v>
      </c>
      <c r="C8965" s="3" t="s">
        <v>11281</v>
      </c>
      <c r="D8965" s="3" t="s">
        <v>12579</v>
      </c>
      <c r="E8965" s="3" t="s">
        <v>12580</v>
      </c>
      <c r="F8965" s="3" t="s">
        <v>12579</v>
      </c>
    </row>
    <row r="8966">
      <c r="A8966" s="3">
        <v>430.0</v>
      </c>
      <c r="B8966" s="3" t="s">
        <v>19423</v>
      </c>
      <c r="C8966" s="3" t="s">
        <v>11281</v>
      </c>
      <c r="D8966" s="3" t="s">
        <v>12581</v>
      </c>
      <c r="E8966" s="3" t="s">
        <v>12582</v>
      </c>
      <c r="F8966" s="3" t="s">
        <v>12581</v>
      </c>
    </row>
    <row r="8967">
      <c r="A8967" s="3">
        <v>431.0</v>
      </c>
      <c r="B8967" s="3" t="s">
        <v>19423</v>
      </c>
      <c r="C8967" s="3" t="s">
        <v>11281</v>
      </c>
      <c r="D8967" s="3" t="s">
        <v>12583</v>
      </c>
      <c r="E8967" s="3" t="s">
        <v>12584</v>
      </c>
      <c r="F8967" s="3" t="s">
        <v>12583</v>
      </c>
    </row>
    <row r="8968">
      <c r="A8968" s="3">
        <v>432.0</v>
      </c>
      <c r="B8968" s="3" t="s">
        <v>19423</v>
      </c>
      <c r="C8968" s="3" t="s">
        <v>11281</v>
      </c>
      <c r="D8968" s="3" t="s">
        <v>12585</v>
      </c>
      <c r="E8968" s="3" t="s">
        <v>12586</v>
      </c>
      <c r="F8968" s="3" t="s">
        <v>12585</v>
      </c>
    </row>
    <row r="8969">
      <c r="A8969" s="3">
        <v>433.0</v>
      </c>
      <c r="B8969" s="3" t="s">
        <v>19423</v>
      </c>
      <c r="C8969" s="3" t="s">
        <v>11281</v>
      </c>
      <c r="D8969" s="3" t="s">
        <v>12587</v>
      </c>
      <c r="E8969" s="3" t="s">
        <v>12588</v>
      </c>
      <c r="F8969" s="3" t="s">
        <v>12587</v>
      </c>
    </row>
    <row r="8970">
      <c r="A8970" s="3">
        <v>434.0</v>
      </c>
      <c r="B8970" s="3" t="s">
        <v>19423</v>
      </c>
      <c r="C8970" s="3" t="s">
        <v>11281</v>
      </c>
      <c r="D8970" s="3" t="s">
        <v>12589</v>
      </c>
      <c r="E8970" s="3" t="s">
        <v>12590</v>
      </c>
      <c r="F8970" s="3" t="s">
        <v>12589</v>
      </c>
    </row>
    <row r="8971">
      <c r="A8971" s="3">
        <v>435.0</v>
      </c>
      <c r="B8971" s="3" t="s">
        <v>19423</v>
      </c>
      <c r="C8971" s="3" t="s">
        <v>11281</v>
      </c>
      <c r="D8971" s="3" t="s">
        <v>12591</v>
      </c>
      <c r="E8971" s="3" t="s">
        <v>12592</v>
      </c>
      <c r="F8971" s="3" t="s">
        <v>12591</v>
      </c>
      <c r="G8971" s="3"/>
      <c r="H8971" s="3" t="s">
        <v>12593</v>
      </c>
      <c r="I8971" s="3" t="s">
        <v>12594</v>
      </c>
      <c r="J8971" s="3" t="s">
        <v>12595</v>
      </c>
    </row>
    <row r="8972">
      <c r="A8972" s="3">
        <v>436.0</v>
      </c>
      <c r="B8972" s="3" t="s">
        <v>19423</v>
      </c>
      <c r="C8972" s="3" t="s">
        <v>11281</v>
      </c>
      <c r="D8972" s="3" t="s">
        <v>12596</v>
      </c>
      <c r="E8972" s="3" t="s">
        <v>12597</v>
      </c>
      <c r="F8972" s="3" t="s">
        <v>12596</v>
      </c>
    </row>
    <row r="8973">
      <c r="A8973" s="3">
        <v>437.0</v>
      </c>
      <c r="B8973" s="3" t="s">
        <v>19423</v>
      </c>
      <c r="C8973" s="3" t="s">
        <v>11281</v>
      </c>
      <c r="D8973" s="3" t="s">
        <v>12598</v>
      </c>
      <c r="E8973" s="3" t="s">
        <v>12599</v>
      </c>
      <c r="F8973" s="3" t="s">
        <v>12598</v>
      </c>
    </row>
    <row r="8974">
      <c r="A8974" s="3">
        <v>438.0</v>
      </c>
      <c r="B8974" s="3" t="s">
        <v>19423</v>
      </c>
      <c r="C8974" s="3" t="s">
        <v>11281</v>
      </c>
      <c r="D8974" s="3" t="s">
        <v>12600</v>
      </c>
      <c r="E8974" s="3" t="s">
        <v>12601</v>
      </c>
      <c r="F8974" s="3" t="s">
        <v>12600</v>
      </c>
    </row>
    <row r="8975">
      <c r="A8975" s="3">
        <v>439.0</v>
      </c>
      <c r="B8975" s="3" t="s">
        <v>19423</v>
      </c>
      <c r="C8975" s="3" t="s">
        <v>11281</v>
      </c>
      <c r="D8975" s="3" t="s">
        <v>12602</v>
      </c>
      <c r="E8975" s="3" t="s">
        <v>12603</v>
      </c>
      <c r="F8975" s="3" t="s">
        <v>12602</v>
      </c>
    </row>
    <row r="8976">
      <c r="A8976" s="3">
        <v>440.0</v>
      </c>
      <c r="B8976" s="3" t="s">
        <v>19423</v>
      </c>
      <c r="C8976" s="3" t="s">
        <v>11281</v>
      </c>
      <c r="D8976" s="3" t="s">
        <v>12604</v>
      </c>
      <c r="E8976" s="3" t="s">
        <v>12605</v>
      </c>
      <c r="F8976" s="3" t="s">
        <v>12604</v>
      </c>
    </row>
    <row r="8977">
      <c r="A8977" s="3">
        <v>441.0</v>
      </c>
      <c r="B8977" s="3" t="s">
        <v>19423</v>
      </c>
      <c r="C8977" s="3" t="s">
        <v>11281</v>
      </c>
      <c r="D8977" s="3" t="s">
        <v>12606</v>
      </c>
      <c r="E8977" s="3" t="s">
        <v>12607</v>
      </c>
      <c r="F8977" s="3" t="s">
        <v>12606</v>
      </c>
    </row>
    <row r="8978">
      <c r="A8978" s="3">
        <v>442.0</v>
      </c>
      <c r="B8978" s="3" t="s">
        <v>19423</v>
      </c>
      <c r="C8978" s="3" t="s">
        <v>11281</v>
      </c>
      <c r="D8978" s="3" t="s">
        <v>12608</v>
      </c>
      <c r="E8978" s="3" t="s">
        <v>12609</v>
      </c>
      <c r="F8978" s="3" t="s">
        <v>12608</v>
      </c>
    </row>
    <row r="8979">
      <c r="A8979" s="3">
        <v>443.0</v>
      </c>
      <c r="B8979" s="3" t="s">
        <v>19423</v>
      </c>
      <c r="C8979" s="3" t="s">
        <v>11281</v>
      </c>
      <c r="D8979" s="3" t="s">
        <v>12610</v>
      </c>
      <c r="E8979" s="3" t="s">
        <v>12611</v>
      </c>
      <c r="F8979" s="3" t="s">
        <v>12610</v>
      </c>
    </row>
    <row r="8980">
      <c r="A8980" s="3">
        <v>444.0</v>
      </c>
      <c r="B8980" s="3" t="s">
        <v>19423</v>
      </c>
      <c r="C8980" s="3" t="s">
        <v>11281</v>
      </c>
      <c r="D8980" s="3" t="s">
        <v>12612</v>
      </c>
      <c r="E8980" s="3" t="s">
        <v>12613</v>
      </c>
      <c r="F8980" s="3" t="s">
        <v>12612</v>
      </c>
    </row>
    <row r="8981">
      <c r="A8981" s="3">
        <v>445.0</v>
      </c>
      <c r="B8981" s="3" t="s">
        <v>19423</v>
      </c>
      <c r="C8981" s="3" t="s">
        <v>11281</v>
      </c>
      <c r="D8981" s="3" t="s">
        <v>12614</v>
      </c>
      <c r="E8981" s="3" t="s">
        <v>12615</v>
      </c>
      <c r="F8981" s="3" t="s">
        <v>12614</v>
      </c>
    </row>
    <row r="8982">
      <c r="A8982" s="3">
        <v>446.0</v>
      </c>
      <c r="B8982" s="3" t="s">
        <v>19423</v>
      </c>
      <c r="C8982" s="3" t="s">
        <v>11281</v>
      </c>
      <c r="D8982" s="3" t="s">
        <v>12616</v>
      </c>
      <c r="E8982" s="3" t="s">
        <v>12617</v>
      </c>
      <c r="F8982" s="3" t="s">
        <v>12616</v>
      </c>
    </row>
    <row r="8983">
      <c r="A8983" s="3">
        <v>447.0</v>
      </c>
      <c r="B8983" s="3" t="s">
        <v>19423</v>
      </c>
      <c r="C8983" s="3" t="s">
        <v>11281</v>
      </c>
      <c r="D8983" s="3" t="s">
        <v>12618</v>
      </c>
      <c r="E8983" s="3" t="s">
        <v>12619</v>
      </c>
      <c r="F8983" s="3" t="s">
        <v>12618</v>
      </c>
    </row>
    <row r="8984">
      <c r="A8984" s="3">
        <v>448.0</v>
      </c>
      <c r="B8984" s="3" t="s">
        <v>19423</v>
      </c>
      <c r="C8984" s="3" t="s">
        <v>11281</v>
      </c>
      <c r="D8984" s="3" t="s">
        <v>12620</v>
      </c>
      <c r="E8984" s="3" t="s">
        <v>12621</v>
      </c>
      <c r="F8984" s="3" t="s">
        <v>12620</v>
      </c>
    </row>
    <row r="8985">
      <c r="A8985" s="3">
        <v>449.0</v>
      </c>
      <c r="B8985" s="3" t="s">
        <v>19423</v>
      </c>
      <c r="C8985" s="3" t="s">
        <v>11281</v>
      </c>
      <c r="D8985" s="3" t="s">
        <v>12622</v>
      </c>
      <c r="E8985" s="3" t="s">
        <v>12623</v>
      </c>
      <c r="F8985" s="3" t="s">
        <v>12622</v>
      </c>
    </row>
    <row r="8986">
      <c r="A8986" s="3">
        <v>450.0</v>
      </c>
      <c r="B8986" s="3" t="s">
        <v>19423</v>
      </c>
      <c r="C8986" s="3" t="s">
        <v>11281</v>
      </c>
      <c r="D8986" s="3" t="s">
        <v>12624</v>
      </c>
      <c r="E8986" s="3" t="s">
        <v>12625</v>
      </c>
      <c r="F8986" s="3" t="s">
        <v>12624</v>
      </c>
    </row>
    <row r="8987">
      <c r="A8987" s="3">
        <v>451.0</v>
      </c>
      <c r="B8987" s="3" t="s">
        <v>19423</v>
      </c>
      <c r="C8987" s="3" t="s">
        <v>11281</v>
      </c>
      <c r="D8987" s="3" t="s">
        <v>12626</v>
      </c>
      <c r="E8987" s="3" t="s">
        <v>12627</v>
      </c>
      <c r="F8987" s="3" t="s">
        <v>12626</v>
      </c>
    </row>
    <row r="8988">
      <c r="A8988" s="3">
        <v>452.0</v>
      </c>
      <c r="B8988" s="3" t="s">
        <v>19423</v>
      </c>
      <c r="C8988" s="3" t="s">
        <v>11281</v>
      </c>
      <c r="D8988" s="3" t="s">
        <v>12628</v>
      </c>
      <c r="E8988" s="3" t="s">
        <v>12629</v>
      </c>
      <c r="F8988" s="3" t="s">
        <v>12628</v>
      </c>
    </row>
    <row r="8989">
      <c r="A8989" s="3">
        <v>453.0</v>
      </c>
      <c r="B8989" s="3" t="s">
        <v>19423</v>
      </c>
      <c r="C8989" s="3" t="s">
        <v>11281</v>
      </c>
      <c r="D8989" s="3" t="s">
        <v>12630</v>
      </c>
      <c r="E8989" s="3" t="s">
        <v>12631</v>
      </c>
      <c r="F8989" s="3" t="s">
        <v>12630</v>
      </c>
    </row>
    <row r="8990">
      <c r="A8990" s="3">
        <v>454.0</v>
      </c>
      <c r="B8990" s="3" t="s">
        <v>19423</v>
      </c>
      <c r="C8990" s="3" t="s">
        <v>11281</v>
      </c>
      <c r="D8990" s="3" t="s">
        <v>12632</v>
      </c>
      <c r="E8990" s="3" t="s">
        <v>12633</v>
      </c>
      <c r="F8990" s="3" t="s">
        <v>12632</v>
      </c>
    </row>
    <row r="8991">
      <c r="A8991" s="3">
        <v>455.0</v>
      </c>
      <c r="B8991" s="3" t="s">
        <v>19423</v>
      </c>
      <c r="C8991" s="3" t="s">
        <v>11281</v>
      </c>
      <c r="D8991" s="3" t="s">
        <v>12634</v>
      </c>
      <c r="E8991" s="3" t="s">
        <v>12635</v>
      </c>
      <c r="F8991" s="3" t="s">
        <v>12634</v>
      </c>
    </row>
    <row r="8992">
      <c r="A8992" s="3">
        <v>456.0</v>
      </c>
      <c r="B8992" s="3" t="s">
        <v>19423</v>
      </c>
      <c r="C8992" s="3" t="s">
        <v>11281</v>
      </c>
      <c r="D8992" s="3" t="s">
        <v>12636</v>
      </c>
      <c r="E8992" s="3" t="s">
        <v>12637</v>
      </c>
      <c r="F8992" s="3" t="s">
        <v>12636</v>
      </c>
    </row>
    <row r="8993">
      <c r="A8993" s="3">
        <v>457.0</v>
      </c>
      <c r="B8993" s="3" t="s">
        <v>19423</v>
      </c>
      <c r="C8993" s="3" t="s">
        <v>11281</v>
      </c>
      <c r="D8993" s="3" t="s">
        <v>12638</v>
      </c>
      <c r="E8993" s="3" t="s">
        <v>12639</v>
      </c>
      <c r="F8993" s="3" t="s">
        <v>12638</v>
      </c>
    </row>
    <row r="8994">
      <c r="A8994" s="3">
        <v>458.0</v>
      </c>
      <c r="B8994" s="3" t="s">
        <v>19423</v>
      </c>
      <c r="C8994" s="3" t="s">
        <v>11281</v>
      </c>
      <c r="D8994" s="3" t="s">
        <v>12640</v>
      </c>
      <c r="E8994" s="3" t="s">
        <v>12641</v>
      </c>
      <c r="F8994" s="3" t="s">
        <v>12640</v>
      </c>
      <c r="G8994" s="3"/>
      <c r="H8994" s="3" t="s">
        <v>9207</v>
      </c>
      <c r="I8994" s="3" t="s">
        <v>12642</v>
      </c>
    </row>
    <row r="8995">
      <c r="A8995" s="3">
        <v>459.0</v>
      </c>
      <c r="B8995" s="3" t="s">
        <v>19423</v>
      </c>
      <c r="C8995" s="3" t="s">
        <v>11281</v>
      </c>
      <c r="D8995" s="3" t="s">
        <v>12643</v>
      </c>
      <c r="E8995" s="3" t="s">
        <v>12644</v>
      </c>
      <c r="F8995" s="3" t="s">
        <v>12643</v>
      </c>
    </row>
    <row r="8996">
      <c r="A8996" s="3">
        <v>460.0</v>
      </c>
      <c r="B8996" s="3" t="s">
        <v>19423</v>
      </c>
      <c r="C8996" s="3" t="s">
        <v>11281</v>
      </c>
      <c r="D8996" s="3" t="s">
        <v>12645</v>
      </c>
      <c r="E8996" s="3" t="s">
        <v>12646</v>
      </c>
      <c r="F8996" s="3" t="s">
        <v>12645</v>
      </c>
    </row>
    <row r="8997">
      <c r="A8997" s="3">
        <v>461.0</v>
      </c>
      <c r="B8997" s="3" t="s">
        <v>19423</v>
      </c>
      <c r="C8997" s="3" t="s">
        <v>11281</v>
      </c>
      <c r="D8997" s="3" t="s">
        <v>12647</v>
      </c>
      <c r="E8997" s="3" t="s">
        <v>12648</v>
      </c>
      <c r="F8997" s="3" t="s">
        <v>12647</v>
      </c>
    </row>
    <row r="8998">
      <c r="A8998" s="3">
        <v>462.0</v>
      </c>
      <c r="B8998" s="3" t="s">
        <v>19423</v>
      </c>
      <c r="C8998" s="3" t="s">
        <v>11281</v>
      </c>
      <c r="D8998" s="3" t="s">
        <v>12649</v>
      </c>
      <c r="E8998" s="3" t="s">
        <v>12650</v>
      </c>
      <c r="F8998" s="3" t="s">
        <v>12649</v>
      </c>
    </row>
    <row r="8999">
      <c r="A8999" s="3">
        <v>463.0</v>
      </c>
      <c r="B8999" s="3" t="s">
        <v>19423</v>
      </c>
      <c r="C8999" s="3" t="s">
        <v>11281</v>
      </c>
      <c r="D8999" s="3" t="s">
        <v>12651</v>
      </c>
      <c r="E8999" s="3" t="s">
        <v>12652</v>
      </c>
      <c r="F8999" s="3" t="s">
        <v>12651</v>
      </c>
    </row>
    <row r="9000">
      <c r="A9000" s="3">
        <v>464.0</v>
      </c>
      <c r="B9000" s="3" t="s">
        <v>19423</v>
      </c>
      <c r="C9000" s="3" t="s">
        <v>11281</v>
      </c>
      <c r="D9000" s="3" t="s">
        <v>12653</v>
      </c>
      <c r="E9000" s="3" t="s">
        <v>12654</v>
      </c>
      <c r="F9000" s="3" t="s">
        <v>12653</v>
      </c>
    </row>
    <row r="9001">
      <c r="A9001" s="3">
        <v>465.0</v>
      </c>
      <c r="B9001" s="3" t="s">
        <v>19423</v>
      </c>
      <c r="C9001" s="3" t="s">
        <v>11281</v>
      </c>
      <c r="D9001" s="3" t="s">
        <v>12655</v>
      </c>
      <c r="E9001" s="3" t="s">
        <v>12656</v>
      </c>
      <c r="F9001" s="3" t="s">
        <v>12655</v>
      </c>
    </row>
    <row r="9002">
      <c r="A9002" s="3">
        <v>466.0</v>
      </c>
      <c r="B9002" s="3" t="s">
        <v>19423</v>
      </c>
      <c r="C9002" s="3" t="s">
        <v>11281</v>
      </c>
      <c r="D9002" s="3" t="s">
        <v>12657</v>
      </c>
      <c r="E9002" s="3" t="s">
        <v>12658</v>
      </c>
      <c r="F9002" s="3" t="s">
        <v>12657</v>
      </c>
      <c r="G9002" s="3"/>
      <c r="H9002" s="3" t="s">
        <v>12659</v>
      </c>
      <c r="I9002" s="3" t="s">
        <v>12660</v>
      </c>
      <c r="J9002" s="3" t="s">
        <v>12661</v>
      </c>
      <c r="K9002" s="3" t="s">
        <v>2132</v>
      </c>
      <c r="L9002" s="3" t="s">
        <v>12662</v>
      </c>
      <c r="M9002" s="3" t="s">
        <v>12661</v>
      </c>
      <c r="N9002" s="3" t="s">
        <v>12659</v>
      </c>
      <c r="O9002" s="3" t="s">
        <v>12663</v>
      </c>
    </row>
    <row r="9003">
      <c r="A9003" s="3">
        <v>467.0</v>
      </c>
      <c r="B9003" s="3" t="s">
        <v>19423</v>
      </c>
      <c r="C9003" s="3" t="s">
        <v>11281</v>
      </c>
      <c r="D9003" s="3" t="s">
        <v>12664</v>
      </c>
      <c r="E9003" s="3" t="s">
        <v>12665</v>
      </c>
      <c r="F9003" s="3" t="s">
        <v>12664</v>
      </c>
    </row>
    <row r="9004">
      <c r="A9004" s="3">
        <v>468.0</v>
      </c>
      <c r="B9004" s="3" t="s">
        <v>19423</v>
      </c>
      <c r="C9004" s="3" t="s">
        <v>11281</v>
      </c>
      <c r="D9004" s="3" t="s">
        <v>12666</v>
      </c>
      <c r="E9004" s="3" t="s">
        <v>12667</v>
      </c>
      <c r="F9004" s="3" t="s">
        <v>12666</v>
      </c>
    </row>
    <row r="9005">
      <c r="A9005" s="3">
        <v>469.0</v>
      </c>
      <c r="B9005" s="3" t="s">
        <v>19423</v>
      </c>
      <c r="C9005" s="3" t="s">
        <v>11281</v>
      </c>
      <c r="D9005" s="3" t="s">
        <v>12668</v>
      </c>
      <c r="E9005" s="3" t="s">
        <v>12669</v>
      </c>
      <c r="F9005" s="3" t="s">
        <v>12668</v>
      </c>
    </row>
    <row r="9006">
      <c r="A9006" s="3">
        <v>470.0</v>
      </c>
      <c r="B9006" s="3" t="s">
        <v>19423</v>
      </c>
      <c r="C9006" s="3" t="s">
        <v>11281</v>
      </c>
      <c r="D9006" s="3" t="s">
        <v>12670</v>
      </c>
      <c r="E9006" s="3" t="s">
        <v>12671</v>
      </c>
      <c r="F9006" s="3" t="s">
        <v>12670</v>
      </c>
    </row>
    <row r="9007">
      <c r="A9007" s="3">
        <v>471.0</v>
      </c>
      <c r="B9007" s="3" t="s">
        <v>19423</v>
      </c>
      <c r="C9007" s="3" t="s">
        <v>11281</v>
      </c>
      <c r="D9007" s="3" t="s">
        <v>12672</v>
      </c>
      <c r="E9007" s="3" t="s">
        <v>12673</v>
      </c>
      <c r="F9007" s="3" t="s">
        <v>12672</v>
      </c>
    </row>
    <row r="9008">
      <c r="A9008" s="3">
        <v>472.0</v>
      </c>
      <c r="B9008" s="3" t="s">
        <v>19423</v>
      </c>
      <c r="C9008" s="3" t="s">
        <v>11281</v>
      </c>
      <c r="D9008" s="3" t="s">
        <v>12674</v>
      </c>
      <c r="E9008" s="3" t="s">
        <v>12675</v>
      </c>
      <c r="F9008" s="3" t="s">
        <v>12674</v>
      </c>
    </row>
    <row r="9009">
      <c r="A9009" s="3">
        <v>473.0</v>
      </c>
      <c r="B9009" s="3" t="s">
        <v>19423</v>
      </c>
      <c r="C9009" s="3" t="s">
        <v>11281</v>
      </c>
      <c r="D9009" s="3" t="s">
        <v>12676</v>
      </c>
      <c r="E9009" s="3" t="s">
        <v>12677</v>
      </c>
      <c r="F9009" s="3" t="s">
        <v>12676</v>
      </c>
    </row>
    <row r="9010">
      <c r="A9010" s="3">
        <v>474.0</v>
      </c>
      <c r="B9010" s="3" t="s">
        <v>19423</v>
      </c>
      <c r="C9010" s="3" t="s">
        <v>11281</v>
      </c>
      <c r="D9010" s="3" t="s">
        <v>12678</v>
      </c>
      <c r="E9010" s="3" t="s">
        <v>12679</v>
      </c>
      <c r="F9010" s="3" t="s">
        <v>12678</v>
      </c>
    </row>
    <row r="9011">
      <c r="A9011" s="3">
        <v>475.0</v>
      </c>
      <c r="B9011" s="3" t="s">
        <v>19423</v>
      </c>
      <c r="C9011" s="3" t="s">
        <v>11281</v>
      </c>
      <c r="D9011" s="3" t="s">
        <v>12680</v>
      </c>
      <c r="E9011" s="3" t="s">
        <v>12681</v>
      </c>
      <c r="F9011" s="3" t="s">
        <v>12680</v>
      </c>
    </row>
    <row r="9012">
      <c r="A9012" s="3">
        <v>476.0</v>
      </c>
      <c r="B9012" s="3" t="s">
        <v>19423</v>
      </c>
      <c r="C9012" s="3" t="s">
        <v>11281</v>
      </c>
      <c r="D9012" s="3" t="s">
        <v>12682</v>
      </c>
      <c r="E9012" s="3" t="s">
        <v>12683</v>
      </c>
      <c r="F9012" s="3" t="s">
        <v>12682</v>
      </c>
    </row>
    <row r="9013">
      <c r="A9013" s="3">
        <v>477.0</v>
      </c>
      <c r="B9013" s="3" t="s">
        <v>19423</v>
      </c>
      <c r="C9013" s="3" t="s">
        <v>11281</v>
      </c>
      <c r="D9013" s="3" t="s">
        <v>12684</v>
      </c>
      <c r="E9013" s="3" t="s">
        <v>12685</v>
      </c>
      <c r="F9013" s="3" t="s">
        <v>12684</v>
      </c>
    </row>
    <row r="9014">
      <c r="A9014" s="3">
        <v>478.0</v>
      </c>
      <c r="B9014" s="3" t="s">
        <v>19423</v>
      </c>
      <c r="C9014" s="3" t="s">
        <v>11281</v>
      </c>
      <c r="D9014" s="3" t="s">
        <v>12686</v>
      </c>
      <c r="E9014" s="3" t="s">
        <v>12687</v>
      </c>
      <c r="F9014" s="3" t="s">
        <v>12686</v>
      </c>
    </row>
    <row r="9015">
      <c r="A9015" s="3">
        <v>479.0</v>
      </c>
      <c r="B9015" s="3" t="s">
        <v>19423</v>
      </c>
      <c r="C9015" s="3" t="s">
        <v>11281</v>
      </c>
      <c r="D9015" s="3" t="s">
        <v>12688</v>
      </c>
      <c r="E9015" s="3" t="s">
        <v>12689</v>
      </c>
      <c r="F9015" s="3" t="s">
        <v>12688</v>
      </c>
      <c r="G9015" s="3"/>
      <c r="H9015" s="3" t="s">
        <v>12690</v>
      </c>
      <c r="I9015" s="3" t="s">
        <v>6010</v>
      </c>
      <c r="J9015" s="3" t="s">
        <v>11730</v>
      </c>
    </row>
    <row r="9016">
      <c r="A9016" s="3">
        <v>480.0</v>
      </c>
      <c r="B9016" s="3" t="s">
        <v>19423</v>
      </c>
      <c r="C9016" s="3" t="s">
        <v>11281</v>
      </c>
      <c r="D9016" s="3" t="s">
        <v>12691</v>
      </c>
      <c r="E9016" s="3" t="s">
        <v>12692</v>
      </c>
      <c r="F9016" s="3" t="s">
        <v>12691</v>
      </c>
    </row>
    <row r="9017">
      <c r="A9017" s="3">
        <v>481.0</v>
      </c>
      <c r="B9017" s="3" t="s">
        <v>19423</v>
      </c>
      <c r="C9017" s="3" t="s">
        <v>11281</v>
      </c>
      <c r="D9017" s="3" t="s">
        <v>12693</v>
      </c>
      <c r="E9017" s="3" t="s">
        <v>12694</v>
      </c>
      <c r="F9017" s="3" t="s">
        <v>12693</v>
      </c>
    </row>
    <row r="9018">
      <c r="A9018" s="3">
        <v>482.0</v>
      </c>
      <c r="B9018" s="3" t="s">
        <v>19423</v>
      </c>
      <c r="C9018" s="3" t="s">
        <v>11281</v>
      </c>
      <c r="D9018" s="3" t="s">
        <v>12695</v>
      </c>
      <c r="E9018" s="3" t="s">
        <v>12696</v>
      </c>
      <c r="F9018" s="3" t="s">
        <v>12695</v>
      </c>
    </row>
    <row r="9019">
      <c r="A9019" s="3">
        <v>483.0</v>
      </c>
      <c r="B9019" s="3" t="s">
        <v>19423</v>
      </c>
      <c r="C9019" s="3" t="s">
        <v>11281</v>
      </c>
      <c r="D9019" s="3" t="s">
        <v>12697</v>
      </c>
      <c r="E9019" s="3" t="s">
        <v>12698</v>
      </c>
      <c r="F9019" s="3" t="s">
        <v>12697</v>
      </c>
    </row>
    <row r="9020">
      <c r="A9020" s="3">
        <v>484.0</v>
      </c>
      <c r="B9020" s="3" t="s">
        <v>19423</v>
      </c>
      <c r="C9020" s="3" t="s">
        <v>11281</v>
      </c>
      <c r="D9020" s="3" t="s">
        <v>12699</v>
      </c>
      <c r="E9020" s="3" t="s">
        <v>12700</v>
      </c>
      <c r="F9020" s="3" t="s">
        <v>12701</v>
      </c>
    </row>
    <row r="9021">
      <c r="A9021" s="3">
        <v>485.0</v>
      </c>
      <c r="B9021" s="3" t="s">
        <v>19423</v>
      </c>
      <c r="C9021" s="3" t="s">
        <v>11281</v>
      </c>
      <c r="D9021" s="3" t="s">
        <v>12702</v>
      </c>
      <c r="E9021" s="3" t="s">
        <v>12703</v>
      </c>
      <c r="F9021" s="3" t="s">
        <v>12704</v>
      </c>
    </row>
    <row r="9022">
      <c r="A9022" s="3">
        <v>486.0</v>
      </c>
      <c r="B9022" s="3" t="s">
        <v>19423</v>
      </c>
      <c r="C9022" s="3" t="s">
        <v>11281</v>
      </c>
      <c r="D9022" s="3" t="s">
        <v>12705</v>
      </c>
      <c r="E9022" s="3" t="s">
        <v>12706</v>
      </c>
      <c r="F9022" s="3" t="s">
        <v>12707</v>
      </c>
    </row>
    <row r="9023">
      <c r="A9023" s="3">
        <v>487.0</v>
      </c>
      <c r="B9023" s="3" t="s">
        <v>19423</v>
      </c>
      <c r="C9023" s="3" t="s">
        <v>11281</v>
      </c>
      <c r="D9023" s="3" t="s">
        <v>12708</v>
      </c>
      <c r="E9023" s="3" t="s">
        <v>12709</v>
      </c>
      <c r="F9023" s="3" t="s">
        <v>12710</v>
      </c>
    </row>
    <row r="9024">
      <c r="A9024" s="3">
        <v>488.0</v>
      </c>
      <c r="B9024" s="3" t="s">
        <v>19423</v>
      </c>
      <c r="C9024" s="3" t="s">
        <v>11281</v>
      </c>
      <c r="D9024" s="3" t="s">
        <v>12711</v>
      </c>
      <c r="E9024" s="3" t="s">
        <v>12712</v>
      </c>
      <c r="F9024" s="3" t="s">
        <v>12713</v>
      </c>
    </row>
    <row r="9025">
      <c r="A9025" s="3">
        <v>489.0</v>
      </c>
      <c r="B9025" s="3" t="s">
        <v>19423</v>
      </c>
      <c r="C9025" s="3" t="s">
        <v>11281</v>
      </c>
      <c r="D9025" s="3" t="s">
        <v>12714</v>
      </c>
      <c r="E9025" s="3" t="s">
        <v>12715</v>
      </c>
      <c r="F9025" s="3" t="s">
        <v>12716</v>
      </c>
    </row>
    <row r="9026">
      <c r="A9026" s="3">
        <v>490.0</v>
      </c>
      <c r="B9026" s="3" t="s">
        <v>19423</v>
      </c>
      <c r="C9026" s="3" t="s">
        <v>11281</v>
      </c>
      <c r="D9026" s="3" t="s">
        <v>12717</v>
      </c>
      <c r="E9026" s="3" t="s">
        <v>12718</v>
      </c>
      <c r="F9026" s="3" t="s">
        <v>12719</v>
      </c>
    </row>
    <row r="9027">
      <c r="A9027" s="3">
        <v>491.0</v>
      </c>
      <c r="B9027" s="3" t="s">
        <v>19423</v>
      </c>
      <c r="C9027" s="3" t="s">
        <v>11281</v>
      </c>
      <c r="D9027" s="3" t="s">
        <v>12720</v>
      </c>
      <c r="E9027" s="3" t="s">
        <v>12721</v>
      </c>
      <c r="F9027" s="3" t="s">
        <v>12722</v>
      </c>
    </row>
    <row r="9028">
      <c r="A9028" s="3">
        <v>492.0</v>
      </c>
      <c r="B9028" s="3" t="s">
        <v>19423</v>
      </c>
      <c r="C9028" s="3" t="s">
        <v>11281</v>
      </c>
      <c r="D9028" s="3" t="s">
        <v>12723</v>
      </c>
      <c r="E9028" s="3" t="s">
        <v>12724</v>
      </c>
      <c r="F9028" s="3" t="s">
        <v>12725</v>
      </c>
    </row>
    <row r="9029">
      <c r="A9029" s="3">
        <v>493.0</v>
      </c>
      <c r="B9029" s="3" t="s">
        <v>19423</v>
      </c>
      <c r="C9029" s="3" t="s">
        <v>11281</v>
      </c>
      <c r="D9029" s="3" t="s">
        <v>8173</v>
      </c>
      <c r="E9029" s="3" t="s">
        <v>8172</v>
      </c>
      <c r="F9029" s="3" t="s">
        <v>8173</v>
      </c>
      <c r="G9029" s="3"/>
      <c r="H9029" s="3" t="s">
        <v>12726</v>
      </c>
      <c r="I9029" s="3" t="s">
        <v>12727</v>
      </c>
      <c r="J9029" s="3" t="s">
        <v>12726</v>
      </c>
    </row>
    <row r="9030">
      <c r="A9030" s="3">
        <v>494.0</v>
      </c>
      <c r="B9030" s="3" t="s">
        <v>19423</v>
      </c>
      <c r="C9030" s="3" t="s">
        <v>11281</v>
      </c>
      <c r="D9030" s="3" t="s">
        <v>12728</v>
      </c>
      <c r="E9030" s="3" t="s">
        <v>12729</v>
      </c>
      <c r="F9030" s="3" t="s">
        <v>12728</v>
      </c>
    </row>
    <row r="9031">
      <c r="A9031" s="3">
        <v>495.0</v>
      </c>
      <c r="B9031" s="3" t="s">
        <v>19423</v>
      </c>
      <c r="C9031" s="3" t="s">
        <v>11281</v>
      </c>
      <c r="D9031" s="3" t="s">
        <v>12730</v>
      </c>
      <c r="E9031" s="3" t="s">
        <v>12731</v>
      </c>
      <c r="F9031" s="3" t="s">
        <v>12730</v>
      </c>
    </row>
    <row r="9032">
      <c r="A9032" s="3">
        <v>496.0</v>
      </c>
      <c r="B9032" s="3" t="s">
        <v>19423</v>
      </c>
      <c r="C9032" s="3" t="s">
        <v>11281</v>
      </c>
      <c r="D9032" s="3" t="s">
        <v>12732</v>
      </c>
      <c r="E9032" s="3" t="s">
        <v>12733</v>
      </c>
      <c r="F9032" s="3" t="s">
        <v>12732</v>
      </c>
    </row>
    <row r="9033">
      <c r="A9033" s="3">
        <v>497.0</v>
      </c>
      <c r="B9033" s="3" t="s">
        <v>19423</v>
      </c>
      <c r="C9033" s="3" t="s">
        <v>11281</v>
      </c>
      <c r="D9033" s="3" t="s">
        <v>12734</v>
      </c>
      <c r="E9033" s="3" t="s">
        <v>12735</v>
      </c>
      <c r="F9033" s="3" t="s">
        <v>12734</v>
      </c>
      <c r="G9033" s="3"/>
      <c r="H9033" s="3" t="s">
        <v>12736</v>
      </c>
    </row>
    <row r="9034">
      <c r="A9034" s="3">
        <v>498.0</v>
      </c>
      <c r="B9034" s="3" t="s">
        <v>19423</v>
      </c>
      <c r="C9034" s="3" t="s">
        <v>11281</v>
      </c>
      <c r="D9034" s="3" t="s">
        <v>12737</v>
      </c>
      <c r="E9034" s="3" t="s">
        <v>12738</v>
      </c>
      <c r="F9034" s="3" t="s">
        <v>12737</v>
      </c>
    </row>
    <row r="9035">
      <c r="A9035" s="3">
        <v>499.0</v>
      </c>
      <c r="B9035" s="3" t="s">
        <v>19423</v>
      </c>
      <c r="C9035" s="3" t="s">
        <v>11281</v>
      </c>
      <c r="D9035" s="3" t="s">
        <v>12739</v>
      </c>
      <c r="E9035" s="3" t="s">
        <v>12740</v>
      </c>
      <c r="F9035" s="3" t="s">
        <v>12739</v>
      </c>
      <c r="G9035" s="3"/>
      <c r="H9035" s="3" t="s">
        <v>12741</v>
      </c>
      <c r="I9035" s="3" t="s">
        <v>2909</v>
      </c>
      <c r="J9035" s="3" t="s">
        <v>12742</v>
      </c>
      <c r="K9035" s="3" t="s">
        <v>12743</v>
      </c>
      <c r="L9035" s="3" t="s">
        <v>12744</v>
      </c>
      <c r="M9035" s="3" t="s">
        <v>12745</v>
      </c>
    </row>
    <row r="9036">
      <c r="A9036" s="3">
        <v>500.0</v>
      </c>
      <c r="B9036" s="3" t="s">
        <v>19423</v>
      </c>
      <c r="C9036" s="3" t="s">
        <v>11281</v>
      </c>
      <c r="D9036" s="3" t="s">
        <v>12746</v>
      </c>
      <c r="E9036" s="3" t="s">
        <v>12747</v>
      </c>
      <c r="F9036" s="3" t="s">
        <v>12746</v>
      </c>
    </row>
    <row r="9037">
      <c r="A9037" s="3">
        <v>501.0</v>
      </c>
      <c r="B9037" s="3" t="s">
        <v>19423</v>
      </c>
      <c r="C9037" s="3" t="s">
        <v>11281</v>
      </c>
      <c r="D9037" s="3" t="s">
        <v>12748</v>
      </c>
      <c r="E9037" s="3" t="s">
        <v>12749</v>
      </c>
      <c r="F9037" s="3" t="s">
        <v>12748</v>
      </c>
    </row>
    <row r="9038">
      <c r="A9038" s="3">
        <v>502.0</v>
      </c>
      <c r="B9038" s="3" t="s">
        <v>19423</v>
      </c>
      <c r="C9038" s="3" t="s">
        <v>11281</v>
      </c>
      <c r="D9038" s="3" t="s">
        <v>12750</v>
      </c>
      <c r="E9038" s="3" t="s">
        <v>12751</v>
      </c>
      <c r="F9038" s="3" t="s">
        <v>12750</v>
      </c>
    </row>
    <row r="9039">
      <c r="A9039" s="3">
        <v>503.0</v>
      </c>
      <c r="B9039" s="3" t="s">
        <v>19423</v>
      </c>
      <c r="C9039" s="3" t="s">
        <v>11281</v>
      </c>
      <c r="D9039" s="3" t="s">
        <v>12752</v>
      </c>
      <c r="E9039" s="3" t="s">
        <v>12753</v>
      </c>
      <c r="F9039" s="3" t="s">
        <v>12752</v>
      </c>
    </row>
    <row r="9040">
      <c r="A9040" s="3">
        <v>504.0</v>
      </c>
      <c r="B9040" s="3" t="s">
        <v>19423</v>
      </c>
      <c r="C9040" s="3" t="s">
        <v>11281</v>
      </c>
      <c r="D9040" s="3" t="s">
        <v>12754</v>
      </c>
      <c r="E9040" s="3" t="s">
        <v>12755</v>
      </c>
      <c r="F9040" s="3" t="s">
        <v>12754</v>
      </c>
    </row>
    <row r="9041">
      <c r="A9041" s="3">
        <v>505.0</v>
      </c>
      <c r="B9041" s="3" t="s">
        <v>19423</v>
      </c>
      <c r="C9041" s="3" t="s">
        <v>11281</v>
      </c>
      <c r="D9041" s="3" t="s">
        <v>12756</v>
      </c>
      <c r="E9041" s="3" t="s">
        <v>12757</v>
      </c>
      <c r="F9041" s="3" t="s">
        <v>12756</v>
      </c>
    </row>
    <row r="9042">
      <c r="A9042" s="3">
        <v>506.0</v>
      </c>
      <c r="B9042" s="3" t="s">
        <v>19423</v>
      </c>
      <c r="C9042" s="3" t="s">
        <v>11281</v>
      </c>
      <c r="D9042" s="3" t="s">
        <v>12758</v>
      </c>
      <c r="E9042" s="3" t="s">
        <v>12759</v>
      </c>
      <c r="F9042" s="3" t="s">
        <v>12758</v>
      </c>
    </row>
    <row r="9043">
      <c r="A9043" s="3">
        <v>507.0</v>
      </c>
      <c r="B9043" s="3" t="s">
        <v>19423</v>
      </c>
      <c r="C9043" s="3" t="s">
        <v>11281</v>
      </c>
      <c r="D9043" s="3" t="s">
        <v>12760</v>
      </c>
      <c r="E9043" s="3" t="s">
        <v>12761</v>
      </c>
      <c r="F9043" s="3" t="s">
        <v>12760</v>
      </c>
    </row>
    <row r="9044">
      <c r="A9044" s="3">
        <v>508.0</v>
      </c>
      <c r="B9044" s="3" t="s">
        <v>19423</v>
      </c>
      <c r="C9044" s="3" t="s">
        <v>11281</v>
      </c>
      <c r="D9044" s="3" t="s">
        <v>12762</v>
      </c>
      <c r="E9044" s="3" t="s">
        <v>12763</v>
      </c>
      <c r="F9044" s="3" t="s">
        <v>12762</v>
      </c>
    </row>
    <row r="9045">
      <c r="A9045" s="3">
        <v>509.0</v>
      </c>
      <c r="B9045" s="3" t="s">
        <v>19423</v>
      </c>
      <c r="C9045" s="3" t="s">
        <v>11281</v>
      </c>
      <c r="D9045" s="3" t="s">
        <v>12764</v>
      </c>
      <c r="E9045" s="3" t="s">
        <v>12765</v>
      </c>
      <c r="F9045" s="3" t="s">
        <v>12764</v>
      </c>
    </row>
    <row r="9046">
      <c r="A9046" s="3">
        <v>510.0</v>
      </c>
      <c r="B9046" s="3" t="s">
        <v>19423</v>
      </c>
      <c r="C9046" s="3" t="s">
        <v>11281</v>
      </c>
      <c r="D9046" s="3" t="s">
        <v>12766</v>
      </c>
      <c r="E9046" s="3" t="s">
        <v>9859</v>
      </c>
      <c r="F9046" s="3" t="s">
        <v>9860</v>
      </c>
    </row>
    <row r="9047">
      <c r="A9047" s="3">
        <v>511.0</v>
      </c>
      <c r="B9047" s="3" t="s">
        <v>19423</v>
      </c>
      <c r="C9047" s="3" t="s">
        <v>11281</v>
      </c>
      <c r="D9047" s="3" t="s">
        <v>12767</v>
      </c>
      <c r="E9047" s="3" t="s">
        <v>12768</v>
      </c>
      <c r="F9047" s="3" t="s">
        <v>12769</v>
      </c>
    </row>
    <row r="9048">
      <c r="A9048" s="3">
        <v>512.0</v>
      </c>
      <c r="B9048" s="3" t="s">
        <v>19423</v>
      </c>
      <c r="C9048" s="3" t="s">
        <v>11281</v>
      </c>
      <c r="D9048" s="3" t="s">
        <v>12770</v>
      </c>
      <c r="E9048" s="3" t="s">
        <v>12771</v>
      </c>
      <c r="F9048" s="3" t="s">
        <v>12772</v>
      </c>
    </row>
    <row r="9049">
      <c r="A9049" s="3">
        <v>513.0</v>
      </c>
      <c r="B9049" s="3" t="s">
        <v>19423</v>
      </c>
      <c r="C9049" s="3" t="s">
        <v>11281</v>
      </c>
      <c r="D9049" s="3" t="s">
        <v>12773</v>
      </c>
      <c r="E9049" s="3" t="s">
        <v>12774</v>
      </c>
      <c r="F9049" s="3" t="s">
        <v>12775</v>
      </c>
    </row>
    <row r="9050">
      <c r="A9050" s="3">
        <v>514.0</v>
      </c>
      <c r="B9050" s="3" t="s">
        <v>19423</v>
      </c>
      <c r="C9050" s="3" t="s">
        <v>11281</v>
      </c>
      <c r="D9050" s="3" t="s">
        <v>12776</v>
      </c>
      <c r="E9050" s="3" t="s">
        <v>12777</v>
      </c>
      <c r="F9050" s="3" t="s">
        <v>12778</v>
      </c>
    </row>
    <row r="9051">
      <c r="A9051" s="3">
        <v>515.0</v>
      </c>
      <c r="B9051" s="3" t="s">
        <v>19423</v>
      </c>
      <c r="C9051" s="3" t="s">
        <v>11281</v>
      </c>
      <c r="D9051" s="3" t="s">
        <v>12779</v>
      </c>
      <c r="E9051" s="3" t="s">
        <v>12780</v>
      </c>
      <c r="F9051" s="3" t="s">
        <v>12781</v>
      </c>
    </row>
    <row r="9052">
      <c r="A9052" s="3">
        <v>516.0</v>
      </c>
      <c r="B9052" s="3" t="s">
        <v>19423</v>
      </c>
      <c r="C9052" s="3" t="s">
        <v>11281</v>
      </c>
      <c r="D9052" s="3" t="s">
        <v>12782</v>
      </c>
      <c r="E9052" s="3" t="s">
        <v>12783</v>
      </c>
      <c r="F9052" s="3" t="s">
        <v>12784</v>
      </c>
    </row>
    <row r="9053">
      <c r="A9053" s="3">
        <v>517.0</v>
      </c>
      <c r="B9053" s="3" t="s">
        <v>19423</v>
      </c>
      <c r="C9053" s="3" t="s">
        <v>11281</v>
      </c>
      <c r="D9053" s="3" t="s">
        <v>827</v>
      </c>
      <c r="E9053" s="3" t="s">
        <v>826</v>
      </c>
      <c r="F9053" s="3" t="s">
        <v>827</v>
      </c>
      <c r="G9053" s="3"/>
      <c r="H9053" s="3" t="s">
        <v>6539</v>
      </c>
      <c r="I9053" s="3" t="s">
        <v>6539</v>
      </c>
      <c r="J9053" s="3" t="s">
        <v>12785</v>
      </c>
      <c r="K9053" s="3" t="s">
        <v>557</v>
      </c>
      <c r="L9053" s="3" t="s">
        <v>12786</v>
      </c>
      <c r="M9053" s="3" t="s">
        <v>12787</v>
      </c>
      <c r="N9053" s="3" t="s">
        <v>12788</v>
      </c>
      <c r="O9053" s="3" t="s">
        <v>12789</v>
      </c>
      <c r="P9053" s="3" t="s">
        <v>12790</v>
      </c>
      <c r="Q9053" s="3" t="s">
        <v>12791</v>
      </c>
      <c r="R9053" s="3" t="s">
        <v>839</v>
      </c>
      <c r="S9053" s="3" t="s">
        <v>12792</v>
      </c>
      <c r="T9053" s="3" t="s">
        <v>12793</v>
      </c>
      <c r="U9053" s="3" t="s">
        <v>12794</v>
      </c>
      <c r="V9053" s="3" t="s">
        <v>12795</v>
      </c>
      <c r="W9053" s="3" t="s">
        <v>12796</v>
      </c>
    </row>
    <row r="9054">
      <c r="A9054" s="3">
        <v>518.0</v>
      </c>
      <c r="B9054" s="3" t="s">
        <v>19423</v>
      </c>
      <c r="C9054" s="3" t="s">
        <v>11281</v>
      </c>
      <c r="D9054" s="3" t="s">
        <v>12797</v>
      </c>
      <c r="E9054" s="3" t="s">
        <v>12798</v>
      </c>
      <c r="F9054" s="3" t="s">
        <v>12797</v>
      </c>
      <c r="G9054" s="3"/>
      <c r="H9054" s="3" t="s">
        <v>12799</v>
      </c>
      <c r="I9054" s="3" t="s">
        <v>5467</v>
      </c>
      <c r="J9054" s="3" t="s">
        <v>12800</v>
      </c>
      <c r="K9054" s="3" t="s">
        <v>1101</v>
      </c>
    </row>
    <row r="9055">
      <c r="A9055" s="3">
        <v>519.0</v>
      </c>
      <c r="B9055" s="3" t="s">
        <v>19423</v>
      </c>
      <c r="C9055" s="3" t="s">
        <v>11281</v>
      </c>
      <c r="D9055" s="3" t="s">
        <v>753</v>
      </c>
      <c r="E9055" s="3" t="s">
        <v>752</v>
      </c>
      <c r="F9055" s="3" t="s">
        <v>753</v>
      </c>
    </row>
    <row r="9056">
      <c r="A9056" s="3">
        <v>520.0</v>
      </c>
      <c r="B9056" s="3" t="s">
        <v>19423</v>
      </c>
      <c r="C9056" s="3" t="s">
        <v>11281</v>
      </c>
      <c r="D9056" s="3" t="s">
        <v>12801</v>
      </c>
      <c r="E9056" s="3" t="s">
        <v>12802</v>
      </c>
      <c r="F9056" s="3" t="s">
        <v>12801</v>
      </c>
    </row>
    <row r="9057">
      <c r="A9057" s="3">
        <v>521.0</v>
      </c>
      <c r="B9057" s="3" t="s">
        <v>19423</v>
      </c>
      <c r="C9057" s="3" t="s">
        <v>11281</v>
      </c>
      <c r="D9057" s="3" t="s">
        <v>12803</v>
      </c>
      <c r="E9057" s="3" t="s">
        <v>12804</v>
      </c>
      <c r="F9057" s="3" t="s">
        <v>12803</v>
      </c>
    </row>
    <row r="9058">
      <c r="A9058" s="3">
        <v>522.0</v>
      </c>
      <c r="B9058" s="3" t="s">
        <v>19423</v>
      </c>
      <c r="C9058" s="3" t="s">
        <v>11281</v>
      </c>
      <c r="D9058" s="3" t="s">
        <v>12805</v>
      </c>
      <c r="E9058" s="3" t="s">
        <v>12806</v>
      </c>
      <c r="F9058" s="3" t="s">
        <v>12805</v>
      </c>
    </row>
    <row r="9059">
      <c r="A9059" s="3">
        <v>523.0</v>
      </c>
      <c r="B9059" s="3" t="s">
        <v>19423</v>
      </c>
      <c r="C9059" s="3" t="s">
        <v>11281</v>
      </c>
      <c r="D9059" s="3" t="s">
        <v>12807</v>
      </c>
      <c r="E9059" s="3" t="s">
        <v>12808</v>
      </c>
      <c r="F9059" s="3" t="s">
        <v>12807</v>
      </c>
    </row>
    <row r="9060">
      <c r="A9060" s="3">
        <v>524.0</v>
      </c>
      <c r="B9060" s="3" t="s">
        <v>19423</v>
      </c>
      <c r="C9060" s="3" t="s">
        <v>11281</v>
      </c>
      <c r="D9060" s="3" t="s">
        <v>12809</v>
      </c>
      <c r="E9060" s="3" t="s">
        <v>12810</v>
      </c>
      <c r="F9060" s="3" t="s">
        <v>12809</v>
      </c>
    </row>
    <row r="9061">
      <c r="A9061" s="3">
        <v>525.0</v>
      </c>
      <c r="B9061" s="3" t="s">
        <v>19423</v>
      </c>
      <c r="C9061" s="3" t="s">
        <v>11281</v>
      </c>
      <c r="D9061" s="3" t="s">
        <v>12811</v>
      </c>
      <c r="E9061" s="3" t="s">
        <v>12812</v>
      </c>
      <c r="F9061" s="3" t="s">
        <v>12811</v>
      </c>
    </row>
    <row r="9062">
      <c r="A9062" s="3">
        <v>526.0</v>
      </c>
      <c r="B9062" s="3" t="s">
        <v>19423</v>
      </c>
      <c r="C9062" s="3" t="s">
        <v>11281</v>
      </c>
      <c r="D9062" s="3" t="s">
        <v>12813</v>
      </c>
      <c r="E9062" s="3" t="s">
        <v>12814</v>
      </c>
      <c r="F9062" s="3" t="s">
        <v>12813</v>
      </c>
    </row>
    <row r="9063">
      <c r="A9063" s="3">
        <v>527.0</v>
      </c>
      <c r="B9063" s="3" t="s">
        <v>19423</v>
      </c>
      <c r="C9063" s="3" t="s">
        <v>11281</v>
      </c>
      <c r="D9063" s="3" t="s">
        <v>12815</v>
      </c>
      <c r="E9063" s="3" t="s">
        <v>19578</v>
      </c>
      <c r="F9063" s="3" t="s">
        <v>19579</v>
      </c>
    </row>
    <row r="9064">
      <c r="A9064" s="3">
        <v>528.0</v>
      </c>
      <c r="B9064" s="3" t="s">
        <v>19423</v>
      </c>
      <c r="C9064" s="3" t="s">
        <v>11281</v>
      </c>
      <c r="D9064" s="3" t="s">
        <v>12816</v>
      </c>
      <c r="E9064" s="3" t="s">
        <v>12817</v>
      </c>
      <c r="F9064" s="3" t="s">
        <v>12816</v>
      </c>
    </row>
    <row r="9065">
      <c r="A9065" s="3">
        <v>529.0</v>
      </c>
      <c r="B9065" s="3" t="s">
        <v>19423</v>
      </c>
      <c r="C9065" s="3" t="s">
        <v>11281</v>
      </c>
      <c r="D9065" s="3" t="s">
        <v>12818</v>
      </c>
      <c r="E9065" s="3" t="s">
        <v>12819</v>
      </c>
      <c r="F9065" s="3" t="s">
        <v>12818</v>
      </c>
    </row>
    <row r="9066">
      <c r="A9066" s="3">
        <v>530.0</v>
      </c>
      <c r="B9066" s="3" t="s">
        <v>19423</v>
      </c>
      <c r="C9066" s="3" t="s">
        <v>11281</v>
      </c>
      <c r="D9066" s="3" t="s">
        <v>12820</v>
      </c>
      <c r="E9066" s="3" t="s">
        <v>12821</v>
      </c>
      <c r="F9066" s="3" t="s">
        <v>12820</v>
      </c>
      <c r="G9066" s="3"/>
      <c r="H9066" s="3" t="s">
        <v>11539</v>
      </c>
    </row>
    <row r="9067">
      <c r="A9067" s="3">
        <v>531.0</v>
      </c>
      <c r="B9067" s="3" t="s">
        <v>19423</v>
      </c>
      <c r="C9067" s="3" t="s">
        <v>11281</v>
      </c>
      <c r="D9067" s="3" t="s">
        <v>12822</v>
      </c>
      <c r="E9067" s="3" t="s">
        <v>12823</v>
      </c>
      <c r="F9067" s="3" t="s">
        <v>12822</v>
      </c>
    </row>
    <row r="9068">
      <c r="A9068" s="3">
        <v>532.0</v>
      </c>
      <c r="B9068" s="3" t="s">
        <v>19423</v>
      </c>
      <c r="C9068" s="3" t="s">
        <v>11281</v>
      </c>
      <c r="D9068" s="3" t="s">
        <v>12824</v>
      </c>
      <c r="E9068" s="3" t="s">
        <v>12825</v>
      </c>
      <c r="F9068" s="3" t="s">
        <v>12824</v>
      </c>
    </row>
    <row r="9069">
      <c r="A9069" s="3">
        <v>533.0</v>
      </c>
      <c r="B9069" s="3" t="s">
        <v>19423</v>
      </c>
      <c r="C9069" s="3" t="s">
        <v>11281</v>
      </c>
      <c r="D9069" s="3" t="s">
        <v>12826</v>
      </c>
      <c r="E9069" s="3" t="s">
        <v>12827</v>
      </c>
      <c r="F9069" s="3" t="s">
        <v>12826</v>
      </c>
    </row>
    <row r="9070">
      <c r="A9070" s="3">
        <v>534.0</v>
      </c>
      <c r="B9070" s="3" t="s">
        <v>19423</v>
      </c>
      <c r="C9070" s="3" t="s">
        <v>11281</v>
      </c>
      <c r="D9070" s="3" t="s">
        <v>12828</v>
      </c>
      <c r="E9070" s="3" t="s">
        <v>12829</v>
      </c>
      <c r="F9070" s="3" t="s">
        <v>12828</v>
      </c>
    </row>
    <row r="9071">
      <c r="A9071" s="3">
        <v>535.0</v>
      </c>
      <c r="B9071" s="3" t="s">
        <v>19423</v>
      </c>
      <c r="C9071" s="3" t="s">
        <v>11281</v>
      </c>
      <c r="D9071" s="3" t="s">
        <v>12830</v>
      </c>
      <c r="E9071" s="3" t="s">
        <v>12831</v>
      </c>
      <c r="F9071" s="3" t="s">
        <v>12830</v>
      </c>
    </row>
    <row r="9072">
      <c r="A9072" s="3">
        <v>536.0</v>
      </c>
      <c r="B9072" s="3" t="s">
        <v>19423</v>
      </c>
      <c r="C9072" s="3" t="s">
        <v>11281</v>
      </c>
      <c r="D9072" s="3" t="s">
        <v>12832</v>
      </c>
      <c r="E9072" s="3" t="s">
        <v>12833</v>
      </c>
      <c r="F9072" s="3" t="s">
        <v>12832</v>
      </c>
    </row>
    <row r="9073">
      <c r="A9073" s="3">
        <v>537.0</v>
      </c>
      <c r="B9073" s="3" t="s">
        <v>19423</v>
      </c>
      <c r="C9073" s="3" t="s">
        <v>11281</v>
      </c>
      <c r="D9073" s="3" t="s">
        <v>777</v>
      </c>
      <c r="E9073" s="3" t="s">
        <v>6858</v>
      </c>
      <c r="F9073" s="3" t="s">
        <v>777</v>
      </c>
    </row>
    <row r="9074">
      <c r="A9074" s="3">
        <v>538.0</v>
      </c>
      <c r="B9074" s="3" t="s">
        <v>19423</v>
      </c>
      <c r="C9074" s="3" t="s">
        <v>11281</v>
      </c>
      <c r="D9074" s="3" t="s">
        <v>12834</v>
      </c>
      <c r="E9074" s="3" t="s">
        <v>12835</v>
      </c>
      <c r="F9074" s="3" t="s">
        <v>12834</v>
      </c>
    </row>
    <row r="9075">
      <c r="A9075" s="3">
        <v>539.0</v>
      </c>
      <c r="B9075" s="3" t="s">
        <v>19423</v>
      </c>
      <c r="C9075" s="3" t="s">
        <v>11281</v>
      </c>
      <c r="D9075" s="3" t="s">
        <v>12836</v>
      </c>
      <c r="E9075" s="3" t="s">
        <v>12837</v>
      </c>
      <c r="F9075" s="3" t="s">
        <v>12836</v>
      </c>
      <c r="G9075" s="3"/>
      <c r="H9075" s="3" t="s">
        <v>12838</v>
      </c>
      <c r="I9075" s="3" t="s">
        <v>12839</v>
      </c>
      <c r="J9075" s="3" t="s">
        <v>12839</v>
      </c>
      <c r="K9075" s="3" t="s">
        <v>12840</v>
      </c>
      <c r="L9075" s="3" t="s">
        <v>12838</v>
      </c>
      <c r="M9075" s="3" t="s">
        <v>12841</v>
      </c>
      <c r="N9075" s="3" t="s">
        <v>11539</v>
      </c>
      <c r="O9075" s="3" t="s">
        <v>12840</v>
      </c>
    </row>
    <row r="9076">
      <c r="A9076" s="3">
        <v>540.0</v>
      </c>
      <c r="B9076" s="3" t="s">
        <v>19423</v>
      </c>
      <c r="C9076" s="3" t="s">
        <v>11281</v>
      </c>
      <c r="D9076" s="3" t="s">
        <v>12842</v>
      </c>
      <c r="E9076" s="3" t="s">
        <v>12843</v>
      </c>
      <c r="F9076" s="3" t="s">
        <v>12842</v>
      </c>
    </row>
    <row r="9077">
      <c r="A9077" s="3">
        <v>541.0</v>
      </c>
      <c r="B9077" s="3" t="s">
        <v>19423</v>
      </c>
      <c r="C9077" s="3" t="s">
        <v>11281</v>
      </c>
      <c r="D9077" s="3" t="s">
        <v>12844</v>
      </c>
      <c r="E9077" s="3" t="s">
        <v>12845</v>
      </c>
      <c r="F9077" s="3" t="s">
        <v>12844</v>
      </c>
    </row>
    <row r="9078">
      <c r="A9078" s="3">
        <v>542.0</v>
      </c>
      <c r="B9078" s="3" t="s">
        <v>19423</v>
      </c>
      <c r="C9078" s="3" t="s">
        <v>11281</v>
      </c>
      <c r="D9078" s="3" t="s">
        <v>12846</v>
      </c>
      <c r="E9078" s="3" t="s">
        <v>12847</v>
      </c>
      <c r="F9078" s="3" t="s">
        <v>12846</v>
      </c>
    </row>
    <row r="9079">
      <c r="A9079" s="3">
        <v>543.0</v>
      </c>
      <c r="B9079" s="3" t="s">
        <v>19423</v>
      </c>
      <c r="C9079" s="3" t="s">
        <v>11281</v>
      </c>
      <c r="D9079" s="3" t="s">
        <v>786</v>
      </c>
      <c r="E9079" s="3" t="s">
        <v>6861</v>
      </c>
      <c r="F9079" s="3" t="s">
        <v>786</v>
      </c>
    </row>
    <row r="9080">
      <c r="A9080" s="3">
        <v>544.0</v>
      </c>
      <c r="B9080" s="3" t="s">
        <v>19423</v>
      </c>
      <c r="C9080" s="3" t="s">
        <v>11281</v>
      </c>
      <c r="D9080" s="3" t="s">
        <v>12848</v>
      </c>
      <c r="E9080" s="3" t="s">
        <v>12849</v>
      </c>
      <c r="F9080" s="3" t="s">
        <v>12848</v>
      </c>
    </row>
    <row r="9081">
      <c r="A9081" s="3">
        <v>545.0</v>
      </c>
      <c r="B9081" s="3" t="s">
        <v>19423</v>
      </c>
      <c r="C9081" s="3" t="s">
        <v>11281</v>
      </c>
      <c r="D9081" s="3" t="s">
        <v>12850</v>
      </c>
      <c r="E9081" s="3" t="s">
        <v>12851</v>
      </c>
      <c r="F9081" s="3" t="s">
        <v>12850</v>
      </c>
    </row>
    <row r="9082">
      <c r="A9082" s="3">
        <v>546.0</v>
      </c>
      <c r="B9082" s="3" t="s">
        <v>19423</v>
      </c>
      <c r="C9082" s="3" t="s">
        <v>11281</v>
      </c>
      <c r="D9082" s="3" t="s">
        <v>12852</v>
      </c>
      <c r="E9082" s="3" t="s">
        <v>12853</v>
      </c>
      <c r="F9082" s="3" t="s">
        <v>12852</v>
      </c>
      <c r="G9082" s="3"/>
      <c r="H9082" s="3" t="s">
        <v>12854</v>
      </c>
      <c r="I9082" s="3" t="s">
        <v>12855</v>
      </c>
      <c r="J9082" s="3" t="s">
        <v>12856</v>
      </c>
      <c r="K9082" s="3" t="s">
        <v>12857</v>
      </c>
      <c r="L9082" s="3" t="s">
        <v>12858</v>
      </c>
      <c r="M9082" s="3" t="s">
        <v>12859</v>
      </c>
      <c r="N9082" s="3" t="s">
        <v>12859</v>
      </c>
      <c r="O9082" s="3" t="s">
        <v>5467</v>
      </c>
      <c r="P9082" s="3" t="s">
        <v>12860</v>
      </c>
      <c r="Q9082" s="3" t="s">
        <v>12861</v>
      </c>
      <c r="R9082" s="3" t="s">
        <v>5467</v>
      </c>
    </row>
    <row r="9083">
      <c r="A9083" s="3">
        <v>547.0</v>
      </c>
      <c r="B9083" s="3" t="s">
        <v>19423</v>
      </c>
      <c r="C9083" s="3" t="s">
        <v>11281</v>
      </c>
      <c r="D9083" s="3" t="s">
        <v>12862</v>
      </c>
      <c r="E9083" s="3" t="s">
        <v>12863</v>
      </c>
      <c r="F9083" s="3" t="s">
        <v>12862</v>
      </c>
    </row>
    <row r="9084">
      <c r="A9084" s="3">
        <v>548.0</v>
      </c>
      <c r="B9084" s="3" t="s">
        <v>19423</v>
      </c>
      <c r="C9084" s="3" t="s">
        <v>11281</v>
      </c>
      <c r="D9084" s="3" t="s">
        <v>12864</v>
      </c>
      <c r="E9084" s="3" t="s">
        <v>12865</v>
      </c>
      <c r="F9084" s="3" t="s">
        <v>12864</v>
      </c>
    </row>
    <row r="9085">
      <c r="A9085" s="3">
        <v>549.0</v>
      </c>
      <c r="B9085" s="3" t="s">
        <v>19423</v>
      </c>
      <c r="C9085" s="3" t="s">
        <v>11281</v>
      </c>
      <c r="D9085" s="3" t="s">
        <v>12866</v>
      </c>
      <c r="E9085" s="3" t="s">
        <v>12867</v>
      </c>
      <c r="F9085" s="3" t="s">
        <v>12866</v>
      </c>
    </row>
    <row r="9086">
      <c r="A9086" s="3">
        <v>550.0</v>
      </c>
      <c r="B9086" s="3" t="s">
        <v>19423</v>
      </c>
      <c r="C9086" s="3" t="s">
        <v>11281</v>
      </c>
      <c r="D9086" s="3" t="s">
        <v>12868</v>
      </c>
      <c r="E9086" s="3" t="s">
        <v>12869</v>
      </c>
      <c r="F9086" s="3" t="s">
        <v>12868</v>
      </c>
      <c r="G9086" s="3"/>
      <c r="H9086" s="3" t="s">
        <v>12870</v>
      </c>
      <c r="I9086" s="3" t="s">
        <v>12871</v>
      </c>
      <c r="J9086" s="3" t="s">
        <v>12872</v>
      </c>
      <c r="K9086" s="3" t="s">
        <v>12873</v>
      </c>
      <c r="L9086" s="3" t="s">
        <v>12874</v>
      </c>
      <c r="M9086" s="3" t="s">
        <v>12840</v>
      </c>
      <c r="N9086" s="3" t="s">
        <v>12875</v>
      </c>
      <c r="O9086" s="3" t="s">
        <v>12876</v>
      </c>
      <c r="P9086" s="3" t="s">
        <v>12875</v>
      </c>
      <c r="Q9086" s="3" t="s">
        <v>12877</v>
      </c>
      <c r="R9086" s="3" t="s">
        <v>12870</v>
      </c>
      <c r="S9086" s="3" t="s">
        <v>12870</v>
      </c>
      <c r="T9086" s="3" t="s">
        <v>12872</v>
      </c>
      <c r="U9086" s="3" t="s">
        <v>12873</v>
      </c>
      <c r="V9086" s="3" t="s">
        <v>12875</v>
      </c>
      <c r="W9086" s="3" t="s">
        <v>12878</v>
      </c>
      <c r="X9086" s="3" t="s">
        <v>12874</v>
      </c>
      <c r="Y9086" s="3" t="s">
        <v>12879</v>
      </c>
    </row>
    <row r="9087">
      <c r="A9087" s="3">
        <v>551.0</v>
      </c>
      <c r="B9087" s="3" t="s">
        <v>19423</v>
      </c>
      <c r="C9087" s="3" t="s">
        <v>11281</v>
      </c>
      <c r="D9087" s="3" t="s">
        <v>12880</v>
      </c>
      <c r="E9087" s="3" t="s">
        <v>12881</v>
      </c>
      <c r="F9087" s="3" t="s">
        <v>12880</v>
      </c>
    </row>
    <row r="9088">
      <c r="A9088" s="3">
        <v>552.0</v>
      </c>
      <c r="B9088" s="3" t="s">
        <v>19423</v>
      </c>
      <c r="C9088" s="3" t="s">
        <v>11281</v>
      </c>
      <c r="D9088" s="3" t="s">
        <v>12882</v>
      </c>
      <c r="E9088" s="3" t="s">
        <v>12883</v>
      </c>
      <c r="F9088" s="3" t="s">
        <v>12882</v>
      </c>
    </row>
    <row r="9089">
      <c r="A9089" s="3">
        <v>553.0</v>
      </c>
      <c r="B9089" s="3" t="s">
        <v>19423</v>
      </c>
      <c r="C9089" s="3" t="s">
        <v>11281</v>
      </c>
      <c r="D9089" s="3" t="s">
        <v>12884</v>
      </c>
      <c r="E9089" s="3" t="s">
        <v>12885</v>
      </c>
      <c r="F9089" s="3" t="s">
        <v>12884</v>
      </c>
    </row>
    <row r="9090">
      <c r="A9090" s="3">
        <v>554.0</v>
      </c>
      <c r="B9090" s="3" t="s">
        <v>19423</v>
      </c>
      <c r="C9090" s="3" t="s">
        <v>11281</v>
      </c>
      <c r="D9090" s="3" t="s">
        <v>12886</v>
      </c>
      <c r="E9090" s="3" t="s">
        <v>12887</v>
      </c>
      <c r="F9090" s="3" t="s">
        <v>12886</v>
      </c>
    </row>
    <row r="9091">
      <c r="A9091" s="3">
        <v>555.0</v>
      </c>
      <c r="B9091" s="3" t="s">
        <v>19423</v>
      </c>
      <c r="C9091" s="3" t="s">
        <v>11281</v>
      </c>
      <c r="D9091" s="3" t="s">
        <v>12888</v>
      </c>
      <c r="E9091" s="3" t="s">
        <v>12889</v>
      </c>
      <c r="F9091" s="3" t="s">
        <v>12888</v>
      </c>
    </row>
    <row r="9092">
      <c r="A9092" s="3">
        <v>556.0</v>
      </c>
      <c r="B9092" s="3" t="s">
        <v>19423</v>
      </c>
      <c r="C9092" s="3" t="s">
        <v>11281</v>
      </c>
      <c r="D9092" s="3" t="s">
        <v>12890</v>
      </c>
      <c r="E9092" s="3" t="s">
        <v>12891</v>
      </c>
      <c r="F9092" s="3" t="s">
        <v>12890</v>
      </c>
    </row>
    <row r="9093">
      <c r="A9093" s="3">
        <v>557.0</v>
      </c>
      <c r="B9093" s="3" t="s">
        <v>19423</v>
      </c>
      <c r="C9093" s="3" t="s">
        <v>11281</v>
      </c>
      <c r="D9093" s="3" t="s">
        <v>12892</v>
      </c>
      <c r="E9093" s="3" t="s">
        <v>12893</v>
      </c>
      <c r="F9093" s="3" t="s">
        <v>12892</v>
      </c>
    </row>
    <row r="9094">
      <c r="A9094" s="3">
        <v>558.0</v>
      </c>
      <c r="B9094" s="3" t="s">
        <v>19423</v>
      </c>
      <c r="C9094" s="3" t="s">
        <v>11281</v>
      </c>
      <c r="D9094" s="3" t="s">
        <v>12894</v>
      </c>
      <c r="E9094" s="3" t="s">
        <v>12895</v>
      </c>
      <c r="F9094" s="3" t="s">
        <v>12894</v>
      </c>
    </row>
    <row r="9095">
      <c r="A9095" s="3">
        <v>559.0</v>
      </c>
      <c r="B9095" s="3" t="s">
        <v>19423</v>
      </c>
      <c r="C9095" s="3" t="s">
        <v>11281</v>
      </c>
      <c r="D9095" s="3" t="s">
        <v>12896</v>
      </c>
      <c r="E9095" s="3" t="s">
        <v>12897</v>
      </c>
      <c r="F9095" s="3" t="s">
        <v>12896</v>
      </c>
    </row>
    <row r="9096">
      <c r="A9096" s="3">
        <v>560.0</v>
      </c>
      <c r="B9096" s="3" t="s">
        <v>19423</v>
      </c>
      <c r="C9096" s="3" t="s">
        <v>11281</v>
      </c>
      <c r="D9096" s="3" t="s">
        <v>12898</v>
      </c>
      <c r="E9096" s="3" t="s">
        <v>12899</v>
      </c>
      <c r="F9096" s="3" t="s">
        <v>12898</v>
      </c>
    </row>
    <row r="9097">
      <c r="A9097" s="3">
        <v>561.0</v>
      </c>
      <c r="B9097" s="3" t="s">
        <v>19423</v>
      </c>
      <c r="C9097" s="3" t="s">
        <v>11281</v>
      </c>
      <c r="D9097" s="3" t="s">
        <v>12900</v>
      </c>
      <c r="E9097" s="3" t="s">
        <v>12901</v>
      </c>
      <c r="F9097" s="3" t="s">
        <v>12900</v>
      </c>
    </row>
    <row r="9098">
      <c r="A9098" s="3">
        <v>562.0</v>
      </c>
      <c r="B9098" s="3" t="s">
        <v>19423</v>
      </c>
      <c r="C9098" s="3" t="s">
        <v>11281</v>
      </c>
      <c r="D9098" s="3" t="s">
        <v>12902</v>
      </c>
      <c r="E9098" s="3" t="s">
        <v>12903</v>
      </c>
      <c r="F9098" s="3" t="s">
        <v>12902</v>
      </c>
    </row>
    <row r="9099">
      <c r="A9099" s="3">
        <v>563.0</v>
      </c>
      <c r="B9099" s="3" t="s">
        <v>19423</v>
      </c>
      <c r="C9099" s="3" t="s">
        <v>11281</v>
      </c>
      <c r="D9099" s="3" t="s">
        <v>12904</v>
      </c>
      <c r="E9099" s="3" t="s">
        <v>12905</v>
      </c>
      <c r="F9099" s="3" t="s">
        <v>12904</v>
      </c>
    </row>
    <row r="9100">
      <c r="A9100" s="3">
        <v>564.0</v>
      </c>
      <c r="B9100" s="3" t="s">
        <v>19423</v>
      </c>
      <c r="C9100" s="3" t="s">
        <v>11281</v>
      </c>
      <c r="D9100" s="3" t="s">
        <v>12906</v>
      </c>
      <c r="E9100" s="3" t="s">
        <v>12907</v>
      </c>
      <c r="F9100" s="3" t="s">
        <v>12906</v>
      </c>
    </row>
    <row r="9101">
      <c r="A9101" s="3">
        <v>565.0</v>
      </c>
      <c r="B9101" s="3" t="s">
        <v>19423</v>
      </c>
      <c r="C9101" s="3" t="s">
        <v>11281</v>
      </c>
      <c r="D9101" s="3" t="s">
        <v>12908</v>
      </c>
      <c r="E9101" s="3" t="s">
        <v>12909</v>
      </c>
      <c r="F9101" s="3" t="s">
        <v>12908</v>
      </c>
    </row>
    <row r="9102">
      <c r="A9102" s="3">
        <v>566.0</v>
      </c>
      <c r="B9102" s="3" t="s">
        <v>19423</v>
      </c>
      <c r="C9102" s="3" t="s">
        <v>11281</v>
      </c>
      <c r="D9102" s="3" t="s">
        <v>12910</v>
      </c>
      <c r="E9102" s="3" t="s">
        <v>888</v>
      </c>
      <c r="F9102" s="3" t="s">
        <v>889</v>
      </c>
    </row>
    <row r="9103">
      <c r="A9103" s="3">
        <v>567.0</v>
      </c>
      <c r="B9103" s="3" t="s">
        <v>19423</v>
      </c>
      <c r="C9103" s="3" t="s">
        <v>11281</v>
      </c>
      <c r="D9103" s="3" t="s">
        <v>12911</v>
      </c>
      <c r="E9103" s="3" t="s">
        <v>12912</v>
      </c>
      <c r="F9103" s="3" t="s">
        <v>12913</v>
      </c>
    </row>
    <row r="9104">
      <c r="A9104" s="3">
        <v>568.0</v>
      </c>
      <c r="B9104" s="3" t="s">
        <v>19423</v>
      </c>
      <c r="C9104" s="3" t="s">
        <v>11281</v>
      </c>
      <c r="D9104" s="3" t="s">
        <v>12914</v>
      </c>
      <c r="E9104" s="3" t="s">
        <v>12915</v>
      </c>
      <c r="F9104" s="3" t="s">
        <v>12916</v>
      </c>
    </row>
    <row r="9105">
      <c r="A9105" s="3">
        <v>569.0</v>
      </c>
      <c r="B9105" s="3" t="s">
        <v>19423</v>
      </c>
      <c r="C9105" s="3" t="s">
        <v>11281</v>
      </c>
      <c r="D9105" s="3" t="s">
        <v>12917</v>
      </c>
      <c r="E9105" s="3" t="s">
        <v>12918</v>
      </c>
      <c r="F9105" s="3" t="s">
        <v>12919</v>
      </c>
    </row>
    <row r="9106">
      <c r="A9106" s="3">
        <v>570.0</v>
      </c>
      <c r="B9106" s="3" t="s">
        <v>19423</v>
      </c>
      <c r="C9106" s="3" t="s">
        <v>11281</v>
      </c>
      <c r="D9106" s="3" t="s">
        <v>12920</v>
      </c>
      <c r="E9106" s="3" t="s">
        <v>12921</v>
      </c>
      <c r="F9106" s="3" t="s">
        <v>12922</v>
      </c>
      <c r="G9106" s="3"/>
      <c r="H9106" s="3" t="s">
        <v>902</v>
      </c>
      <c r="I9106" s="3" t="s">
        <v>902</v>
      </c>
      <c r="J9106" s="3" t="s">
        <v>2231</v>
      </c>
      <c r="K9106" s="3" t="s">
        <v>915</v>
      </c>
      <c r="L9106" s="3" t="s">
        <v>12923</v>
      </c>
      <c r="M9106" s="3" t="s">
        <v>12924</v>
      </c>
      <c r="N9106" s="3" t="s">
        <v>904</v>
      </c>
      <c r="O9106" s="3" t="s">
        <v>902</v>
      </c>
      <c r="P9106" s="3" t="s">
        <v>12925</v>
      </c>
      <c r="Q9106" s="3" t="s">
        <v>902</v>
      </c>
      <c r="R9106" s="3" t="s">
        <v>915</v>
      </c>
      <c r="S9106" s="3" t="s">
        <v>915</v>
      </c>
      <c r="T9106" s="3" t="s">
        <v>904</v>
      </c>
      <c r="U9106" s="3" t="s">
        <v>916</v>
      </c>
      <c r="V9106" s="3" t="s">
        <v>902</v>
      </c>
    </row>
    <row r="9107">
      <c r="A9107" s="3">
        <v>571.0</v>
      </c>
      <c r="B9107" s="3" t="s">
        <v>19423</v>
      </c>
      <c r="C9107" s="3" t="s">
        <v>11281</v>
      </c>
      <c r="D9107" s="3" t="s">
        <v>12926</v>
      </c>
      <c r="E9107" s="3" t="s">
        <v>12927</v>
      </c>
      <c r="F9107" s="3" t="s">
        <v>12928</v>
      </c>
    </row>
    <row r="9108">
      <c r="A9108" s="3">
        <v>572.0</v>
      </c>
      <c r="B9108" s="3" t="s">
        <v>19423</v>
      </c>
      <c r="C9108" s="3" t="s">
        <v>11281</v>
      </c>
      <c r="D9108" s="3" t="s">
        <v>12929</v>
      </c>
      <c r="E9108" s="3" t="s">
        <v>12930</v>
      </c>
      <c r="F9108" s="3" t="s">
        <v>12931</v>
      </c>
    </row>
    <row r="9109">
      <c r="A9109" s="3">
        <v>573.0</v>
      </c>
      <c r="B9109" s="3" t="s">
        <v>19423</v>
      </c>
      <c r="C9109" s="3" t="s">
        <v>11281</v>
      </c>
      <c r="D9109" s="3" t="s">
        <v>12932</v>
      </c>
      <c r="E9109" s="3" t="s">
        <v>12933</v>
      </c>
      <c r="F9109" s="3" t="s">
        <v>12934</v>
      </c>
    </row>
    <row r="9110">
      <c r="A9110" s="3">
        <v>574.0</v>
      </c>
      <c r="B9110" s="3" t="s">
        <v>19423</v>
      </c>
      <c r="C9110" s="3" t="s">
        <v>11281</v>
      </c>
      <c r="D9110" s="3" t="s">
        <v>12935</v>
      </c>
      <c r="E9110" s="3" t="s">
        <v>897</v>
      </c>
      <c r="F9110" s="3" t="s">
        <v>898</v>
      </c>
    </row>
    <row r="9111">
      <c r="A9111" s="3">
        <v>575.0</v>
      </c>
      <c r="B9111" s="3" t="s">
        <v>19423</v>
      </c>
      <c r="C9111" s="3" t="s">
        <v>11281</v>
      </c>
      <c r="D9111" s="3" t="s">
        <v>12936</v>
      </c>
      <c r="E9111" s="3" t="s">
        <v>19580</v>
      </c>
      <c r="F9111" s="3" t="s">
        <v>19581</v>
      </c>
    </row>
    <row r="9112">
      <c r="A9112" s="3">
        <v>576.0</v>
      </c>
      <c r="B9112" s="3" t="s">
        <v>19423</v>
      </c>
      <c r="C9112" s="3" t="s">
        <v>11281</v>
      </c>
      <c r="D9112" s="3" t="s">
        <v>12939</v>
      </c>
      <c r="E9112" s="3" t="s">
        <v>12940</v>
      </c>
      <c r="F9112" s="3" t="s">
        <v>889</v>
      </c>
    </row>
    <row r="9113">
      <c r="A9113" s="3">
        <v>577.0</v>
      </c>
      <c r="B9113" s="3" t="s">
        <v>19423</v>
      </c>
      <c r="C9113" s="3" t="s">
        <v>11281</v>
      </c>
      <c r="D9113" s="3" t="s">
        <v>12941</v>
      </c>
      <c r="E9113" s="3" t="s">
        <v>12942</v>
      </c>
      <c r="F9113" s="3" t="s">
        <v>12919</v>
      </c>
    </row>
    <row r="9114">
      <c r="A9114" s="3">
        <v>578.0</v>
      </c>
      <c r="B9114" s="3" t="s">
        <v>19423</v>
      </c>
      <c r="C9114" s="3" t="s">
        <v>11281</v>
      </c>
      <c r="D9114" s="3" t="s">
        <v>12943</v>
      </c>
      <c r="E9114" s="3" t="s">
        <v>12944</v>
      </c>
      <c r="F9114" s="3" t="s">
        <v>12922</v>
      </c>
      <c r="G9114" s="3"/>
      <c r="H9114" s="3" t="s">
        <v>12945</v>
      </c>
      <c r="I9114" s="3" t="s">
        <v>12946</v>
      </c>
      <c r="J9114" s="3" t="s">
        <v>12947</v>
      </c>
      <c r="K9114" s="3" t="s">
        <v>12948</v>
      </c>
      <c r="L9114" s="3" t="s">
        <v>12949</v>
      </c>
      <c r="M9114" s="3" t="s">
        <v>12950</v>
      </c>
      <c r="N9114" s="3" t="s">
        <v>12951</v>
      </c>
      <c r="O9114" s="3" t="s">
        <v>12952</v>
      </c>
      <c r="P9114" s="3" t="s">
        <v>12953</v>
      </c>
      <c r="Q9114" s="3" t="s">
        <v>12954</v>
      </c>
      <c r="R9114" s="3" t="s">
        <v>12955</v>
      </c>
      <c r="S9114" s="3" t="s">
        <v>12956</v>
      </c>
      <c r="T9114" s="3" t="s">
        <v>12957</v>
      </c>
      <c r="U9114" s="3" t="s">
        <v>12491</v>
      </c>
      <c r="V9114" s="3" t="s">
        <v>12958</v>
      </c>
    </row>
    <row r="9115">
      <c r="A9115" s="3">
        <v>579.0</v>
      </c>
      <c r="B9115" s="3" t="s">
        <v>19423</v>
      </c>
      <c r="C9115" s="3" t="s">
        <v>11281</v>
      </c>
      <c r="D9115" s="3" t="s">
        <v>12959</v>
      </c>
      <c r="E9115" s="3" t="s">
        <v>12960</v>
      </c>
      <c r="F9115" s="3" t="s">
        <v>12928</v>
      </c>
    </row>
    <row r="9116">
      <c r="A9116" s="3">
        <v>580.0</v>
      </c>
      <c r="B9116" s="3" t="s">
        <v>19423</v>
      </c>
      <c r="C9116" s="3" t="s">
        <v>11281</v>
      </c>
      <c r="D9116" s="3" t="s">
        <v>12961</v>
      </c>
      <c r="E9116" s="3" t="s">
        <v>12962</v>
      </c>
      <c r="F9116" s="3" t="s">
        <v>12931</v>
      </c>
    </row>
    <row r="9117">
      <c r="A9117" s="3">
        <v>581.0</v>
      </c>
      <c r="B9117" s="3" t="s">
        <v>19423</v>
      </c>
      <c r="C9117" s="3" t="s">
        <v>11281</v>
      </c>
      <c r="D9117" s="3" t="s">
        <v>12963</v>
      </c>
      <c r="E9117" s="3" t="s">
        <v>12964</v>
      </c>
      <c r="F9117" s="3" t="s">
        <v>12934</v>
      </c>
    </row>
    <row r="9118">
      <c r="A9118" s="3">
        <v>582.0</v>
      </c>
      <c r="B9118" s="3" t="s">
        <v>19423</v>
      </c>
      <c r="C9118" s="3" t="s">
        <v>11281</v>
      </c>
      <c r="D9118" s="3" t="s">
        <v>12965</v>
      </c>
      <c r="E9118" s="3" t="s">
        <v>12966</v>
      </c>
      <c r="F9118" s="3" t="s">
        <v>898</v>
      </c>
    </row>
    <row r="9119">
      <c r="A9119" s="3">
        <v>583.0</v>
      </c>
      <c r="B9119" s="3" t="s">
        <v>19423</v>
      </c>
      <c r="C9119" s="3" t="s">
        <v>11281</v>
      </c>
      <c r="D9119" s="3" t="s">
        <v>12967</v>
      </c>
      <c r="E9119" s="3" t="s">
        <v>12968</v>
      </c>
      <c r="F9119" s="3" t="s">
        <v>12969</v>
      </c>
    </row>
    <row r="9120">
      <c r="A9120" s="3">
        <v>584.0</v>
      </c>
      <c r="B9120" s="3" t="s">
        <v>19423</v>
      </c>
      <c r="C9120" s="3" t="s">
        <v>11281</v>
      </c>
      <c r="D9120" s="3" t="s">
        <v>12970</v>
      </c>
      <c r="E9120" s="3" t="s">
        <v>12971</v>
      </c>
      <c r="F9120" s="3" t="s">
        <v>12972</v>
      </c>
    </row>
    <row r="9121">
      <c r="A9121" s="3">
        <v>585.0</v>
      </c>
      <c r="B9121" s="3" t="s">
        <v>19423</v>
      </c>
      <c r="C9121" s="3" t="s">
        <v>11281</v>
      </c>
      <c r="D9121" s="3" t="s">
        <v>12973</v>
      </c>
      <c r="E9121" s="3" t="s">
        <v>12974</v>
      </c>
      <c r="F9121" s="3" t="s">
        <v>12975</v>
      </c>
    </row>
    <row r="9122">
      <c r="A9122" s="3">
        <v>586.0</v>
      </c>
      <c r="B9122" s="3" t="s">
        <v>19423</v>
      </c>
      <c r="C9122" s="3" t="s">
        <v>11281</v>
      </c>
      <c r="D9122" s="3" t="s">
        <v>12976</v>
      </c>
      <c r="E9122" s="3" t="s">
        <v>12977</v>
      </c>
      <c r="F9122" s="3" t="s">
        <v>12978</v>
      </c>
    </row>
    <row r="9123">
      <c r="A9123" s="3">
        <v>587.0</v>
      </c>
      <c r="B9123" s="3" t="s">
        <v>19423</v>
      </c>
      <c r="C9123" s="3" t="s">
        <v>11281</v>
      </c>
      <c r="D9123" s="3" t="s">
        <v>12979</v>
      </c>
      <c r="E9123" s="3" t="s">
        <v>12980</v>
      </c>
      <c r="F9123" s="3" t="s">
        <v>12981</v>
      </c>
    </row>
    <row r="9124">
      <c r="A9124" s="3">
        <v>588.0</v>
      </c>
      <c r="B9124" s="3" t="s">
        <v>19423</v>
      </c>
      <c r="C9124" s="3" t="s">
        <v>11281</v>
      </c>
      <c r="D9124" s="3" t="s">
        <v>12982</v>
      </c>
      <c r="E9124" s="3" t="s">
        <v>12983</v>
      </c>
      <c r="F9124" s="3" t="s">
        <v>12984</v>
      </c>
    </row>
    <row r="9125">
      <c r="A9125" s="3">
        <v>589.0</v>
      </c>
      <c r="B9125" s="3" t="s">
        <v>19423</v>
      </c>
      <c r="C9125" s="3" t="s">
        <v>11281</v>
      </c>
      <c r="D9125" s="3" t="s">
        <v>12985</v>
      </c>
      <c r="E9125" s="3" t="s">
        <v>12986</v>
      </c>
      <c r="F9125" s="3" t="s">
        <v>12987</v>
      </c>
    </row>
    <row r="9126">
      <c r="A9126" s="3">
        <v>590.0</v>
      </c>
      <c r="B9126" s="3" t="s">
        <v>19423</v>
      </c>
      <c r="C9126" s="3" t="s">
        <v>11281</v>
      </c>
      <c r="D9126" s="3" t="s">
        <v>12988</v>
      </c>
      <c r="E9126" s="3" t="s">
        <v>19582</v>
      </c>
      <c r="F9126" s="3" t="s">
        <v>19583</v>
      </c>
    </row>
    <row r="9127">
      <c r="A9127" s="3">
        <v>591.0</v>
      </c>
      <c r="B9127" s="3" t="s">
        <v>19423</v>
      </c>
      <c r="C9127" s="3" t="s">
        <v>11281</v>
      </c>
      <c r="D9127" s="3" t="s">
        <v>12991</v>
      </c>
      <c r="E9127" s="3" t="s">
        <v>19584</v>
      </c>
      <c r="F9127" s="3" t="s">
        <v>19585</v>
      </c>
    </row>
    <row r="9128">
      <c r="A9128" s="3">
        <v>592.0</v>
      </c>
      <c r="B9128" s="3" t="s">
        <v>19423</v>
      </c>
      <c r="C9128" s="3" t="s">
        <v>11281</v>
      </c>
      <c r="D9128" s="3" t="s">
        <v>12994</v>
      </c>
      <c r="E9128" s="3" t="s">
        <v>19586</v>
      </c>
      <c r="F9128" s="3" t="s">
        <v>19587</v>
      </c>
    </row>
    <row r="9129">
      <c r="A9129" s="3">
        <v>593.0</v>
      </c>
      <c r="B9129" s="3" t="s">
        <v>19423</v>
      </c>
      <c r="C9129" s="3" t="s">
        <v>11281</v>
      </c>
      <c r="D9129" s="3" t="s">
        <v>12997</v>
      </c>
      <c r="E9129" s="3" t="s">
        <v>19588</v>
      </c>
      <c r="F9129" s="3" t="s">
        <v>19589</v>
      </c>
    </row>
    <row r="9130">
      <c r="A9130" s="3">
        <v>594.0</v>
      </c>
      <c r="B9130" s="3" t="s">
        <v>19423</v>
      </c>
      <c r="C9130" s="3" t="s">
        <v>11281</v>
      </c>
      <c r="D9130" s="3" t="s">
        <v>13000</v>
      </c>
      <c r="E9130" s="3" t="s">
        <v>19590</v>
      </c>
      <c r="F9130" s="3" t="s">
        <v>19591</v>
      </c>
    </row>
    <row r="9131">
      <c r="A9131" s="3">
        <v>595.0</v>
      </c>
      <c r="B9131" s="3" t="s">
        <v>19423</v>
      </c>
      <c r="C9131" s="3" t="s">
        <v>11281</v>
      </c>
      <c r="D9131" s="3" t="s">
        <v>13003</v>
      </c>
      <c r="E9131" s="3" t="s">
        <v>19592</v>
      </c>
      <c r="F9131" s="3" t="s">
        <v>19593</v>
      </c>
    </row>
    <row r="9132">
      <c r="A9132" s="3">
        <v>596.0</v>
      </c>
      <c r="B9132" s="3" t="s">
        <v>19423</v>
      </c>
      <c r="C9132" s="3" t="s">
        <v>11281</v>
      </c>
      <c r="D9132" s="3" t="s">
        <v>13006</v>
      </c>
      <c r="E9132" s="3" t="s">
        <v>19594</v>
      </c>
      <c r="F9132" s="3" t="s">
        <v>19595</v>
      </c>
    </row>
    <row r="9133">
      <c r="A9133" s="3">
        <v>597.0</v>
      </c>
      <c r="B9133" s="3" t="s">
        <v>19423</v>
      </c>
      <c r="C9133" s="3" t="s">
        <v>11281</v>
      </c>
      <c r="D9133" s="3" t="s">
        <v>847</v>
      </c>
      <c r="E9133" s="3" t="s">
        <v>846</v>
      </c>
      <c r="F9133" s="3" t="s">
        <v>847</v>
      </c>
    </row>
    <row r="9134">
      <c r="A9134" s="3">
        <v>598.0</v>
      </c>
      <c r="B9134" s="3" t="s">
        <v>19423</v>
      </c>
      <c r="C9134" s="3" t="s">
        <v>11281</v>
      </c>
      <c r="D9134" s="3" t="s">
        <v>13009</v>
      </c>
      <c r="E9134" s="3" t="s">
        <v>19596</v>
      </c>
      <c r="F9134" s="3" t="s">
        <v>19597</v>
      </c>
    </row>
    <row r="9135">
      <c r="A9135" s="3">
        <v>599.0</v>
      </c>
      <c r="B9135" s="3" t="s">
        <v>19423</v>
      </c>
      <c r="C9135" s="3" t="s">
        <v>11281</v>
      </c>
      <c r="D9135" s="3" t="s">
        <v>13012</v>
      </c>
      <c r="E9135" s="3" t="s">
        <v>19598</v>
      </c>
      <c r="F9135" s="3" t="s">
        <v>19599</v>
      </c>
    </row>
    <row r="9136">
      <c r="A9136" s="3">
        <v>600.0</v>
      </c>
      <c r="B9136" s="3" t="s">
        <v>19423</v>
      </c>
      <c r="C9136" s="3" t="s">
        <v>11281</v>
      </c>
      <c r="D9136" s="3" t="s">
        <v>13015</v>
      </c>
      <c r="E9136" s="3" t="s">
        <v>19600</v>
      </c>
      <c r="F9136" s="3" t="s">
        <v>19601</v>
      </c>
    </row>
    <row r="9137">
      <c r="A9137" s="3">
        <v>601.0</v>
      </c>
      <c r="B9137" s="3" t="s">
        <v>19423</v>
      </c>
      <c r="C9137" s="3" t="s">
        <v>11281</v>
      </c>
      <c r="D9137" s="3" t="s">
        <v>13018</v>
      </c>
      <c r="E9137" s="3" t="s">
        <v>19602</v>
      </c>
      <c r="F9137" s="3" t="s">
        <v>19603</v>
      </c>
    </row>
    <row r="9138">
      <c r="A9138" s="3">
        <v>602.0</v>
      </c>
      <c r="B9138" s="3" t="s">
        <v>19423</v>
      </c>
      <c r="C9138" s="3" t="s">
        <v>11281</v>
      </c>
      <c r="D9138" s="3" t="s">
        <v>13021</v>
      </c>
      <c r="E9138" s="3" t="s">
        <v>19604</v>
      </c>
      <c r="F9138" s="3" t="s">
        <v>19605</v>
      </c>
    </row>
    <row r="9139">
      <c r="A9139" s="3">
        <v>603.0</v>
      </c>
      <c r="B9139" s="3" t="s">
        <v>19423</v>
      </c>
      <c r="C9139" s="3" t="s">
        <v>11281</v>
      </c>
      <c r="D9139" s="3" t="s">
        <v>13024</v>
      </c>
      <c r="E9139" s="3" t="s">
        <v>19606</v>
      </c>
      <c r="F9139" s="3" t="s">
        <v>19607</v>
      </c>
    </row>
    <row r="9140">
      <c r="A9140" s="3">
        <v>604.0</v>
      </c>
      <c r="B9140" s="3" t="s">
        <v>19423</v>
      </c>
      <c r="C9140" s="3" t="s">
        <v>11281</v>
      </c>
      <c r="D9140" s="3" t="s">
        <v>13027</v>
      </c>
      <c r="E9140" s="3" t="s">
        <v>19608</v>
      </c>
      <c r="F9140" s="3" t="s">
        <v>19609</v>
      </c>
    </row>
    <row r="9141">
      <c r="A9141" s="3">
        <v>605.0</v>
      </c>
      <c r="B9141" s="3" t="s">
        <v>19423</v>
      </c>
      <c r="C9141" s="3" t="s">
        <v>11281</v>
      </c>
      <c r="D9141" s="3" t="s">
        <v>13030</v>
      </c>
      <c r="E9141" s="3" t="s">
        <v>13031</v>
      </c>
      <c r="F9141" s="3" t="s">
        <v>13030</v>
      </c>
      <c r="G9141" s="3"/>
      <c r="H9141" s="3" t="s">
        <v>13032</v>
      </c>
      <c r="I9141" s="3" t="s">
        <v>13033</v>
      </c>
      <c r="J9141" s="3" t="s">
        <v>13034</v>
      </c>
      <c r="K9141" s="3" t="s">
        <v>13035</v>
      </c>
      <c r="L9141" s="3" t="s">
        <v>13036</v>
      </c>
      <c r="M9141" s="3" t="s">
        <v>13034</v>
      </c>
      <c r="N9141" s="3" t="s">
        <v>13037</v>
      </c>
      <c r="O9141" s="3" t="s">
        <v>13036</v>
      </c>
      <c r="P9141" s="3" t="s">
        <v>13038</v>
      </c>
      <c r="Q9141" s="3" t="s">
        <v>167</v>
      </c>
      <c r="R9141" s="3" t="s">
        <v>13036</v>
      </c>
      <c r="S9141" s="3" t="s">
        <v>13033</v>
      </c>
      <c r="T9141" s="3" t="s">
        <v>13039</v>
      </c>
      <c r="U9141" s="3" t="s">
        <v>13040</v>
      </c>
      <c r="V9141" s="3" t="s">
        <v>3439</v>
      </c>
      <c r="W9141" s="3" t="s">
        <v>13036</v>
      </c>
      <c r="X9141" s="3" t="s">
        <v>13041</v>
      </c>
      <c r="Y9141" s="3" t="s">
        <v>13042</v>
      </c>
      <c r="Z9141" s="3" t="s">
        <v>13035</v>
      </c>
    </row>
    <row r="9142">
      <c r="A9142" s="3">
        <v>606.0</v>
      </c>
      <c r="B9142" s="3" t="s">
        <v>19423</v>
      </c>
      <c r="C9142" s="3" t="s">
        <v>11281</v>
      </c>
      <c r="D9142" s="3" t="s">
        <v>13043</v>
      </c>
      <c r="E9142" s="3" t="s">
        <v>13044</v>
      </c>
      <c r="F9142" s="3" t="s">
        <v>13043</v>
      </c>
    </row>
    <row r="9143">
      <c r="A9143" s="3">
        <v>607.0</v>
      </c>
      <c r="B9143" s="3" t="s">
        <v>19423</v>
      </c>
      <c r="C9143" s="3" t="s">
        <v>11281</v>
      </c>
      <c r="D9143" s="3" t="s">
        <v>13045</v>
      </c>
      <c r="E9143" s="3" t="s">
        <v>13046</v>
      </c>
      <c r="F9143" s="3" t="s">
        <v>13045</v>
      </c>
    </row>
    <row r="9144">
      <c r="A9144" s="3">
        <v>608.0</v>
      </c>
      <c r="B9144" s="3" t="s">
        <v>19423</v>
      </c>
      <c r="C9144" s="3" t="s">
        <v>11281</v>
      </c>
      <c r="D9144" s="3" t="s">
        <v>13047</v>
      </c>
      <c r="E9144" s="3" t="s">
        <v>13048</v>
      </c>
      <c r="F9144" s="3" t="s">
        <v>13047</v>
      </c>
    </row>
    <row r="9145">
      <c r="A9145" s="3">
        <v>609.0</v>
      </c>
      <c r="B9145" s="3" t="s">
        <v>19423</v>
      </c>
      <c r="C9145" s="3" t="s">
        <v>11281</v>
      </c>
      <c r="D9145" s="3" t="s">
        <v>13049</v>
      </c>
      <c r="E9145" s="3" t="s">
        <v>19610</v>
      </c>
      <c r="F9145" s="3" t="s">
        <v>19611</v>
      </c>
    </row>
    <row r="9146">
      <c r="A9146" s="3">
        <v>610.0</v>
      </c>
      <c r="B9146" s="3" t="s">
        <v>19423</v>
      </c>
      <c r="C9146" s="3" t="s">
        <v>11281</v>
      </c>
      <c r="D9146" s="3" t="s">
        <v>13052</v>
      </c>
      <c r="E9146" s="3" t="s">
        <v>19612</v>
      </c>
      <c r="F9146" s="3" t="s">
        <v>19613</v>
      </c>
    </row>
    <row r="9147">
      <c r="A9147" s="3">
        <v>611.0</v>
      </c>
      <c r="B9147" s="3" t="s">
        <v>19423</v>
      </c>
      <c r="C9147" s="3" t="s">
        <v>11281</v>
      </c>
      <c r="D9147" s="3" t="s">
        <v>13055</v>
      </c>
      <c r="E9147" s="3" t="s">
        <v>19614</v>
      </c>
      <c r="F9147" s="3" t="s">
        <v>19615</v>
      </c>
    </row>
    <row r="9148">
      <c r="A9148" s="3">
        <v>612.0</v>
      </c>
      <c r="B9148" s="3" t="s">
        <v>19423</v>
      </c>
      <c r="C9148" s="3" t="s">
        <v>11281</v>
      </c>
      <c r="D9148" s="3" t="s">
        <v>13058</v>
      </c>
      <c r="E9148" s="3" t="s">
        <v>19616</v>
      </c>
      <c r="F9148" s="3" t="s">
        <v>19617</v>
      </c>
    </row>
    <row r="9149">
      <c r="A9149" s="3">
        <v>613.0</v>
      </c>
      <c r="B9149" s="3" t="s">
        <v>19423</v>
      </c>
      <c r="C9149" s="3" t="s">
        <v>11281</v>
      </c>
      <c r="D9149" s="3" t="s">
        <v>13061</v>
      </c>
      <c r="E9149" s="3" t="s">
        <v>19618</v>
      </c>
      <c r="F9149" s="3" t="s">
        <v>19619</v>
      </c>
    </row>
    <row r="9150">
      <c r="A9150" s="3">
        <v>614.0</v>
      </c>
      <c r="B9150" s="3" t="s">
        <v>19423</v>
      </c>
      <c r="C9150" s="3" t="s">
        <v>11281</v>
      </c>
      <c r="D9150" s="3" t="s">
        <v>13064</v>
      </c>
      <c r="E9150" s="3" t="s">
        <v>19620</v>
      </c>
      <c r="F9150" s="3" t="s">
        <v>19621</v>
      </c>
    </row>
    <row r="9151">
      <c r="A9151" s="3">
        <v>615.0</v>
      </c>
      <c r="B9151" s="3" t="s">
        <v>19423</v>
      </c>
      <c r="C9151" s="3" t="s">
        <v>11281</v>
      </c>
      <c r="D9151" s="3" t="s">
        <v>13067</v>
      </c>
      <c r="E9151" s="3" t="s">
        <v>19622</v>
      </c>
      <c r="F9151" s="3" t="s">
        <v>19623</v>
      </c>
    </row>
    <row r="9152">
      <c r="A9152" s="3">
        <v>616.0</v>
      </c>
      <c r="B9152" s="3" t="s">
        <v>19423</v>
      </c>
      <c r="C9152" s="3" t="s">
        <v>11281</v>
      </c>
      <c r="D9152" s="3" t="s">
        <v>13070</v>
      </c>
      <c r="E9152" s="3" t="s">
        <v>13071</v>
      </c>
      <c r="F9152" s="3" t="s">
        <v>13072</v>
      </c>
    </row>
    <row r="9153">
      <c r="A9153" s="3">
        <v>617.0</v>
      </c>
      <c r="B9153" s="3" t="s">
        <v>19423</v>
      </c>
      <c r="C9153" s="3" t="s">
        <v>11281</v>
      </c>
      <c r="D9153" s="3" t="s">
        <v>13073</v>
      </c>
      <c r="E9153" s="3" t="s">
        <v>13074</v>
      </c>
      <c r="F9153" s="3" t="s">
        <v>13075</v>
      </c>
    </row>
    <row r="9154">
      <c r="A9154" s="3">
        <v>618.0</v>
      </c>
      <c r="B9154" s="3" t="s">
        <v>19423</v>
      </c>
      <c r="C9154" s="3" t="s">
        <v>11281</v>
      </c>
      <c r="D9154" s="3" t="s">
        <v>13076</v>
      </c>
      <c r="E9154" s="3" t="s">
        <v>13077</v>
      </c>
      <c r="F9154" s="3" t="s">
        <v>13078</v>
      </c>
      <c r="G9154" s="3"/>
      <c r="H9154" s="3" t="s">
        <v>13079</v>
      </c>
    </row>
    <row r="9155">
      <c r="A9155" s="3">
        <v>619.0</v>
      </c>
      <c r="B9155" s="3" t="s">
        <v>19423</v>
      </c>
      <c r="C9155" s="3" t="s">
        <v>11281</v>
      </c>
      <c r="D9155" s="3" t="s">
        <v>13080</v>
      </c>
      <c r="E9155" s="3" t="s">
        <v>13081</v>
      </c>
      <c r="F9155" s="3" t="s">
        <v>13082</v>
      </c>
    </row>
    <row r="9156">
      <c r="A9156" s="3">
        <v>620.0</v>
      </c>
      <c r="B9156" s="3" t="s">
        <v>19423</v>
      </c>
      <c r="C9156" s="3" t="s">
        <v>11281</v>
      </c>
      <c r="D9156" s="3" t="s">
        <v>13083</v>
      </c>
      <c r="E9156" s="3" t="s">
        <v>13084</v>
      </c>
      <c r="F9156" s="3" t="s">
        <v>13085</v>
      </c>
    </row>
    <row r="9157">
      <c r="A9157" s="3">
        <v>621.0</v>
      </c>
      <c r="B9157" s="3" t="s">
        <v>19423</v>
      </c>
      <c r="C9157" s="3" t="s">
        <v>11281</v>
      </c>
      <c r="D9157" s="3" t="s">
        <v>13086</v>
      </c>
      <c r="E9157" s="3" t="s">
        <v>13087</v>
      </c>
      <c r="F9157" s="3" t="s">
        <v>13088</v>
      </c>
    </row>
    <row r="9158">
      <c r="A9158" s="3">
        <v>622.0</v>
      </c>
      <c r="B9158" s="3" t="s">
        <v>19423</v>
      </c>
      <c r="C9158" s="3" t="s">
        <v>11281</v>
      </c>
      <c r="D9158" s="3" t="s">
        <v>13089</v>
      </c>
      <c r="E9158" s="3" t="s">
        <v>13090</v>
      </c>
      <c r="F9158" s="3" t="s">
        <v>13091</v>
      </c>
    </row>
    <row r="9159">
      <c r="A9159" s="3">
        <v>623.0</v>
      </c>
      <c r="B9159" s="3" t="s">
        <v>19423</v>
      </c>
      <c r="C9159" s="3" t="s">
        <v>11281</v>
      </c>
      <c r="D9159" s="3" t="s">
        <v>960</v>
      </c>
      <c r="E9159" s="3" t="s">
        <v>959</v>
      </c>
      <c r="F9159" s="3" t="s">
        <v>960</v>
      </c>
    </row>
    <row r="9160">
      <c r="A9160" s="3">
        <v>624.0</v>
      </c>
      <c r="B9160" s="3" t="s">
        <v>19423</v>
      </c>
      <c r="C9160" s="3" t="s">
        <v>11281</v>
      </c>
      <c r="D9160" s="3" t="s">
        <v>13092</v>
      </c>
      <c r="E9160" s="3" t="s">
        <v>13093</v>
      </c>
      <c r="F9160" s="3" t="s">
        <v>13092</v>
      </c>
    </row>
    <row r="9161">
      <c r="A9161" s="3">
        <v>625.0</v>
      </c>
      <c r="B9161" s="3" t="s">
        <v>19423</v>
      </c>
      <c r="C9161" s="3" t="s">
        <v>11281</v>
      </c>
      <c r="D9161" s="3" t="s">
        <v>13094</v>
      </c>
      <c r="E9161" s="3" t="s">
        <v>13095</v>
      </c>
      <c r="F9161" s="3" t="s">
        <v>13094</v>
      </c>
    </row>
    <row r="9162">
      <c r="A9162" s="3">
        <v>626.0</v>
      </c>
      <c r="B9162" s="3" t="s">
        <v>19423</v>
      </c>
      <c r="C9162" s="3" t="s">
        <v>11281</v>
      </c>
      <c r="D9162" s="3" t="s">
        <v>13096</v>
      </c>
      <c r="E9162" s="3" t="s">
        <v>13097</v>
      </c>
      <c r="F9162" s="3" t="s">
        <v>13096</v>
      </c>
      <c r="G9162" s="3"/>
      <c r="H9162" s="3" t="s">
        <v>13098</v>
      </c>
      <c r="I9162" s="3" t="s">
        <v>13099</v>
      </c>
    </row>
    <row r="9163">
      <c r="A9163" s="3">
        <v>627.0</v>
      </c>
      <c r="B9163" s="3" t="s">
        <v>19423</v>
      </c>
      <c r="C9163" s="3" t="s">
        <v>11281</v>
      </c>
      <c r="D9163" s="3" t="s">
        <v>13100</v>
      </c>
      <c r="E9163" s="3" t="s">
        <v>13101</v>
      </c>
      <c r="F9163" s="3" t="s">
        <v>13100</v>
      </c>
    </row>
    <row r="9164">
      <c r="A9164" s="3">
        <v>628.0</v>
      </c>
      <c r="B9164" s="3" t="s">
        <v>19423</v>
      </c>
      <c r="C9164" s="3" t="s">
        <v>11281</v>
      </c>
      <c r="D9164" s="3" t="s">
        <v>13102</v>
      </c>
      <c r="E9164" s="3" t="s">
        <v>13103</v>
      </c>
      <c r="F9164" s="3" t="s">
        <v>13102</v>
      </c>
    </row>
    <row r="9165">
      <c r="A9165" s="3">
        <v>629.0</v>
      </c>
      <c r="B9165" s="3" t="s">
        <v>19423</v>
      </c>
      <c r="C9165" s="3" t="s">
        <v>11281</v>
      </c>
      <c r="D9165" s="3" t="s">
        <v>13104</v>
      </c>
      <c r="E9165" s="3" t="s">
        <v>13105</v>
      </c>
      <c r="F9165" s="3" t="s">
        <v>13104</v>
      </c>
    </row>
    <row r="9166">
      <c r="A9166" s="3">
        <v>630.0</v>
      </c>
      <c r="B9166" s="3" t="s">
        <v>19423</v>
      </c>
      <c r="C9166" s="3" t="s">
        <v>11281</v>
      </c>
      <c r="D9166" s="3" t="s">
        <v>13106</v>
      </c>
      <c r="E9166" s="3" t="s">
        <v>13107</v>
      </c>
      <c r="F9166" s="3" t="s">
        <v>13106</v>
      </c>
    </row>
    <row r="9167">
      <c r="A9167" s="3">
        <v>631.0</v>
      </c>
      <c r="B9167" s="3" t="s">
        <v>19423</v>
      </c>
      <c r="C9167" s="3" t="s">
        <v>11281</v>
      </c>
      <c r="D9167" s="3" t="s">
        <v>13108</v>
      </c>
      <c r="E9167" s="3" t="s">
        <v>19624</v>
      </c>
      <c r="F9167" s="3" t="s">
        <v>19625</v>
      </c>
    </row>
    <row r="9168">
      <c r="A9168" s="3">
        <v>632.0</v>
      </c>
      <c r="B9168" s="3" t="s">
        <v>19423</v>
      </c>
      <c r="C9168" s="3" t="s">
        <v>11281</v>
      </c>
      <c r="D9168" s="3" t="s">
        <v>13111</v>
      </c>
      <c r="E9168" s="3" t="s">
        <v>19626</v>
      </c>
      <c r="F9168" s="3" t="s">
        <v>19627</v>
      </c>
    </row>
    <row r="9169">
      <c r="A9169" s="3">
        <v>633.0</v>
      </c>
      <c r="B9169" s="3" t="s">
        <v>19423</v>
      </c>
      <c r="C9169" s="3" t="s">
        <v>11281</v>
      </c>
      <c r="D9169" s="3" t="s">
        <v>13114</v>
      </c>
      <c r="E9169" s="3" t="s">
        <v>19628</v>
      </c>
      <c r="F9169" s="3" t="s">
        <v>19629</v>
      </c>
      <c r="G9169" s="3"/>
      <c r="H9169" s="3" t="s">
        <v>2132</v>
      </c>
    </row>
    <row r="9170">
      <c r="A9170" s="3">
        <v>634.0</v>
      </c>
      <c r="B9170" s="3" t="s">
        <v>19423</v>
      </c>
      <c r="C9170" s="3" t="s">
        <v>11281</v>
      </c>
      <c r="D9170" s="3" t="s">
        <v>13117</v>
      </c>
      <c r="E9170" s="3" t="s">
        <v>19630</v>
      </c>
      <c r="F9170" s="3" t="s">
        <v>19631</v>
      </c>
    </row>
    <row r="9171">
      <c r="A9171" s="3">
        <v>635.0</v>
      </c>
      <c r="B9171" s="3" t="s">
        <v>19423</v>
      </c>
      <c r="C9171" s="3" t="s">
        <v>11281</v>
      </c>
      <c r="D9171" s="3" t="s">
        <v>13120</v>
      </c>
      <c r="E9171" s="3" t="s">
        <v>19632</v>
      </c>
      <c r="F9171" s="3" t="s">
        <v>19633</v>
      </c>
    </row>
    <row r="9172">
      <c r="A9172" s="3">
        <v>636.0</v>
      </c>
      <c r="B9172" s="3" t="s">
        <v>19423</v>
      </c>
      <c r="C9172" s="3" t="s">
        <v>11281</v>
      </c>
      <c r="D9172" s="3" t="s">
        <v>13123</v>
      </c>
      <c r="E9172" s="3" t="s">
        <v>19634</v>
      </c>
      <c r="F9172" s="3" t="s">
        <v>19635</v>
      </c>
    </row>
    <row r="9173">
      <c r="A9173" s="3">
        <v>637.0</v>
      </c>
      <c r="B9173" s="3" t="s">
        <v>19423</v>
      </c>
      <c r="C9173" s="3" t="s">
        <v>11281</v>
      </c>
      <c r="D9173" s="3" t="s">
        <v>13126</v>
      </c>
      <c r="E9173" s="3" t="s">
        <v>19636</v>
      </c>
      <c r="F9173" s="3" t="s">
        <v>19637</v>
      </c>
    </row>
    <row r="9174">
      <c r="A9174" s="3">
        <v>638.0</v>
      </c>
      <c r="B9174" s="3" t="s">
        <v>19423</v>
      </c>
      <c r="C9174" s="3" t="s">
        <v>11281</v>
      </c>
      <c r="D9174" s="3" t="s">
        <v>13129</v>
      </c>
      <c r="E9174" s="3" t="s">
        <v>13130</v>
      </c>
      <c r="F9174" s="3" t="s">
        <v>13129</v>
      </c>
    </row>
    <row r="9175">
      <c r="A9175" s="3">
        <v>639.0</v>
      </c>
      <c r="B9175" s="3" t="s">
        <v>19423</v>
      </c>
      <c r="C9175" s="3" t="s">
        <v>11281</v>
      </c>
      <c r="D9175" s="3" t="s">
        <v>13131</v>
      </c>
      <c r="E9175" s="3" t="s">
        <v>13132</v>
      </c>
      <c r="F9175" s="3" t="s">
        <v>13131</v>
      </c>
    </row>
    <row r="9176">
      <c r="A9176" s="3">
        <v>640.0</v>
      </c>
      <c r="B9176" s="3" t="s">
        <v>19423</v>
      </c>
      <c r="C9176" s="3" t="s">
        <v>11281</v>
      </c>
      <c r="D9176" s="3" t="s">
        <v>13133</v>
      </c>
      <c r="E9176" s="3" t="s">
        <v>13134</v>
      </c>
      <c r="F9176" s="3" t="s">
        <v>13133</v>
      </c>
    </row>
    <row r="9177">
      <c r="A9177" s="3">
        <v>641.0</v>
      </c>
      <c r="B9177" s="3" t="s">
        <v>19423</v>
      </c>
      <c r="C9177" s="3" t="s">
        <v>11281</v>
      </c>
      <c r="D9177" s="3" t="s">
        <v>13135</v>
      </c>
      <c r="E9177" s="3" t="s">
        <v>13136</v>
      </c>
      <c r="F9177" s="3" t="s">
        <v>13135</v>
      </c>
    </row>
    <row r="9178">
      <c r="A9178" s="3">
        <v>642.0</v>
      </c>
      <c r="B9178" s="3" t="s">
        <v>19423</v>
      </c>
      <c r="C9178" s="3" t="s">
        <v>11281</v>
      </c>
      <c r="D9178" s="3" t="s">
        <v>13137</v>
      </c>
      <c r="E9178" s="3" t="s">
        <v>13138</v>
      </c>
      <c r="F9178" s="3" t="s">
        <v>13137</v>
      </c>
    </row>
    <row r="9179">
      <c r="A9179" s="3">
        <v>643.0</v>
      </c>
      <c r="B9179" s="3" t="s">
        <v>19423</v>
      </c>
      <c r="C9179" s="3" t="s">
        <v>11281</v>
      </c>
      <c r="D9179" s="3" t="s">
        <v>13139</v>
      </c>
      <c r="E9179" s="3" t="s">
        <v>13140</v>
      </c>
      <c r="F9179" s="3" t="s">
        <v>13139</v>
      </c>
    </row>
    <row r="9180">
      <c r="A9180" s="3">
        <v>644.0</v>
      </c>
      <c r="B9180" s="3" t="s">
        <v>19423</v>
      </c>
      <c r="C9180" s="3" t="s">
        <v>11281</v>
      </c>
      <c r="D9180" s="3" t="s">
        <v>13141</v>
      </c>
      <c r="E9180" s="3" t="s">
        <v>13142</v>
      </c>
      <c r="F9180" s="3" t="s">
        <v>13141</v>
      </c>
    </row>
    <row r="9181">
      <c r="A9181" s="3">
        <v>645.0</v>
      </c>
      <c r="B9181" s="3" t="s">
        <v>19423</v>
      </c>
      <c r="C9181" s="3" t="s">
        <v>11281</v>
      </c>
      <c r="D9181" s="3" t="s">
        <v>13143</v>
      </c>
      <c r="E9181" s="3" t="s">
        <v>13144</v>
      </c>
      <c r="F9181" s="3" t="s">
        <v>13143</v>
      </c>
    </row>
    <row r="9182">
      <c r="A9182" s="3">
        <v>646.0</v>
      </c>
      <c r="B9182" s="3" t="s">
        <v>19423</v>
      </c>
      <c r="C9182" s="3" t="s">
        <v>11281</v>
      </c>
      <c r="D9182" s="3" t="s">
        <v>13145</v>
      </c>
      <c r="E9182" s="3" t="s">
        <v>13146</v>
      </c>
      <c r="F9182" s="3" t="s">
        <v>13145</v>
      </c>
    </row>
    <row r="9183">
      <c r="A9183" s="3">
        <v>647.0</v>
      </c>
      <c r="B9183" s="3" t="s">
        <v>19423</v>
      </c>
      <c r="C9183" s="3" t="s">
        <v>11281</v>
      </c>
      <c r="D9183" s="3" t="s">
        <v>13147</v>
      </c>
      <c r="E9183" s="3" t="s">
        <v>13148</v>
      </c>
      <c r="F9183" s="3" t="s">
        <v>13147</v>
      </c>
      <c r="G9183" s="3"/>
      <c r="H9183" s="3" t="s">
        <v>13149</v>
      </c>
      <c r="I9183" s="3" t="s">
        <v>13150</v>
      </c>
      <c r="J9183" s="3" t="s">
        <v>5991</v>
      </c>
      <c r="K9183" s="3" t="s">
        <v>13151</v>
      </c>
      <c r="L9183" s="3" t="s">
        <v>13152</v>
      </c>
      <c r="M9183" s="3" t="s">
        <v>13153</v>
      </c>
      <c r="N9183" s="3" t="s">
        <v>13154</v>
      </c>
    </row>
    <row r="9184">
      <c r="A9184" s="3">
        <v>648.0</v>
      </c>
      <c r="B9184" s="3" t="s">
        <v>19423</v>
      </c>
      <c r="C9184" s="3" t="s">
        <v>11281</v>
      </c>
      <c r="D9184" s="3" t="s">
        <v>13155</v>
      </c>
      <c r="E9184" s="3" t="s">
        <v>13156</v>
      </c>
      <c r="F9184" s="3" t="s">
        <v>13155</v>
      </c>
    </row>
    <row r="9185">
      <c r="A9185" s="3">
        <v>649.0</v>
      </c>
      <c r="B9185" s="3" t="s">
        <v>19423</v>
      </c>
      <c r="C9185" s="3" t="s">
        <v>11281</v>
      </c>
      <c r="D9185" s="3" t="s">
        <v>13157</v>
      </c>
      <c r="E9185" s="3" t="s">
        <v>13158</v>
      </c>
      <c r="F9185" s="3" t="s">
        <v>13157</v>
      </c>
    </row>
    <row r="9186">
      <c r="A9186" s="3">
        <v>650.0</v>
      </c>
      <c r="B9186" s="3" t="s">
        <v>19423</v>
      </c>
      <c r="C9186" s="3" t="s">
        <v>11281</v>
      </c>
      <c r="D9186" s="3" t="s">
        <v>13159</v>
      </c>
      <c r="E9186" s="3" t="s">
        <v>13160</v>
      </c>
      <c r="F9186" s="3" t="s">
        <v>13159</v>
      </c>
    </row>
    <row r="9187">
      <c r="A9187" s="3">
        <v>651.0</v>
      </c>
      <c r="B9187" s="3" t="s">
        <v>19423</v>
      </c>
      <c r="C9187" s="3" t="s">
        <v>11281</v>
      </c>
      <c r="D9187" s="3" t="s">
        <v>13161</v>
      </c>
      <c r="E9187" s="3" t="s">
        <v>13162</v>
      </c>
      <c r="F9187" s="3" t="s">
        <v>13161</v>
      </c>
    </row>
    <row r="9188">
      <c r="A9188" s="3">
        <v>652.0</v>
      </c>
      <c r="B9188" s="3" t="s">
        <v>19423</v>
      </c>
      <c r="C9188" s="3" t="s">
        <v>11281</v>
      </c>
      <c r="D9188" s="3" t="s">
        <v>13163</v>
      </c>
      <c r="E9188" s="3" t="s">
        <v>19638</v>
      </c>
      <c r="F9188" s="3" t="s">
        <v>19639</v>
      </c>
    </row>
    <row r="9189">
      <c r="A9189" s="3">
        <v>653.0</v>
      </c>
      <c r="B9189" s="3" t="s">
        <v>19423</v>
      </c>
      <c r="C9189" s="3" t="s">
        <v>11281</v>
      </c>
      <c r="D9189" s="3" t="s">
        <v>13166</v>
      </c>
      <c r="E9189" s="3" t="s">
        <v>19640</v>
      </c>
      <c r="F9189" s="3" t="s">
        <v>19641</v>
      </c>
    </row>
    <row r="9190">
      <c r="A9190" s="3">
        <v>654.0</v>
      </c>
      <c r="B9190" s="3" t="s">
        <v>19423</v>
      </c>
      <c r="C9190" s="3" t="s">
        <v>11281</v>
      </c>
      <c r="D9190" s="3" t="s">
        <v>13169</v>
      </c>
      <c r="E9190" s="3" t="s">
        <v>19642</v>
      </c>
      <c r="F9190" s="3" t="s">
        <v>19643</v>
      </c>
      <c r="G9190" s="3"/>
      <c r="H9190" s="3" t="s">
        <v>2153</v>
      </c>
      <c r="I9190" s="3" t="s">
        <v>2136</v>
      </c>
      <c r="J9190" s="3" t="s">
        <v>2154</v>
      </c>
      <c r="K9190" s="3" t="s">
        <v>2155</v>
      </c>
      <c r="L9190" s="3" t="s">
        <v>13170</v>
      </c>
      <c r="M9190" s="3" t="s">
        <v>13171</v>
      </c>
      <c r="N9190" s="3" t="s">
        <v>13172</v>
      </c>
      <c r="O9190" s="3" t="s">
        <v>13173</v>
      </c>
      <c r="P9190" s="3" t="s">
        <v>13174</v>
      </c>
      <c r="Q9190" s="3" t="s">
        <v>9315</v>
      </c>
    </row>
    <row r="9191">
      <c r="A9191" s="3">
        <v>655.0</v>
      </c>
      <c r="B9191" s="3" t="s">
        <v>19423</v>
      </c>
      <c r="C9191" s="3" t="s">
        <v>11281</v>
      </c>
      <c r="D9191" s="3" t="s">
        <v>13175</v>
      </c>
      <c r="E9191" s="3" t="s">
        <v>19644</v>
      </c>
      <c r="F9191" s="3" t="s">
        <v>19645</v>
      </c>
    </row>
    <row r="9192">
      <c r="A9192" s="3">
        <v>656.0</v>
      </c>
      <c r="B9192" s="3" t="s">
        <v>19423</v>
      </c>
      <c r="C9192" s="3" t="s">
        <v>11281</v>
      </c>
      <c r="D9192" s="3" t="s">
        <v>13176</v>
      </c>
      <c r="E9192" s="3" t="s">
        <v>19646</v>
      </c>
      <c r="F9192" s="3" t="s">
        <v>19647</v>
      </c>
    </row>
    <row r="9193">
      <c r="A9193" s="3">
        <v>657.0</v>
      </c>
      <c r="B9193" s="3" t="s">
        <v>19423</v>
      </c>
      <c r="C9193" s="3" t="s">
        <v>11281</v>
      </c>
      <c r="D9193" s="3" t="s">
        <v>13177</v>
      </c>
      <c r="E9193" s="3" t="s">
        <v>19648</v>
      </c>
      <c r="F9193" s="3" t="s">
        <v>19649</v>
      </c>
    </row>
    <row r="9194">
      <c r="A9194" s="3">
        <v>658.0</v>
      </c>
      <c r="B9194" s="3" t="s">
        <v>19423</v>
      </c>
      <c r="C9194" s="3" t="s">
        <v>11281</v>
      </c>
      <c r="D9194" s="3" t="s">
        <v>13180</v>
      </c>
      <c r="E9194" s="3" t="s">
        <v>19650</v>
      </c>
      <c r="F9194" s="3" t="s">
        <v>19651</v>
      </c>
    </row>
    <row r="9195">
      <c r="A9195" s="3">
        <v>659.0</v>
      </c>
      <c r="B9195" s="3" t="s">
        <v>19423</v>
      </c>
      <c r="C9195" s="3" t="s">
        <v>11281</v>
      </c>
      <c r="D9195" s="3" t="s">
        <v>13183</v>
      </c>
      <c r="E9195" s="3" t="s">
        <v>19652</v>
      </c>
      <c r="F9195" s="3" t="s">
        <v>19653</v>
      </c>
    </row>
    <row r="9196">
      <c r="A9196" s="3">
        <v>660.0</v>
      </c>
      <c r="B9196" s="3" t="s">
        <v>19423</v>
      </c>
      <c r="C9196" s="3" t="s">
        <v>11281</v>
      </c>
      <c r="D9196" s="3" t="s">
        <v>13186</v>
      </c>
      <c r="E9196" s="3" t="s">
        <v>19654</v>
      </c>
      <c r="F9196" s="3" t="s">
        <v>19655</v>
      </c>
    </row>
    <row r="9197">
      <c r="A9197" s="3">
        <v>661.0</v>
      </c>
      <c r="B9197" s="3" t="s">
        <v>19423</v>
      </c>
      <c r="C9197" s="3" t="s">
        <v>11281</v>
      </c>
      <c r="D9197" s="3" t="s">
        <v>13189</v>
      </c>
      <c r="E9197" s="3" t="s">
        <v>19656</v>
      </c>
      <c r="F9197" s="3" t="s">
        <v>19657</v>
      </c>
    </row>
    <row r="9198">
      <c r="A9198" s="3">
        <v>662.0</v>
      </c>
      <c r="B9198" s="3" t="s">
        <v>19423</v>
      </c>
      <c r="C9198" s="3" t="s">
        <v>11281</v>
      </c>
      <c r="D9198" s="3" t="s">
        <v>13190</v>
      </c>
      <c r="E9198" s="3" t="s">
        <v>19466</v>
      </c>
      <c r="F9198" s="3" t="s">
        <v>19467</v>
      </c>
    </row>
    <row r="9199">
      <c r="A9199" s="3">
        <v>663.0</v>
      </c>
      <c r="B9199" s="3" t="s">
        <v>19423</v>
      </c>
      <c r="C9199" s="3" t="s">
        <v>11281</v>
      </c>
      <c r="D9199" s="3" t="s">
        <v>13191</v>
      </c>
      <c r="E9199" s="3" t="s">
        <v>19658</v>
      </c>
      <c r="F9199" s="3" t="s">
        <v>19659</v>
      </c>
    </row>
    <row r="9200">
      <c r="A9200" s="3">
        <v>664.0</v>
      </c>
      <c r="B9200" s="3" t="s">
        <v>19423</v>
      </c>
      <c r="C9200" s="3" t="s">
        <v>11281</v>
      </c>
      <c r="D9200" s="3" t="s">
        <v>13194</v>
      </c>
      <c r="E9200" s="3" t="s">
        <v>19660</v>
      </c>
      <c r="F9200" s="3" t="s">
        <v>19661</v>
      </c>
    </row>
    <row r="9201">
      <c r="A9201" s="3">
        <v>665.0</v>
      </c>
      <c r="B9201" s="3" t="s">
        <v>19423</v>
      </c>
      <c r="C9201" s="3" t="s">
        <v>11281</v>
      </c>
      <c r="D9201" s="3" t="s">
        <v>13197</v>
      </c>
      <c r="E9201" s="3" t="s">
        <v>19662</v>
      </c>
      <c r="F9201" s="3" t="s">
        <v>19663</v>
      </c>
    </row>
    <row r="9202">
      <c r="A9202" s="3">
        <v>666.0</v>
      </c>
      <c r="B9202" s="3" t="s">
        <v>19423</v>
      </c>
      <c r="C9202" s="3" t="s">
        <v>11281</v>
      </c>
      <c r="D9202" s="3" t="s">
        <v>13200</v>
      </c>
      <c r="E9202" s="3" t="s">
        <v>19664</v>
      </c>
      <c r="F9202" s="3" t="s">
        <v>19665</v>
      </c>
    </row>
    <row r="9203">
      <c r="A9203" s="3">
        <v>667.0</v>
      </c>
      <c r="B9203" s="3" t="s">
        <v>19423</v>
      </c>
      <c r="C9203" s="3" t="s">
        <v>11281</v>
      </c>
      <c r="D9203" s="3" t="s">
        <v>13203</v>
      </c>
      <c r="E9203" s="3" t="s">
        <v>19666</v>
      </c>
      <c r="F9203" s="3" t="s">
        <v>19667</v>
      </c>
    </row>
    <row r="9204">
      <c r="A9204" s="3">
        <v>668.0</v>
      </c>
      <c r="B9204" s="3" t="s">
        <v>19423</v>
      </c>
      <c r="C9204" s="3" t="s">
        <v>11281</v>
      </c>
      <c r="D9204" s="3" t="s">
        <v>13206</v>
      </c>
      <c r="E9204" s="3" t="s">
        <v>19668</v>
      </c>
      <c r="F9204" s="3" t="s">
        <v>19669</v>
      </c>
    </row>
    <row r="9205">
      <c r="A9205" s="3">
        <v>669.0</v>
      </c>
      <c r="B9205" s="3" t="s">
        <v>19423</v>
      </c>
      <c r="C9205" s="3" t="s">
        <v>11281</v>
      </c>
      <c r="D9205" s="3" t="s">
        <v>13209</v>
      </c>
      <c r="E9205" s="3" t="s">
        <v>19670</v>
      </c>
      <c r="F9205" s="3" t="s">
        <v>19671</v>
      </c>
    </row>
    <row r="9206">
      <c r="A9206" s="3">
        <v>670.0</v>
      </c>
      <c r="B9206" s="3" t="s">
        <v>19423</v>
      </c>
      <c r="C9206" s="3" t="s">
        <v>11281</v>
      </c>
      <c r="D9206" s="3" t="s">
        <v>13212</v>
      </c>
      <c r="E9206" s="3" t="s">
        <v>19672</v>
      </c>
      <c r="F9206" s="3" t="s">
        <v>19673</v>
      </c>
      <c r="G9206" s="3"/>
      <c r="H9206" s="3" t="s">
        <v>13215</v>
      </c>
      <c r="I9206" s="3" t="s">
        <v>13216</v>
      </c>
      <c r="J9206" s="3" t="s">
        <v>13217</v>
      </c>
    </row>
    <row r="9207">
      <c r="A9207" s="3">
        <v>671.0</v>
      </c>
      <c r="B9207" s="3" t="s">
        <v>19423</v>
      </c>
      <c r="C9207" s="3" t="s">
        <v>11281</v>
      </c>
      <c r="D9207" s="3" t="s">
        <v>13218</v>
      </c>
      <c r="E9207" s="3" t="s">
        <v>19674</v>
      </c>
      <c r="F9207" s="3" t="s">
        <v>19675</v>
      </c>
    </row>
    <row r="9208">
      <c r="A9208" s="3">
        <v>672.0</v>
      </c>
      <c r="B9208" s="3" t="s">
        <v>19423</v>
      </c>
      <c r="C9208" s="3" t="s">
        <v>11281</v>
      </c>
      <c r="D9208" s="3" t="s">
        <v>13221</v>
      </c>
      <c r="E9208" s="3" t="s">
        <v>19676</v>
      </c>
      <c r="F9208" s="3" t="s">
        <v>19677</v>
      </c>
    </row>
    <row r="9209">
      <c r="A9209" s="3">
        <v>673.0</v>
      </c>
      <c r="B9209" s="3" t="s">
        <v>19423</v>
      </c>
      <c r="C9209" s="3" t="s">
        <v>11281</v>
      </c>
      <c r="D9209" s="3" t="s">
        <v>13224</v>
      </c>
      <c r="E9209" s="3" t="s">
        <v>19678</v>
      </c>
      <c r="F9209" s="3" t="s">
        <v>19679</v>
      </c>
    </row>
    <row r="9210">
      <c r="A9210" s="3">
        <v>674.0</v>
      </c>
      <c r="B9210" s="3" t="s">
        <v>19423</v>
      </c>
      <c r="C9210" s="3" t="s">
        <v>11281</v>
      </c>
      <c r="D9210" s="3" t="s">
        <v>13227</v>
      </c>
      <c r="E9210" s="3" t="s">
        <v>19680</v>
      </c>
      <c r="F9210" s="3" t="s">
        <v>19681</v>
      </c>
    </row>
    <row r="9211">
      <c r="A9211" s="3">
        <v>675.0</v>
      </c>
      <c r="B9211" s="3" t="s">
        <v>19423</v>
      </c>
      <c r="C9211" s="3" t="s">
        <v>11281</v>
      </c>
      <c r="D9211" s="3" t="s">
        <v>13230</v>
      </c>
      <c r="E9211" s="3" t="s">
        <v>19682</v>
      </c>
      <c r="F9211" s="3" t="s">
        <v>19683</v>
      </c>
    </row>
    <row r="9212">
      <c r="A9212" s="3">
        <v>676.0</v>
      </c>
      <c r="B9212" s="3" t="s">
        <v>19423</v>
      </c>
      <c r="C9212" s="3" t="s">
        <v>11281</v>
      </c>
      <c r="D9212" s="3" t="s">
        <v>13233</v>
      </c>
      <c r="E9212" s="3" t="s">
        <v>19684</v>
      </c>
      <c r="F9212" s="3" t="s">
        <v>19685</v>
      </c>
    </row>
    <row r="9213">
      <c r="A9213" s="3">
        <v>677.0</v>
      </c>
      <c r="B9213" s="3" t="s">
        <v>19423</v>
      </c>
      <c r="C9213" s="3" t="s">
        <v>11281</v>
      </c>
      <c r="D9213" s="3" t="s">
        <v>13236</v>
      </c>
      <c r="E9213" s="3" t="s">
        <v>19686</v>
      </c>
      <c r="F9213" s="3" t="s">
        <v>19687</v>
      </c>
    </row>
    <row r="9214">
      <c r="A9214" s="3">
        <v>678.0</v>
      </c>
      <c r="B9214" s="3" t="s">
        <v>19423</v>
      </c>
      <c r="C9214" s="3" t="s">
        <v>11281</v>
      </c>
      <c r="D9214" s="3" t="s">
        <v>13239</v>
      </c>
      <c r="E9214" s="3" t="s">
        <v>19688</v>
      </c>
      <c r="F9214" s="3" t="s">
        <v>19689</v>
      </c>
    </row>
    <row r="9215">
      <c r="A9215" s="3">
        <v>679.0</v>
      </c>
      <c r="B9215" s="3" t="s">
        <v>19423</v>
      </c>
      <c r="C9215" s="3" t="s">
        <v>11281</v>
      </c>
      <c r="D9215" s="3" t="s">
        <v>13242</v>
      </c>
      <c r="E9215" s="3" t="s">
        <v>19690</v>
      </c>
      <c r="F9215" s="3" t="s">
        <v>19691</v>
      </c>
    </row>
    <row r="9216">
      <c r="A9216" s="3">
        <v>680.0</v>
      </c>
      <c r="B9216" s="3" t="s">
        <v>19423</v>
      </c>
      <c r="C9216" s="3" t="s">
        <v>11281</v>
      </c>
      <c r="D9216" s="3" t="s">
        <v>13245</v>
      </c>
      <c r="E9216" s="3" t="s">
        <v>19692</v>
      </c>
      <c r="F9216" s="3" t="s">
        <v>19693</v>
      </c>
    </row>
    <row r="9217">
      <c r="A9217" s="3">
        <v>681.0</v>
      </c>
      <c r="B9217" s="3" t="s">
        <v>19423</v>
      </c>
      <c r="C9217" s="3" t="s">
        <v>11281</v>
      </c>
      <c r="D9217" s="3" t="s">
        <v>13246</v>
      </c>
      <c r="E9217" s="3" t="s">
        <v>19694</v>
      </c>
      <c r="F9217" s="3" t="s">
        <v>19695</v>
      </c>
    </row>
    <row r="9218">
      <c r="A9218" s="3">
        <v>682.0</v>
      </c>
      <c r="B9218" s="3" t="s">
        <v>19423</v>
      </c>
      <c r="C9218" s="3" t="s">
        <v>11281</v>
      </c>
      <c r="D9218" s="3" t="s">
        <v>13247</v>
      </c>
      <c r="E9218" s="3" t="s">
        <v>19696</v>
      </c>
      <c r="F9218" s="3" t="s">
        <v>19697</v>
      </c>
    </row>
    <row r="9219">
      <c r="A9219" s="3">
        <v>683.0</v>
      </c>
      <c r="B9219" s="3" t="s">
        <v>19423</v>
      </c>
      <c r="C9219" s="3" t="s">
        <v>11281</v>
      </c>
      <c r="D9219" s="3" t="s">
        <v>13250</v>
      </c>
      <c r="E9219" s="3" t="s">
        <v>19698</v>
      </c>
      <c r="F9219" s="3" t="s">
        <v>19699</v>
      </c>
    </row>
    <row r="9220">
      <c r="A9220" s="3">
        <v>684.0</v>
      </c>
      <c r="B9220" s="3" t="s">
        <v>19423</v>
      </c>
      <c r="C9220" s="3" t="s">
        <v>11281</v>
      </c>
      <c r="D9220" s="3" t="s">
        <v>13253</v>
      </c>
      <c r="E9220" s="3" t="s">
        <v>19700</v>
      </c>
      <c r="F9220" s="3" t="s">
        <v>19701</v>
      </c>
    </row>
    <row r="9221">
      <c r="A9221" s="3">
        <v>685.0</v>
      </c>
      <c r="B9221" s="3" t="s">
        <v>19423</v>
      </c>
      <c r="C9221" s="3" t="s">
        <v>11281</v>
      </c>
      <c r="D9221" s="3" t="s">
        <v>13256</v>
      </c>
      <c r="E9221" s="3" t="s">
        <v>19702</v>
      </c>
      <c r="F9221" s="3" t="s">
        <v>19703</v>
      </c>
    </row>
    <row r="9222">
      <c r="A9222" s="3">
        <v>686.0</v>
      </c>
      <c r="B9222" s="3" t="s">
        <v>19423</v>
      </c>
      <c r="C9222" s="3" t="s">
        <v>11281</v>
      </c>
      <c r="D9222" s="3" t="s">
        <v>13259</v>
      </c>
      <c r="E9222" s="3" t="s">
        <v>19704</v>
      </c>
      <c r="F9222" s="3" t="s">
        <v>19705</v>
      </c>
    </row>
    <row r="9223">
      <c r="A9223" s="3">
        <v>687.0</v>
      </c>
      <c r="B9223" s="3" t="s">
        <v>19423</v>
      </c>
      <c r="C9223" s="3" t="s">
        <v>11281</v>
      </c>
      <c r="D9223" s="3" t="s">
        <v>13260</v>
      </c>
      <c r="E9223" s="3" t="s">
        <v>19706</v>
      </c>
      <c r="F9223" s="3" t="s">
        <v>19707</v>
      </c>
    </row>
    <row r="9224">
      <c r="A9224" s="3">
        <v>688.0</v>
      </c>
      <c r="B9224" s="3" t="s">
        <v>19423</v>
      </c>
      <c r="C9224" s="3" t="s">
        <v>11281</v>
      </c>
      <c r="D9224" s="3" t="s">
        <v>13263</v>
      </c>
      <c r="E9224" s="3" t="s">
        <v>19708</v>
      </c>
      <c r="F9224" s="3" t="s">
        <v>19709</v>
      </c>
      <c r="G9224" s="3"/>
      <c r="H9224" s="3" t="s">
        <v>13266</v>
      </c>
    </row>
    <row r="9225">
      <c r="A9225" s="3">
        <v>689.0</v>
      </c>
      <c r="B9225" s="3" t="s">
        <v>19423</v>
      </c>
      <c r="C9225" s="3" t="s">
        <v>11281</v>
      </c>
      <c r="D9225" s="3" t="s">
        <v>13267</v>
      </c>
      <c r="E9225" s="3" t="s">
        <v>19710</v>
      </c>
      <c r="F9225" s="3" t="s">
        <v>19711</v>
      </c>
    </row>
    <row r="9226">
      <c r="A9226" s="3">
        <v>690.0</v>
      </c>
      <c r="B9226" s="3" t="s">
        <v>19423</v>
      </c>
      <c r="C9226" s="3" t="s">
        <v>11281</v>
      </c>
      <c r="D9226" s="3" t="s">
        <v>13270</v>
      </c>
      <c r="E9226" s="3" t="s">
        <v>19712</v>
      </c>
      <c r="F9226" s="3" t="s">
        <v>19713</v>
      </c>
    </row>
    <row r="9227">
      <c r="A9227" s="3">
        <v>691.0</v>
      </c>
      <c r="B9227" s="3" t="s">
        <v>19423</v>
      </c>
      <c r="C9227" s="3" t="s">
        <v>11281</v>
      </c>
      <c r="D9227" s="3" t="s">
        <v>13273</v>
      </c>
      <c r="E9227" s="3" t="s">
        <v>19714</v>
      </c>
      <c r="F9227" s="3" t="s">
        <v>19715</v>
      </c>
    </row>
    <row r="9228">
      <c r="A9228" s="3">
        <v>692.0</v>
      </c>
      <c r="B9228" s="3" t="s">
        <v>19423</v>
      </c>
      <c r="C9228" s="3" t="s">
        <v>11281</v>
      </c>
      <c r="D9228" s="3" t="s">
        <v>13276</v>
      </c>
      <c r="E9228" s="3" t="s">
        <v>19716</v>
      </c>
      <c r="F9228" s="3" t="s">
        <v>19717</v>
      </c>
      <c r="G9228" s="3"/>
      <c r="H9228" s="3" t="s">
        <v>8776</v>
      </c>
    </row>
    <row r="9229">
      <c r="A9229" s="3">
        <v>693.0</v>
      </c>
      <c r="B9229" s="3" t="s">
        <v>19423</v>
      </c>
      <c r="C9229" s="3" t="s">
        <v>11281</v>
      </c>
      <c r="D9229" s="3" t="s">
        <v>13279</v>
      </c>
      <c r="E9229" s="3" t="s">
        <v>19718</v>
      </c>
      <c r="F9229" s="3" t="s">
        <v>19719</v>
      </c>
    </row>
    <row r="9230">
      <c r="A9230" s="3">
        <v>694.0</v>
      </c>
      <c r="B9230" s="3" t="s">
        <v>19423</v>
      </c>
      <c r="C9230" s="3" t="s">
        <v>11281</v>
      </c>
      <c r="D9230" s="3" t="s">
        <v>13282</v>
      </c>
      <c r="E9230" s="3" t="s">
        <v>19720</v>
      </c>
      <c r="F9230" s="3" t="s">
        <v>19721</v>
      </c>
    </row>
    <row r="9231">
      <c r="A9231" s="3">
        <v>695.0</v>
      </c>
      <c r="B9231" s="3" t="s">
        <v>19423</v>
      </c>
      <c r="C9231" s="3" t="s">
        <v>11281</v>
      </c>
      <c r="D9231" s="3" t="s">
        <v>13285</v>
      </c>
      <c r="E9231" s="3" t="s">
        <v>19722</v>
      </c>
      <c r="F9231" s="3" t="s">
        <v>19723</v>
      </c>
    </row>
    <row r="9232">
      <c r="A9232" s="3">
        <v>696.0</v>
      </c>
      <c r="B9232" s="3" t="s">
        <v>19423</v>
      </c>
      <c r="C9232" s="3" t="s">
        <v>11281</v>
      </c>
      <c r="D9232" s="3" t="s">
        <v>13288</v>
      </c>
      <c r="E9232" s="3" t="s">
        <v>19724</v>
      </c>
      <c r="F9232" s="3" t="s">
        <v>19725</v>
      </c>
    </row>
    <row r="9233">
      <c r="A9233" s="3">
        <v>697.0</v>
      </c>
      <c r="B9233" s="3" t="s">
        <v>19423</v>
      </c>
      <c r="C9233" s="3" t="s">
        <v>11281</v>
      </c>
      <c r="D9233" s="3" t="s">
        <v>13291</v>
      </c>
      <c r="E9233" s="3" t="s">
        <v>5376</v>
      </c>
      <c r="F9233" s="3" t="s">
        <v>5377</v>
      </c>
    </row>
    <row r="9234">
      <c r="A9234" s="3">
        <v>698.0</v>
      </c>
      <c r="B9234" s="3" t="s">
        <v>19423</v>
      </c>
      <c r="C9234" s="3" t="s">
        <v>11281</v>
      </c>
      <c r="D9234" s="3" t="s">
        <v>967</v>
      </c>
      <c r="E9234" s="3" t="s">
        <v>968</v>
      </c>
      <c r="F9234" s="3" t="s">
        <v>969</v>
      </c>
    </row>
    <row r="9235">
      <c r="A9235" s="3">
        <v>699.0</v>
      </c>
      <c r="B9235" s="3" t="s">
        <v>19423</v>
      </c>
      <c r="C9235" s="3" t="s">
        <v>11281</v>
      </c>
      <c r="D9235" s="3" t="s">
        <v>13292</v>
      </c>
      <c r="E9235" s="3" t="s">
        <v>13293</v>
      </c>
      <c r="F9235" s="3" t="s">
        <v>13294</v>
      </c>
    </row>
    <row r="9236">
      <c r="A9236" s="3">
        <v>700.0</v>
      </c>
      <c r="B9236" s="3" t="s">
        <v>19423</v>
      </c>
      <c r="C9236" s="3" t="s">
        <v>11281</v>
      </c>
      <c r="D9236" s="3" t="s">
        <v>13295</v>
      </c>
      <c r="E9236" s="3" t="s">
        <v>13296</v>
      </c>
      <c r="F9236" s="3" t="s">
        <v>13297</v>
      </c>
    </row>
    <row r="9237">
      <c r="A9237" s="3">
        <v>701.0</v>
      </c>
      <c r="B9237" s="3" t="s">
        <v>19423</v>
      </c>
      <c r="C9237" s="3" t="s">
        <v>11281</v>
      </c>
      <c r="D9237" s="3" t="s">
        <v>13298</v>
      </c>
      <c r="E9237" s="3" t="s">
        <v>13299</v>
      </c>
      <c r="F9237" s="3" t="s">
        <v>13300</v>
      </c>
    </row>
    <row r="9238">
      <c r="A9238" s="3">
        <v>702.0</v>
      </c>
      <c r="B9238" s="3" t="s">
        <v>19423</v>
      </c>
      <c r="C9238" s="3" t="s">
        <v>11281</v>
      </c>
      <c r="D9238" s="3" t="s">
        <v>13301</v>
      </c>
      <c r="E9238" s="3" t="s">
        <v>13302</v>
      </c>
      <c r="F9238" s="3" t="s">
        <v>13303</v>
      </c>
    </row>
    <row r="9239">
      <c r="A9239" s="3">
        <v>703.0</v>
      </c>
      <c r="B9239" s="3" t="s">
        <v>19423</v>
      </c>
      <c r="C9239" s="3" t="s">
        <v>11281</v>
      </c>
      <c r="D9239" s="3" t="s">
        <v>13304</v>
      </c>
      <c r="E9239" s="3" t="s">
        <v>13305</v>
      </c>
      <c r="F9239" s="3" t="s">
        <v>13306</v>
      </c>
    </row>
    <row r="9240">
      <c r="A9240" s="3">
        <v>704.0</v>
      </c>
      <c r="B9240" s="3" t="s">
        <v>19423</v>
      </c>
      <c r="C9240" s="3" t="s">
        <v>11281</v>
      </c>
      <c r="D9240" s="3" t="s">
        <v>13307</v>
      </c>
      <c r="E9240" s="3" t="s">
        <v>13308</v>
      </c>
      <c r="F9240" s="3" t="s">
        <v>13309</v>
      </c>
    </row>
    <row r="9241">
      <c r="A9241" s="3">
        <v>705.0</v>
      </c>
      <c r="B9241" s="3" t="s">
        <v>19423</v>
      </c>
      <c r="C9241" s="3" t="s">
        <v>11281</v>
      </c>
      <c r="D9241" s="3" t="s">
        <v>13310</v>
      </c>
      <c r="E9241" s="3" t="s">
        <v>13311</v>
      </c>
      <c r="F9241" s="3" t="s">
        <v>13312</v>
      </c>
    </row>
    <row r="9242">
      <c r="A9242" s="3">
        <v>706.0</v>
      </c>
      <c r="B9242" s="3" t="s">
        <v>19423</v>
      </c>
      <c r="C9242" s="3" t="s">
        <v>11281</v>
      </c>
      <c r="D9242" s="3" t="s">
        <v>6891</v>
      </c>
      <c r="E9242" s="3" t="s">
        <v>13313</v>
      </c>
      <c r="F9242" s="3" t="s">
        <v>13314</v>
      </c>
    </row>
    <row r="9243">
      <c r="A9243" s="3">
        <v>707.0</v>
      </c>
      <c r="B9243" s="3" t="s">
        <v>19423</v>
      </c>
      <c r="C9243" s="3" t="s">
        <v>11281</v>
      </c>
      <c r="D9243" s="3" t="s">
        <v>13315</v>
      </c>
      <c r="E9243" s="3" t="s">
        <v>19726</v>
      </c>
      <c r="F9243" s="3" t="s">
        <v>19727</v>
      </c>
    </row>
    <row r="9244">
      <c r="A9244" s="3">
        <v>708.0</v>
      </c>
      <c r="B9244" s="3" t="s">
        <v>19423</v>
      </c>
      <c r="C9244" s="3" t="s">
        <v>11281</v>
      </c>
      <c r="D9244" s="3" t="s">
        <v>13318</v>
      </c>
      <c r="E9244" s="3" t="s">
        <v>13319</v>
      </c>
      <c r="F9244" s="3" t="s">
        <v>969</v>
      </c>
    </row>
    <row r="9245">
      <c r="A9245" s="3">
        <v>709.0</v>
      </c>
      <c r="B9245" s="3" t="s">
        <v>19423</v>
      </c>
      <c r="C9245" s="3" t="s">
        <v>11281</v>
      </c>
      <c r="D9245" s="3" t="s">
        <v>13320</v>
      </c>
      <c r="E9245" s="3" t="s">
        <v>13321</v>
      </c>
      <c r="F9245" s="3" t="s">
        <v>13322</v>
      </c>
    </row>
    <row r="9246">
      <c r="A9246" s="3">
        <v>710.0</v>
      </c>
      <c r="B9246" s="3" t="s">
        <v>19423</v>
      </c>
      <c r="C9246" s="3" t="s">
        <v>11281</v>
      </c>
      <c r="D9246" s="3" t="s">
        <v>13323</v>
      </c>
      <c r="E9246" s="3" t="s">
        <v>13324</v>
      </c>
      <c r="F9246" s="3" t="s">
        <v>13325</v>
      </c>
    </row>
    <row r="9247">
      <c r="A9247" s="3">
        <v>711.0</v>
      </c>
      <c r="B9247" s="3" t="s">
        <v>19423</v>
      </c>
      <c r="C9247" s="3" t="s">
        <v>11281</v>
      </c>
      <c r="D9247" s="3" t="s">
        <v>13326</v>
      </c>
      <c r="E9247" s="3" t="s">
        <v>13327</v>
      </c>
      <c r="F9247" s="3" t="s">
        <v>13328</v>
      </c>
    </row>
    <row r="9248">
      <c r="A9248" s="3">
        <v>712.0</v>
      </c>
      <c r="B9248" s="3" t="s">
        <v>19423</v>
      </c>
      <c r="C9248" s="3" t="s">
        <v>11281</v>
      </c>
      <c r="D9248" s="3" t="s">
        <v>13329</v>
      </c>
      <c r="E9248" s="3" t="s">
        <v>13330</v>
      </c>
      <c r="F9248" s="3" t="s">
        <v>13331</v>
      </c>
    </row>
    <row r="9249">
      <c r="A9249" s="3">
        <v>713.0</v>
      </c>
      <c r="B9249" s="3" t="s">
        <v>19423</v>
      </c>
      <c r="C9249" s="3" t="s">
        <v>11281</v>
      </c>
      <c r="D9249" s="3" t="s">
        <v>13332</v>
      </c>
      <c r="E9249" s="3" t="s">
        <v>13333</v>
      </c>
      <c r="F9249" s="3" t="s">
        <v>13334</v>
      </c>
    </row>
    <row r="9250">
      <c r="A9250" s="3">
        <v>714.0</v>
      </c>
      <c r="B9250" s="3" t="s">
        <v>19423</v>
      </c>
      <c r="C9250" s="3" t="s">
        <v>11281</v>
      </c>
      <c r="D9250" s="3" t="s">
        <v>13335</v>
      </c>
      <c r="E9250" s="3" t="s">
        <v>13336</v>
      </c>
      <c r="F9250" s="3" t="s">
        <v>13337</v>
      </c>
    </row>
    <row r="9251">
      <c r="A9251" s="3">
        <v>715.0</v>
      </c>
      <c r="B9251" s="3" t="s">
        <v>19423</v>
      </c>
      <c r="C9251" s="3" t="s">
        <v>11281</v>
      </c>
      <c r="D9251" s="3" t="s">
        <v>13338</v>
      </c>
      <c r="E9251" s="3" t="s">
        <v>13339</v>
      </c>
      <c r="F9251" s="3" t="s">
        <v>13340</v>
      </c>
    </row>
    <row r="9252">
      <c r="A9252" s="3">
        <v>716.0</v>
      </c>
      <c r="B9252" s="3" t="s">
        <v>19423</v>
      </c>
      <c r="C9252" s="3" t="s">
        <v>11281</v>
      </c>
      <c r="D9252" s="3" t="s">
        <v>13341</v>
      </c>
      <c r="E9252" s="3" t="s">
        <v>13342</v>
      </c>
      <c r="F9252" s="3" t="s">
        <v>13343</v>
      </c>
    </row>
    <row r="9253">
      <c r="A9253" s="3">
        <v>717.0</v>
      </c>
      <c r="B9253" s="3" t="s">
        <v>19423</v>
      </c>
      <c r="C9253" s="3" t="s">
        <v>11281</v>
      </c>
      <c r="D9253" s="3" t="s">
        <v>13344</v>
      </c>
      <c r="E9253" s="3" t="s">
        <v>13345</v>
      </c>
      <c r="F9253" s="3" t="s">
        <v>13314</v>
      </c>
    </row>
    <row r="9254">
      <c r="A9254" s="3">
        <v>718.0</v>
      </c>
      <c r="B9254" s="3" t="s">
        <v>19423</v>
      </c>
      <c r="C9254" s="3" t="s">
        <v>11281</v>
      </c>
      <c r="D9254" s="3" t="s">
        <v>13346</v>
      </c>
      <c r="E9254" s="3" t="s">
        <v>13347</v>
      </c>
      <c r="F9254" s="3" t="s">
        <v>969</v>
      </c>
      <c r="G9254" s="3"/>
      <c r="H9254" s="3" t="s">
        <v>1049</v>
      </c>
      <c r="I9254" s="3" t="s">
        <v>13348</v>
      </c>
      <c r="J9254" s="3" t="s">
        <v>13349</v>
      </c>
      <c r="K9254" s="3" t="s">
        <v>13350</v>
      </c>
      <c r="L9254" s="3" t="s">
        <v>13351</v>
      </c>
      <c r="M9254" s="3" t="s">
        <v>13352</v>
      </c>
      <c r="N9254" s="3" t="s">
        <v>13353</v>
      </c>
      <c r="O9254" s="3" t="s">
        <v>6933</v>
      </c>
      <c r="P9254" s="3" t="s">
        <v>6291</v>
      </c>
      <c r="Q9254" s="3" t="s">
        <v>6932</v>
      </c>
      <c r="R9254" s="3" t="s">
        <v>13354</v>
      </c>
      <c r="S9254" s="3" t="s">
        <v>13355</v>
      </c>
      <c r="T9254" s="3" t="s">
        <v>1049</v>
      </c>
    </row>
    <row r="9255">
      <c r="A9255" s="3">
        <v>719.0</v>
      </c>
      <c r="B9255" s="3" t="s">
        <v>19423</v>
      </c>
      <c r="C9255" s="3" t="s">
        <v>11281</v>
      </c>
      <c r="D9255" s="3" t="s">
        <v>13356</v>
      </c>
      <c r="E9255" s="3" t="s">
        <v>13357</v>
      </c>
      <c r="F9255" s="3" t="s">
        <v>13314</v>
      </c>
    </row>
    <row r="9256">
      <c r="A9256" s="3">
        <v>720.0</v>
      </c>
      <c r="B9256" s="3" t="s">
        <v>19423</v>
      </c>
      <c r="C9256" s="3" t="s">
        <v>11281</v>
      </c>
      <c r="D9256" s="3" t="s">
        <v>13358</v>
      </c>
      <c r="E9256" s="3" t="s">
        <v>13359</v>
      </c>
      <c r="F9256" s="3" t="s">
        <v>13360</v>
      </c>
    </row>
    <row r="9257">
      <c r="A9257" s="3">
        <v>721.0</v>
      </c>
      <c r="B9257" s="3" t="s">
        <v>19423</v>
      </c>
      <c r="C9257" s="3" t="s">
        <v>11281</v>
      </c>
      <c r="D9257" s="3" t="s">
        <v>13361</v>
      </c>
      <c r="E9257" s="3" t="s">
        <v>13362</v>
      </c>
      <c r="F9257" s="3" t="s">
        <v>13363</v>
      </c>
    </row>
    <row r="9258">
      <c r="A9258" s="3">
        <v>722.0</v>
      </c>
      <c r="B9258" s="3" t="s">
        <v>19423</v>
      </c>
      <c r="C9258" s="3" t="s">
        <v>11281</v>
      </c>
      <c r="D9258" s="3" t="s">
        <v>13364</v>
      </c>
      <c r="E9258" s="3" t="s">
        <v>13365</v>
      </c>
      <c r="F9258" s="3" t="s">
        <v>13366</v>
      </c>
    </row>
    <row r="9259">
      <c r="A9259" s="3">
        <v>723.0</v>
      </c>
      <c r="B9259" s="3" t="s">
        <v>19423</v>
      </c>
      <c r="C9259" s="3" t="s">
        <v>11281</v>
      </c>
      <c r="D9259" s="3" t="s">
        <v>13367</v>
      </c>
      <c r="E9259" s="3" t="s">
        <v>13368</v>
      </c>
      <c r="F9259" s="3" t="s">
        <v>13369</v>
      </c>
    </row>
    <row r="9260">
      <c r="A9260" s="3">
        <v>724.0</v>
      </c>
      <c r="B9260" s="3" t="s">
        <v>19423</v>
      </c>
      <c r="C9260" s="3" t="s">
        <v>11281</v>
      </c>
      <c r="D9260" s="3" t="s">
        <v>13370</v>
      </c>
      <c r="E9260" s="3" t="s">
        <v>13371</v>
      </c>
      <c r="F9260" s="3" t="s">
        <v>13372</v>
      </c>
    </row>
    <row r="9261">
      <c r="A9261" s="3">
        <v>725.0</v>
      </c>
      <c r="B9261" s="3" t="s">
        <v>19423</v>
      </c>
      <c r="C9261" s="3" t="s">
        <v>11281</v>
      </c>
      <c r="D9261" s="3" t="s">
        <v>13373</v>
      </c>
      <c r="E9261" s="3" t="s">
        <v>13374</v>
      </c>
      <c r="F9261" s="3" t="s">
        <v>13375</v>
      </c>
    </row>
    <row r="9262">
      <c r="A9262" s="3">
        <v>726.0</v>
      </c>
      <c r="B9262" s="3" t="s">
        <v>19423</v>
      </c>
      <c r="C9262" s="3" t="s">
        <v>11281</v>
      </c>
      <c r="D9262" s="3" t="s">
        <v>1072</v>
      </c>
      <c r="E9262" s="3" t="s">
        <v>1073</v>
      </c>
      <c r="F9262" s="3" t="s">
        <v>1074</v>
      </c>
      <c r="G9262" s="3"/>
      <c r="H9262" s="3" t="s">
        <v>13376</v>
      </c>
      <c r="I9262" s="3" t="s">
        <v>13377</v>
      </c>
      <c r="J9262" s="3" t="s">
        <v>2943</v>
      </c>
      <c r="K9262" s="3" t="s">
        <v>13378</v>
      </c>
      <c r="L9262" s="3" t="s">
        <v>13379</v>
      </c>
      <c r="M9262" s="3" t="s">
        <v>13380</v>
      </c>
      <c r="N9262" s="3" t="s">
        <v>13381</v>
      </c>
      <c r="O9262" s="3" t="s">
        <v>13382</v>
      </c>
    </row>
    <row r="9263">
      <c r="A9263" s="3">
        <v>727.0</v>
      </c>
      <c r="B9263" s="3" t="s">
        <v>19423</v>
      </c>
      <c r="C9263" s="3" t="s">
        <v>11281</v>
      </c>
      <c r="D9263" s="3" t="s">
        <v>6899</v>
      </c>
      <c r="E9263" s="3" t="s">
        <v>1078</v>
      </c>
      <c r="F9263" s="3" t="s">
        <v>1079</v>
      </c>
      <c r="G9263" s="3"/>
      <c r="H9263" s="3" t="s">
        <v>13383</v>
      </c>
      <c r="I9263" s="3" t="s">
        <v>13384</v>
      </c>
    </row>
    <row r="9264">
      <c r="A9264" s="3">
        <v>728.0</v>
      </c>
      <c r="B9264" s="3" t="s">
        <v>19423</v>
      </c>
      <c r="C9264" s="3" t="s">
        <v>11281</v>
      </c>
      <c r="D9264" s="3" t="s">
        <v>13385</v>
      </c>
      <c r="E9264" s="3" t="s">
        <v>13386</v>
      </c>
      <c r="F9264" s="3" t="s">
        <v>13387</v>
      </c>
    </row>
    <row r="9265">
      <c r="A9265" s="3">
        <v>729.0</v>
      </c>
      <c r="B9265" s="3" t="s">
        <v>19423</v>
      </c>
      <c r="C9265" s="3" t="s">
        <v>11281</v>
      </c>
      <c r="D9265" s="3" t="s">
        <v>13388</v>
      </c>
      <c r="E9265" s="3" t="s">
        <v>13389</v>
      </c>
      <c r="F9265" s="3" t="s">
        <v>13390</v>
      </c>
    </row>
    <row r="9266">
      <c r="A9266" s="3">
        <v>730.0</v>
      </c>
      <c r="B9266" s="3" t="s">
        <v>19423</v>
      </c>
      <c r="C9266" s="3" t="s">
        <v>11281</v>
      </c>
      <c r="D9266" s="3" t="s">
        <v>13391</v>
      </c>
      <c r="E9266" s="3" t="s">
        <v>13392</v>
      </c>
      <c r="F9266" s="3" t="s">
        <v>13393</v>
      </c>
    </row>
    <row r="9267">
      <c r="A9267" s="3">
        <v>731.0</v>
      </c>
      <c r="B9267" s="3" t="s">
        <v>19423</v>
      </c>
      <c r="C9267" s="3" t="s">
        <v>11281</v>
      </c>
      <c r="D9267" s="3" t="s">
        <v>13394</v>
      </c>
      <c r="E9267" s="3" t="s">
        <v>13395</v>
      </c>
      <c r="F9267" s="3" t="s">
        <v>13396</v>
      </c>
    </row>
    <row r="9268">
      <c r="A9268" s="3">
        <v>732.0</v>
      </c>
      <c r="B9268" s="3" t="s">
        <v>19423</v>
      </c>
      <c r="C9268" s="3" t="s">
        <v>11281</v>
      </c>
      <c r="D9268" s="3" t="s">
        <v>13397</v>
      </c>
      <c r="E9268" s="3" t="s">
        <v>13398</v>
      </c>
      <c r="F9268" s="3" t="s">
        <v>13399</v>
      </c>
    </row>
    <row r="9269">
      <c r="A9269" s="3">
        <v>733.0</v>
      </c>
      <c r="B9269" s="3" t="s">
        <v>19423</v>
      </c>
      <c r="C9269" s="3" t="s">
        <v>11281</v>
      </c>
      <c r="D9269" s="3" t="s">
        <v>13400</v>
      </c>
      <c r="E9269" s="3" t="s">
        <v>13401</v>
      </c>
      <c r="F9269" s="3" t="s">
        <v>13402</v>
      </c>
    </row>
    <row r="9270">
      <c r="A9270" s="3">
        <v>734.0</v>
      </c>
      <c r="B9270" s="3" t="s">
        <v>19423</v>
      </c>
      <c r="C9270" s="3" t="s">
        <v>11281</v>
      </c>
      <c r="D9270" s="3" t="s">
        <v>13403</v>
      </c>
      <c r="E9270" s="3" t="s">
        <v>13404</v>
      </c>
      <c r="F9270" s="3" t="s">
        <v>13405</v>
      </c>
    </row>
    <row r="9271">
      <c r="A9271" s="3">
        <v>735.0</v>
      </c>
      <c r="B9271" s="3" t="s">
        <v>19423</v>
      </c>
      <c r="C9271" s="3" t="s">
        <v>11281</v>
      </c>
      <c r="D9271" s="3" t="s">
        <v>13406</v>
      </c>
      <c r="E9271" s="3" t="s">
        <v>13407</v>
      </c>
      <c r="F9271" s="3" t="s">
        <v>13408</v>
      </c>
      <c r="G9271" s="3"/>
      <c r="H9271" s="3" t="s">
        <v>8040</v>
      </c>
    </row>
    <row r="9272">
      <c r="A9272" s="3">
        <v>736.0</v>
      </c>
      <c r="B9272" s="3" t="s">
        <v>19423</v>
      </c>
      <c r="C9272" s="3" t="s">
        <v>11281</v>
      </c>
      <c r="D9272" s="3" t="s">
        <v>13409</v>
      </c>
      <c r="E9272" s="3" t="s">
        <v>13410</v>
      </c>
      <c r="F9272" s="3" t="s">
        <v>13411</v>
      </c>
    </row>
    <row r="9273">
      <c r="A9273" s="3">
        <v>737.0</v>
      </c>
      <c r="B9273" s="3" t="s">
        <v>19423</v>
      </c>
      <c r="C9273" s="3" t="s">
        <v>11281</v>
      </c>
      <c r="D9273" s="3" t="s">
        <v>13412</v>
      </c>
      <c r="E9273" s="3" t="s">
        <v>13413</v>
      </c>
      <c r="F9273" s="3" t="s">
        <v>13414</v>
      </c>
      <c r="G9273" s="3"/>
      <c r="H9273" s="3" t="s">
        <v>13415</v>
      </c>
      <c r="I9273" s="3" t="s">
        <v>13416</v>
      </c>
      <c r="J9273" s="3" t="s">
        <v>13417</v>
      </c>
      <c r="K9273" s="3" t="s">
        <v>13418</v>
      </c>
      <c r="L9273" s="3" t="s">
        <v>13419</v>
      </c>
      <c r="M9273" s="3" t="s">
        <v>13420</v>
      </c>
    </row>
    <row r="9274">
      <c r="A9274" s="3">
        <v>738.0</v>
      </c>
      <c r="B9274" s="3" t="s">
        <v>19423</v>
      </c>
      <c r="C9274" s="3" t="s">
        <v>11281</v>
      </c>
      <c r="D9274" s="3" t="s">
        <v>13421</v>
      </c>
      <c r="E9274" s="3" t="s">
        <v>13422</v>
      </c>
      <c r="F9274" s="3" t="s">
        <v>13423</v>
      </c>
    </row>
    <row r="9275">
      <c r="A9275" s="3">
        <v>739.0</v>
      </c>
      <c r="B9275" s="3" t="s">
        <v>19423</v>
      </c>
      <c r="C9275" s="3" t="s">
        <v>11281</v>
      </c>
      <c r="D9275" s="3" t="s">
        <v>13424</v>
      </c>
      <c r="E9275" s="3" t="s">
        <v>13425</v>
      </c>
      <c r="F9275" s="3" t="s">
        <v>13426</v>
      </c>
    </row>
    <row r="9276">
      <c r="A9276" s="3">
        <v>740.0</v>
      </c>
      <c r="B9276" s="3" t="s">
        <v>19423</v>
      </c>
      <c r="C9276" s="3" t="s">
        <v>11281</v>
      </c>
      <c r="D9276" s="3" t="s">
        <v>13427</v>
      </c>
      <c r="E9276" s="3" t="s">
        <v>13428</v>
      </c>
      <c r="F9276" s="3" t="s">
        <v>13429</v>
      </c>
    </row>
    <row r="9277">
      <c r="A9277" s="3">
        <v>741.0</v>
      </c>
      <c r="B9277" s="3" t="s">
        <v>19423</v>
      </c>
      <c r="C9277" s="3" t="s">
        <v>11281</v>
      </c>
      <c r="D9277" s="3" t="s">
        <v>6901</v>
      </c>
      <c r="E9277" s="3" t="s">
        <v>1093</v>
      </c>
      <c r="F9277" s="3" t="s">
        <v>1094</v>
      </c>
    </row>
    <row r="9278">
      <c r="A9278" s="3">
        <v>742.0</v>
      </c>
      <c r="B9278" s="3" t="s">
        <v>19423</v>
      </c>
      <c r="C9278" s="3" t="s">
        <v>11281</v>
      </c>
      <c r="D9278" s="3" t="s">
        <v>13430</v>
      </c>
      <c r="E9278" s="3" t="s">
        <v>13431</v>
      </c>
      <c r="F9278" s="3" t="s">
        <v>13432</v>
      </c>
    </row>
    <row r="9279">
      <c r="A9279" s="3">
        <v>743.0</v>
      </c>
      <c r="B9279" s="3" t="s">
        <v>19423</v>
      </c>
      <c r="C9279" s="3" t="s">
        <v>11281</v>
      </c>
      <c r="D9279" s="3" t="s">
        <v>13433</v>
      </c>
      <c r="E9279" s="3" t="s">
        <v>13434</v>
      </c>
      <c r="F9279" s="3" t="s">
        <v>13435</v>
      </c>
    </row>
    <row r="9280">
      <c r="A9280" s="3">
        <v>744.0</v>
      </c>
      <c r="B9280" s="3" t="s">
        <v>19423</v>
      </c>
      <c r="C9280" s="3" t="s">
        <v>11281</v>
      </c>
      <c r="D9280" s="3" t="s">
        <v>13436</v>
      </c>
      <c r="E9280" s="3" t="s">
        <v>13437</v>
      </c>
      <c r="F9280" s="3" t="s">
        <v>13438</v>
      </c>
      <c r="G9280" s="3"/>
      <c r="H9280" s="3" t="s">
        <v>13439</v>
      </c>
      <c r="I9280" s="3" t="s">
        <v>13436</v>
      </c>
    </row>
    <row r="9281">
      <c r="A9281" s="3">
        <v>745.0</v>
      </c>
      <c r="B9281" s="3" t="s">
        <v>19423</v>
      </c>
      <c r="C9281" s="3" t="s">
        <v>11281</v>
      </c>
      <c r="D9281" s="3" t="s">
        <v>13440</v>
      </c>
      <c r="E9281" s="3" t="s">
        <v>13441</v>
      </c>
      <c r="F9281" s="3" t="s">
        <v>13442</v>
      </c>
    </row>
    <row r="9282">
      <c r="A9282" s="3">
        <v>746.0</v>
      </c>
      <c r="B9282" s="3" t="s">
        <v>19423</v>
      </c>
      <c r="C9282" s="3" t="s">
        <v>11281</v>
      </c>
      <c r="D9282" s="3" t="s">
        <v>13443</v>
      </c>
      <c r="E9282" s="3" t="s">
        <v>13444</v>
      </c>
      <c r="F9282" s="3" t="s">
        <v>13445</v>
      </c>
    </row>
    <row r="9283">
      <c r="A9283" s="3">
        <v>747.0</v>
      </c>
      <c r="B9283" s="3" t="s">
        <v>19423</v>
      </c>
      <c r="C9283" s="3" t="s">
        <v>11281</v>
      </c>
      <c r="D9283" s="3" t="s">
        <v>13446</v>
      </c>
      <c r="E9283" s="3" t="s">
        <v>13447</v>
      </c>
      <c r="F9283" s="3" t="s">
        <v>13448</v>
      </c>
    </row>
    <row r="9284">
      <c r="A9284" s="3">
        <v>748.0</v>
      </c>
      <c r="B9284" s="3" t="s">
        <v>19423</v>
      </c>
      <c r="C9284" s="3" t="s">
        <v>11281</v>
      </c>
      <c r="D9284" s="3" t="s">
        <v>13449</v>
      </c>
      <c r="E9284" s="3" t="s">
        <v>13450</v>
      </c>
      <c r="F9284" s="3" t="s">
        <v>13451</v>
      </c>
    </row>
    <row r="9285">
      <c r="A9285" s="3">
        <v>749.0</v>
      </c>
      <c r="B9285" s="3" t="s">
        <v>19423</v>
      </c>
      <c r="C9285" s="3" t="s">
        <v>11281</v>
      </c>
      <c r="D9285" s="3" t="s">
        <v>13452</v>
      </c>
      <c r="E9285" s="3" t="s">
        <v>6905</v>
      </c>
      <c r="F9285" s="3" t="s">
        <v>1120</v>
      </c>
    </row>
    <row r="9286">
      <c r="A9286" s="3">
        <v>750.0</v>
      </c>
      <c r="B9286" s="3" t="s">
        <v>19423</v>
      </c>
      <c r="C9286" s="3" t="s">
        <v>11281</v>
      </c>
      <c r="D9286" s="3" t="s">
        <v>13453</v>
      </c>
      <c r="E9286" s="3" t="s">
        <v>6908</v>
      </c>
      <c r="F9286" s="3" t="s">
        <v>1129</v>
      </c>
    </row>
    <row r="9287">
      <c r="A9287" s="3">
        <v>751.0</v>
      </c>
      <c r="B9287" s="3" t="s">
        <v>19423</v>
      </c>
      <c r="C9287" s="3" t="s">
        <v>11281</v>
      </c>
      <c r="D9287" s="3" t="s">
        <v>13454</v>
      </c>
      <c r="E9287" s="3" t="s">
        <v>19728</v>
      </c>
      <c r="F9287" s="3" t="s">
        <v>19729</v>
      </c>
      <c r="G9287" s="3"/>
      <c r="H9287" s="3" t="s">
        <v>13457</v>
      </c>
    </row>
    <row r="9288">
      <c r="A9288" s="3">
        <v>752.0</v>
      </c>
      <c r="B9288" s="3" t="s">
        <v>19423</v>
      </c>
      <c r="C9288" s="3" t="s">
        <v>11281</v>
      </c>
      <c r="D9288" s="3" t="s">
        <v>13458</v>
      </c>
      <c r="E9288" s="3" t="s">
        <v>19730</v>
      </c>
      <c r="F9288" s="3" t="s">
        <v>19731</v>
      </c>
    </row>
    <row r="9289">
      <c r="A9289" s="3">
        <v>753.0</v>
      </c>
      <c r="B9289" s="3" t="s">
        <v>19423</v>
      </c>
      <c r="C9289" s="3" t="s">
        <v>11281</v>
      </c>
      <c r="D9289" s="3" t="s">
        <v>13461</v>
      </c>
      <c r="E9289" s="3" t="s">
        <v>13462</v>
      </c>
      <c r="F9289" s="3" t="s">
        <v>13463</v>
      </c>
    </row>
    <row r="9290">
      <c r="A9290" s="3">
        <v>754.0</v>
      </c>
      <c r="B9290" s="3" t="s">
        <v>19423</v>
      </c>
      <c r="C9290" s="3" t="s">
        <v>11281</v>
      </c>
      <c r="D9290" s="3" t="s">
        <v>13464</v>
      </c>
      <c r="E9290" s="3" t="s">
        <v>13465</v>
      </c>
      <c r="F9290" s="3" t="s">
        <v>13466</v>
      </c>
    </row>
    <row r="9291">
      <c r="A9291" s="3">
        <v>755.0</v>
      </c>
      <c r="B9291" s="3" t="s">
        <v>19423</v>
      </c>
      <c r="C9291" s="3" t="s">
        <v>11281</v>
      </c>
      <c r="D9291" s="3" t="s">
        <v>13467</v>
      </c>
      <c r="E9291" s="3" t="s">
        <v>13468</v>
      </c>
      <c r="F9291" s="3" t="s">
        <v>13469</v>
      </c>
      <c r="G9291" s="3"/>
      <c r="H9291" s="3" t="s">
        <v>13470</v>
      </c>
      <c r="I9291" s="3" t="s">
        <v>13471</v>
      </c>
      <c r="J9291" s="3" t="s">
        <v>13472</v>
      </c>
      <c r="K9291" s="3" t="s">
        <v>13473</v>
      </c>
      <c r="L9291" s="3" t="s">
        <v>13474</v>
      </c>
      <c r="M9291" s="3" t="s">
        <v>13475</v>
      </c>
      <c r="N9291" s="3" t="s">
        <v>13476</v>
      </c>
      <c r="O9291" s="3" t="s">
        <v>13477</v>
      </c>
      <c r="P9291" s="3" t="s">
        <v>13478</v>
      </c>
    </row>
    <row r="9292">
      <c r="A9292" s="3">
        <v>756.0</v>
      </c>
      <c r="B9292" s="3" t="s">
        <v>19423</v>
      </c>
      <c r="C9292" s="3" t="s">
        <v>11281</v>
      </c>
      <c r="D9292" s="3" t="s">
        <v>13479</v>
      </c>
      <c r="E9292" s="3" t="s">
        <v>13480</v>
      </c>
      <c r="F9292" s="3" t="s">
        <v>13481</v>
      </c>
    </row>
    <row r="9293">
      <c r="A9293" s="3">
        <v>757.0</v>
      </c>
      <c r="B9293" s="3" t="s">
        <v>19423</v>
      </c>
      <c r="C9293" s="3" t="s">
        <v>11281</v>
      </c>
      <c r="D9293" s="3" t="s">
        <v>13482</v>
      </c>
      <c r="E9293" s="3" t="s">
        <v>13483</v>
      </c>
      <c r="F9293" s="3" t="s">
        <v>13484</v>
      </c>
    </row>
    <row r="9294">
      <c r="A9294" s="3">
        <v>758.0</v>
      </c>
      <c r="B9294" s="3" t="s">
        <v>19423</v>
      </c>
      <c r="C9294" s="3" t="s">
        <v>11281</v>
      </c>
      <c r="D9294" s="3" t="s">
        <v>13485</v>
      </c>
      <c r="E9294" s="3" t="s">
        <v>13486</v>
      </c>
      <c r="F9294" s="3" t="s">
        <v>13487</v>
      </c>
    </row>
    <row r="9295">
      <c r="A9295" s="3">
        <v>759.0</v>
      </c>
      <c r="B9295" s="3" t="s">
        <v>19423</v>
      </c>
      <c r="C9295" s="3" t="s">
        <v>11281</v>
      </c>
      <c r="D9295" s="3" t="s">
        <v>13488</v>
      </c>
      <c r="E9295" s="3" t="s">
        <v>13489</v>
      </c>
      <c r="F9295" s="3" t="s">
        <v>13490</v>
      </c>
    </row>
    <row r="9296">
      <c r="A9296" s="3">
        <v>760.0</v>
      </c>
      <c r="B9296" s="3" t="s">
        <v>19423</v>
      </c>
      <c r="C9296" s="3" t="s">
        <v>11281</v>
      </c>
      <c r="D9296" s="3" t="s">
        <v>13491</v>
      </c>
      <c r="E9296" s="3" t="s">
        <v>19732</v>
      </c>
      <c r="F9296" s="3" t="s">
        <v>19733</v>
      </c>
    </row>
    <row r="9297">
      <c r="A9297" s="3">
        <v>761.0</v>
      </c>
      <c r="B9297" s="3" t="s">
        <v>19423</v>
      </c>
      <c r="C9297" s="3" t="s">
        <v>11281</v>
      </c>
      <c r="D9297" s="3" t="s">
        <v>13494</v>
      </c>
      <c r="E9297" s="3" t="s">
        <v>19734</v>
      </c>
      <c r="F9297" s="3" t="s">
        <v>19735</v>
      </c>
    </row>
    <row r="9298">
      <c r="A9298" s="3">
        <v>762.0</v>
      </c>
      <c r="B9298" s="3" t="s">
        <v>19423</v>
      </c>
      <c r="C9298" s="3" t="s">
        <v>11281</v>
      </c>
      <c r="D9298" s="3" t="s">
        <v>13497</v>
      </c>
      <c r="E9298" s="3" t="s">
        <v>13498</v>
      </c>
      <c r="F9298" s="3" t="s">
        <v>13499</v>
      </c>
    </row>
    <row r="9299">
      <c r="A9299" s="3">
        <v>763.0</v>
      </c>
      <c r="B9299" s="3" t="s">
        <v>19423</v>
      </c>
      <c r="C9299" s="3" t="s">
        <v>11281</v>
      </c>
      <c r="D9299" s="3" t="s">
        <v>13500</v>
      </c>
      <c r="E9299" s="3" t="s">
        <v>13501</v>
      </c>
      <c r="F9299" s="3" t="s">
        <v>13502</v>
      </c>
    </row>
    <row r="9300">
      <c r="A9300" s="3">
        <v>764.0</v>
      </c>
      <c r="B9300" s="3" t="s">
        <v>19423</v>
      </c>
      <c r="C9300" s="3" t="s">
        <v>11281</v>
      </c>
      <c r="D9300" s="3" t="s">
        <v>6911</v>
      </c>
      <c r="E9300" s="3" t="s">
        <v>1139</v>
      </c>
      <c r="F9300" s="3" t="s">
        <v>1140</v>
      </c>
      <c r="G9300" s="3"/>
      <c r="H9300" s="3" t="s">
        <v>2037</v>
      </c>
    </row>
    <row r="9301">
      <c r="A9301" s="3">
        <v>765.0</v>
      </c>
      <c r="B9301" s="3" t="s">
        <v>19423</v>
      </c>
      <c r="C9301" s="3" t="s">
        <v>11281</v>
      </c>
      <c r="D9301" s="3" t="s">
        <v>13503</v>
      </c>
      <c r="E9301" s="3" t="s">
        <v>13504</v>
      </c>
      <c r="F9301" s="3" t="s">
        <v>13505</v>
      </c>
    </row>
    <row r="9302">
      <c r="A9302" s="3">
        <v>766.0</v>
      </c>
      <c r="B9302" s="3" t="s">
        <v>19423</v>
      </c>
      <c r="C9302" s="3" t="s">
        <v>11281</v>
      </c>
      <c r="D9302" s="3" t="s">
        <v>13506</v>
      </c>
      <c r="E9302" s="3" t="s">
        <v>13507</v>
      </c>
      <c r="F9302" s="3" t="s">
        <v>13508</v>
      </c>
    </row>
    <row r="9303">
      <c r="A9303" s="3">
        <v>767.0</v>
      </c>
      <c r="B9303" s="3" t="s">
        <v>19423</v>
      </c>
      <c r="C9303" s="3" t="s">
        <v>11281</v>
      </c>
      <c r="D9303" s="3" t="s">
        <v>6912</v>
      </c>
      <c r="E9303" s="3" t="s">
        <v>1148</v>
      </c>
      <c r="F9303" s="3" t="s">
        <v>1149</v>
      </c>
    </row>
    <row r="9304">
      <c r="A9304" s="3">
        <v>768.0</v>
      </c>
      <c r="B9304" s="3" t="s">
        <v>19423</v>
      </c>
      <c r="C9304" s="3" t="s">
        <v>11281</v>
      </c>
      <c r="D9304" s="3" t="s">
        <v>13509</v>
      </c>
      <c r="E9304" s="3" t="s">
        <v>19736</v>
      </c>
      <c r="F9304" s="3" t="s">
        <v>19737</v>
      </c>
    </row>
    <row r="9305">
      <c r="A9305" s="3">
        <v>769.0</v>
      </c>
      <c r="B9305" s="3" t="s">
        <v>19423</v>
      </c>
      <c r="C9305" s="3" t="s">
        <v>11281</v>
      </c>
      <c r="D9305" s="3" t="s">
        <v>13512</v>
      </c>
      <c r="E9305" s="3" t="s">
        <v>19738</v>
      </c>
      <c r="F9305" s="3" t="s">
        <v>19739</v>
      </c>
    </row>
    <row r="9306">
      <c r="A9306" s="3">
        <v>770.0</v>
      </c>
      <c r="B9306" s="3" t="s">
        <v>19423</v>
      </c>
      <c r="C9306" s="3" t="s">
        <v>11281</v>
      </c>
      <c r="D9306" s="3" t="s">
        <v>13515</v>
      </c>
      <c r="E9306" s="3" t="s">
        <v>13516</v>
      </c>
      <c r="F9306" s="3" t="s">
        <v>13517</v>
      </c>
    </row>
    <row r="9307">
      <c r="A9307" s="3">
        <v>771.0</v>
      </c>
      <c r="B9307" s="3" t="s">
        <v>19423</v>
      </c>
      <c r="C9307" s="3" t="s">
        <v>11281</v>
      </c>
      <c r="D9307" s="3" t="s">
        <v>13518</v>
      </c>
      <c r="E9307" s="3" t="s">
        <v>13519</v>
      </c>
      <c r="F9307" s="3" t="s">
        <v>13520</v>
      </c>
    </row>
    <row r="9308">
      <c r="A9308" s="3">
        <v>772.0</v>
      </c>
      <c r="B9308" s="3" t="s">
        <v>19423</v>
      </c>
      <c r="C9308" s="3" t="s">
        <v>11281</v>
      </c>
      <c r="D9308" s="3" t="s">
        <v>13521</v>
      </c>
      <c r="E9308" s="3" t="s">
        <v>13522</v>
      </c>
      <c r="F9308" s="3" t="s">
        <v>13523</v>
      </c>
    </row>
    <row r="9309">
      <c r="A9309" s="3">
        <v>773.0</v>
      </c>
      <c r="B9309" s="3" t="s">
        <v>19423</v>
      </c>
      <c r="C9309" s="3" t="s">
        <v>11281</v>
      </c>
      <c r="D9309" s="3" t="s">
        <v>13524</v>
      </c>
      <c r="E9309" s="3" t="s">
        <v>13525</v>
      </c>
      <c r="F9309" s="3" t="s">
        <v>13526</v>
      </c>
    </row>
    <row r="9310">
      <c r="A9310" s="3">
        <v>774.0</v>
      </c>
      <c r="B9310" s="3" t="s">
        <v>19423</v>
      </c>
      <c r="C9310" s="3" t="s">
        <v>11281</v>
      </c>
      <c r="D9310" s="3" t="s">
        <v>13527</v>
      </c>
      <c r="E9310" s="3" t="s">
        <v>13528</v>
      </c>
      <c r="F9310" s="3" t="s">
        <v>13529</v>
      </c>
      <c r="G9310" s="3"/>
      <c r="H9310" s="3" t="s">
        <v>13530</v>
      </c>
      <c r="I9310" s="3" t="s">
        <v>13531</v>
      </c>
      <c r="J9310" s="3" t="s">
        <v>13530</v>
      </c>
      <c r="K9310" s="3" t="s">
        <v>13532</v>
      </c>
      <c r="L9310" s="3" t="s">
        <v>13530</v>
      </c>
    </row>
    <row r="9311">
      <c r="A9311" s="3">
        <v>775.0</v>
      </c>
      <c r="B9311" s="3" t="s">
        <v>19423</v>
      </c>
      <c r="C9311" s="3" t="s">
        <v>11281</v>
      </c>
      <c r="D9311" s="3" t="s">
        <v>13533</v>
      </c>
      <c r="E9311" s="3" t="s">
        <v>13534</v>
      </c>
      <c r="F9311" s="3" t="s">
        <v>13535</v>
      </c>
    </row>
    <row r="9312">
      <c r="A9312" s="3">
        <v>776.0</v>
      </c>
      <c r="B9312" s="3" t="s">
        <v>19423</v>
      </c>
      <c r="C9312" s="3" t="s">
        <v>11281</v>
      </c>
      <c r="D9312" s="3" t="s">
        <v>13536</v>
      </c>
      <c r="E9312" s="3" t="s">
        <v>13537</v>
      </c>
      <c r="F9312" s="3" t="s">
        <v>13538</v>
      </c>
    </row>
    <row r="9313">
      <c r="A9313" s="3">
        <v>777.0</v>
      </c>
      <c r="B9313" s="3" t="s">
        <v>19423</v>
      </c>
      <c r="C9313" s="3" t="s">
        <v>11281</v>
      </c>
      <c r="D9313" s="3" t="s">
        <v>13539</v>
      </c>
      <c r="E9313" s="3" t="s">
        <v>13540</v>
      </c>
      <c r="F9313" s="3" t="s">
        <v>13541</v>
      </c>
    </row>
    <row r="9314">
      <c r="A9314" s="3">
        <v>778.0</v>
      </c>
      <c r="B9314" s="3" t="s">
        <v>19423</v>
      </c>
      <c r="C9314" s="3" t="s">
        <v>11281</v>
      </c>
      <c r="D9314" s="3" t="s">
        <v>13542</v>
      </c>
      <c r="E9314" s="3" t="s">
        <v>13543</v>
      </c>
      <c r="F9314" s="3" t="s">
        <v>13544</v>
      </c>
    </row>
    <row r="9315">
      <c r="A9315" s="3">
        <v>779.0</v>
      </c>
      <c r="B9315" s="3" t="s">
        <v>19423</v>
      </c>
      <c r="C9315" s="3" t="s">
        <v>11281</v>
      </c>
      <c r="D9315" s="3" t="s">
        <v>13545</v>
      </c>
      <c r="E9315" s="3" t="s">
        <v>13546</v>
      </c>
      <c r="F9315" s="3" t="s">
        <v>13547</v>
      </c>
      <c r="G9315" s="3"/>
      <c r="H9315" s="3" t="s">
        <v>13548</v>
      </c>
      <c r="I9315" s="3" t="s">
        <v>13549</v>
      </c>
      <c r="J9315" s="3" t="s">
        <v>13532</v>
      </c>
      <c r="K9315" s="3" t="s">
        <v>13550</v>
      </c>
    </row>
    <row r="9316">
      <c r="A9316" s="3">
        <v>780.0</v>
      </c>
      <c r="B9316" s="3" t="s">
        <v>19423</v>
      </c>
      <c r="C9316" s="3" t="s">
        <v>11281</v>
      </c>
      <c r="D9316" s="3" t="s">
        <v>13551</v>
      </c>
      <c r="E9316" s="3" t="s">
        <v>13552</v>
      </c>
      <c r="F9316" s="3" t="s">
        <v>13553</v>
      </c>
    </row>
    <row r="9317">
      <c r="A9317" s="3">
        <v>781.0</v>
      </c>
      <c r="B9317" s="3" t="s">
        <v>19423</v>
      </c>
      <c r="C9317" s="3" t="s">
        <v>11281</v>
      </c>
      <c r="D9317" s="3" t="s">
        <v>13554</v>
      </c>
      <c r="E9317" s="3" t="s">
        <v>13555</v>
      </c>
      <c r="F9317" s="3" t="s">
        <v>13556</v>
      </c>
      <c r="G9317" s="3"/>
      <c r="H9317" s="3" t="s">
        <v>13557</v>
      </c>
    </row>
    <row r="9318">
      <c r="A9318" s="3">
        <v>782.0</v>
      </c>
      <c r="B9318" s="3" t="s">
        <v>19423</v>
      </c>
      <c r="C9318" s="3" t="s">
        <v>11281</v>
      </c>
      <c r="D9318" s="3" t="s">
        <v>13558</v>
      </c>
      <c r="E9318" s="3" t="s">
        <v>13559</v>
      </c>
      <c r="F9318" s="3" t="s">
        <v>13560</v>
      </c>
    </row>
    <row r="9319">
      <c r="A9319" s="3">
        <v>783.0</v>
      </c>
      <c r="B9319" s="3" t="s">
        <v>19423</v>
      </c>
      <c r="C9319" s="3" t="s">
        <v>11281</v>
      </c>
      <c r="D9319" s="3" t="s">
        <v>13561</v>
      </c>
      <c r="E9319" s="3" t="s">
        <v>13562</v>
      </c>
      <c r="F9319" s="3" t="s">
        <v>13563</v>
      </c>
    </row>
    <row r="9320">
      <c r="A9320" s="3">
        <v>784.0</v>
      </c>
      <c r="B9320" s="3" t="s">
        <v>19423</v>
      </c>
      <c r="C9320" s="3" t="s">
        <v>11281</v>
      </c>
      <c r="D9320" s="3" t="s">
        <v>13564</v>
      </c>
      <c r="E9320" s="3" t="s">
        <v>13565</v>
      </c>
      <c r="F9320" s="3" t="s">
        <v>13566</v>
      </c>
    </row>
    <row r="9321">
      <c r="A9321" s="3">
        <v>785.0</v>
      </c>
      <c r="B9321" s="3" t="s">
        <v>19423</v>
      </c>
      <c r="C9321" s="3" t="s">
        <v>11281</v>
      </c>
      <c r="D9321" s="3" t="s">
        <v>13567</v>
      </c>
      <c r="E9321" s="3" t="s">
        <v>19740</v>
      </c>
      <c r="F9321" s="3" t="s">
        <v>19741</v>
      </c>
    </row>
    <row r="9322">
      <c r="A9322" s="3">
        <v>786.0</v>
      </c>
      <c r="B9322" s="3" t="s">
        <v>19423</v>
      </c>
      <c r="C9322" s="3" t="s">
        <v>11281</v>
      </c>
      <c r="D9322" s="3" t="s">
        <v>13570</v>
      </c>
      <c r="E9322" s="3" t="s">
        <v>19742</v>
      </c>
      <c r="F9322" s="3" t="s">
        <v>19743</v>
      </c>
    </row>
    <row r="9323">
      <c r="A9323" s="3">
        <v>787.0</v>
      </c>
      <c r="B9323" s="3" t="s">
        <v>19423</v>
      </c>
      <c r="C9323" s="3" t="s">
        <v>11281</v>
      </c>
      <c r="D9323" s="3" t="s">
        <v>13573</v>
      </c>
      <c r="E9323" s="3" t="s">
        <v>1204</v>
      </c>
      <c r="F9323" s="3" t="s">
        <v>1205</v>
      </c>
      <c r="G9323" s="3"/>
      <c r="H9323" s="3" t="s">
        <v>264</v>
      </c>
      <c r="I9323" s="3" t="s">
        <v>13574</v>
      </c>
      <c r="J9323" s="3" t="s">
        <v>13575</v>
      </c>
    </row>
    <row r="9324">
      <c r="A9324" s="3">
        <v>788.0</v>
      </c>
      <c r="B9324" s="3" t="s">
        <v>19423</v>
      </c>
      <c r="C9324" s="3" t="s">
        <v>11281</v>
      </c>
      <c r="D9324" s="3" t="s">
        <v>6914</v>
      </c>
      <c r="E9324" s="3" t="s">
        <v>1162</v>
      </c>
      <c r="F9324" s="3" t="s">
        <v>1163</v>
      </c>
      <c r="G9324" s="3"/>
      <c r="H9324" s="3" t="s">
        <v>13576</v>
      </c>
      <c r="I9324" s="3" t="s">
        <v>13577</v>
      </c>
    </row>
    <row r="9325">
      <c r="A9325" s="3">
        <v>789.0</v>
      </c>
      <c r="B9325" s="3" t="s">
        <v>19423</v>
      </c>
      <c r="C9325" s="3" t="s">
        <v>11281</v>
      </c>
      <c r="D9325" s="3" t="s">
        <v>1180</v>
      </c>
      <c r="E9325" s="3" t="s">
        <v>1181</v>
      </c>
      <c r="F9325" s="3" t="s">
        <v>1182</v>
      </c>
      <c r="G9325" s="3"/>
      <c r="H9325" s="3" t="s">
        <v>1180</v>
      </c>
      <c r="I9325" s="3" t="s">
        <v>1187</v>
      </c>
      <c r="J9325" s="3" t="s">
        <v>1495</v>
      </c>
      <c r="K9325" s="3" t="s">
        <v>1496</v>
      </c>
      <c r="L9325" s="3" t="s">
        <v>13578</v>
      </c>
      <c r="M9325" s="3" t="s">
        <v>1185</v>
      </c>
      <c r="N9325" s="3" t="s">
        <v>13579</v>
      </c>
      <c r="O9325" s="3" t="s">
        <v>13580</v>
      </c>
      <c r="P9325" s="3" t="s">
        <v>13581</v>
      </c>
      <c r="Q9325" s="3" t="s">
        <v>13582</v>
      </c>
      <c r="R9325" s="3" t="s">
        <v>13583</v>
      </c>
      <c r="S9325" s="3" t="s">
        <v>1185</v>
      </c>
      <c r="T9325" s="3" t="s">
        <v>1186</v>
      </c>
      <c r="U9325" s="3" t="s">
        <v>1180</v>
      </c>
      <c r="V9325" s="3" t="s">
        <v>1187</v>
      </c>
      <c r="W9325" s="3" t="s">
        <v>1187</v>
      </c>
      <c r="X9325" s="3" t="s">
        <v>13584</v>
      </c>
      <c r="Y9325" s="3" t="s">
        <v>1187</v>
      </c>
    </row>
    <row r="9326">
      <c r="A9326" s="3">
        <v>790.0</v>
      </c>
      <c r="B9326" s="3" t="s">
        <v>19423</v>
      </c>
      <c r="C9326" s="3" t="s">
        <v>11281</v>
      </c>
      <c r="D9326" s="3" t="s">
        <v>13585</v>
      </c>
      <c r="E9326" s="3" t="s">
        <v>19744</v>
      </c>
      <c r="F9326" s="3" t="s">
        <v>19745</v>
      </c>
    </row>
    <row r="9327">
      <c r="A9327" s="3">
        <v>791.0</v>
      </c>
      <c r="B9327" s="3" t="s">
        <v>19423</v>
      </c>
      <c r="C9327" s="3" t="s">
        <v>11281</v>
      </c>
      <c r="D9327" s="3" t="s">
        <v>13588</v>
      </c>
      <c r="E9327" s="3" t="s">
        <v>19746</v>
      </c>
      <c r="F9327" s="3" t="s">
        <v>19747</v>
      </c>
    </row>
    <row r="9328">
      <c r="A9328" s="3">
        <v>792.0</v>
      </c>
      <c r="B9328" s="3" t="s">
        <v>19423</v>
      </c>
      <c r="C9328" s="3" t="s">
        <v>11281</v>
      </c>
      <c r="D9328" s="3" t="s">
        <v>13591</v>
      </c>
      <c r="E9328" s="3" t="s">
        <v>19748</v>
      </c>
      <c r="F9328" s="3" t="s">
        <v>19749</v>
      </c>
      <c r="G9328" s="3"/>
      <c r="H9328" s="3" t="s">
        <v>13594</v>
      </c>
      <c r="I9328" s="3" t="s">
        <v>13595</v>
      </c>
      <c r="J9328" s="3" t="s">
        <v>13596</v>
      </c>
      <c r="K9328" s="3" t="s">
        <v>13597</v>
      </c>
      <c r="L9328" s="3" t="s">
        <v>13598</v>
      </c>
      <c r="M9328" s="3" t="s">
        <v>13599</v>
      </c>
      <c r="N9328" s="3" t="s">
        <v>13600</v>
      </c>
      <c r="O9328" s="3" t="s">
        <v>13601</v>
      </c>
      <c r="P9328" s="3" t="s">
        <v>13602</v>
      </c>
      <c r="Q9328" s="3" t="s">
        <v>13603</v>
      </c>
      <c r="R9328" s="3" t="s">
        <v>13604</v>
      </c>
      <c r="S9328" s="3" t="s">
        <v>13605</v>
      </c>
      <c r="T9328" s="3" t="s">
        <v>1187</v>
      </c>
    </row>
    <row r="9329">
      <c r="A9329" s="3">
        <v>793.0</v>
      </c>
      <c r="B9329" s="3" t="s">
        <v>19423</v>
      </c>
      <c r="C9329" s="3" t="s">
        <v>11281</v>
      </c>
      <c r="D9329" s="3" t="s">
        <v>13606</v>
      </c>
      <c r="E9329" s="3" t="s">
        <v>19750</v>
      </c>
      <c r="F9329" s="3" t="s">
        <v>19751</v>
      </c>
    </row>
    <row r="9330">
      <c r="A9330" s="3">
        <v>794.0</v>
      </c>
      <c r="B9330" s="3" t="s">
        <v>19423</v>
      </c>
      <c r="C9330" s="3" t="s">
        <v>11281</v>
      </c>
      <c r="D9330" s="3" t="s">
        <v>13609</v>
      </c>
      <c r="E9330" s="3" t="s">
        <v>19752</v>
      </c>
      <c r="F9330" s="3" t="s">
        <v>19753</v>
      </c>
    </row>
    <row r="9331">
      <c r="A9331" s="3">
        <v>795.0</v>
      </c>
      <c r="B9331" s="3" t="s">
        <v>19423</v>
      </c>
      <c r="C9331" s="3" t="s">
        <v>11281</v>
      </c>
      <c r="D9331" s="3" t="s">
        <v>13612</v>
      </c>
      <c r="E9331" s="3" t="s">
        <v>19754</v>
      </c>
      <c r="F9331" s="3" t="s">
        <v>19755</v>
      </c>
    </row>
    <row r="9332">
      <c r="A9332" s="3">
        <v>796.0</v>
      </c>
      <c r="B9332" s="3" t="s">
        <v>19423</v>
      </c>
      <c r="C9332" s="3" t="s">
        <v>11281</v>
      </c>
      <c r="D9332" s="3" t="s">
        <v>13615</v>
      </c>
      <c r="E9332" s="3" t="s">
        <v>19756</v>
      </c>
      <c r="F9332" s="3" t="s">
        <v>19757</v>
      </c>
    </row>
    <row r="9333">
      <c r="A9333" s="3">
        <v>797.0</v>
      </c>
      <c r="B9333" s="3" t="s">
        <v>19423</v>
      </c>
      <c r="C9333" s="3" t="s">
        <v>11281</v>
      </c>
      <c r="D9333" s="3" t="s">
        <v>13618</v>
      </c>
      <c r="E9333" s="3" t="s">
        <v>13619</v>
      </c>
      <c r="F9333" s="3" t="s">
        <v>13620</v>
      </c>
      <c r="G9333" s="3"/>
      <c r="H9333" s="3" t="s">
        <v>1168</v>
      </c>
      <c r="I9333" s="3" t="s">
        <v>1169</v>
      </c>
      <c r="J9333" s="3" t="s">
        <v>1170</v>
      </c>
      <c r="K9333" s="3" t="s">
        <v>1171</v>
      </c>
      <c r="L9333" s="3" t="s">
        <v>1172</v>
      </c>
      <c r="M9333" s="3" t="s">
        <v>1173</v>
      </c>
      <c r="N9333" s="3" t="s">
        <v>1174</v>
      </c>
      <c r="O9333" s="3" t="s">
        <v>13621</v>
      </c>
      <c r="P9333" s="3" t="s">
        <v>13622</v>
      </c>
    </row>
    <row r="9334">
      <c r="A9334" s="3">
        <v>798.0</v>
      </c>
      <c r="B9334" s="3" t="s">
        <v>19423</v>
      </c>
      <c r="C9334" s="3" t="s">
        <v>11281</v>
      </c>
      <c r="D9334" s="3" t="s">
        <v>13623</v>
      </c>
      <c r="E9334" s="3" t="s">
        <v>13624</v>
      </c>
      <c r="F9334" s="3" t="s">
        <v>13625</v>
      </c>
    </row>
    <row r="9335">
      <c r="A9335" s="3">
        <v>799.0</v>
      </c>
      <c r="B9335" s="3" t="s">
        <v>19423</v>
      </c>
      <c r="C9335" s="3" t="s">
        <v>11281</v>
      </c>
      <c r="D9335" s="3" t="s">
        <v>13626</v>
      </c>
      <c r="E9335" s="3" t="s">
        <v>13627</v>
      </c>
      <c r="F9335" s="3" t="s">
        <v>13628</v>
      </c>
      <c r="G9335" s="3"/>
      <c r="H9335" s="3" t="s">
        <v>13629</v>
      </c>
      <c r="I9335" s="3" t="s">
        <v>13630</v>
      </c>
    </row>
    <row r="9336">
      <c r="A9336" s="3">
        <v>800.0</v>
      </c>
      <c r="B9336" s="3" t="s">
        <v>19423</v>
      </c>
      <c r="C9336" s="3" t="s">
        <v>11281</v>
      </c>
      <c r="D9336" s="3" t="s">
        <v>13631</v>
      </c>
      <c r="E9336" s="3" t="s">
        <v>13632</v>
      </c>
      <c r="F9336" s="3" t="s">
        <v>13633</v>
      </c>
    </row>
    <row r="9337">
      <c r="A9337" s="3">
        <v>801.0</v>
      </c>
      <c r="B9337" s="3" t="s">
        <v>19423</v>
      </c>
      <c r="C9337" s="3" t="s">
        <v>11281</v>
      </c>
      <c r="D9337" s="3" t="s">
        <v>6915</v>
      </c>
      <c r="E9337" s="3" t="s">
        <v>1195</v>
      </c>
      <c r="F9337" s="3" t="s">
        <v>1196</v>
      </c>
    </row>
    <row r="9338">
      <c r="A9338" s="3">
        <v>802.0</v>
      </c>
      <c r="B9338" s="3" t="s">
        <v>19423</v>
      </c>
      <c r="C9338" s="3" t="s">
        <v>11281</v>
      </c>
      <c r="D9338" s="3" t="s">
        <v>13634</v>
      </c>
      <c r="E9338" s="3" t="s">
        <v>13635</v>
      </c>
      <c r="F9338" s="3" t="s">
        <v>13636</v>
      </c>
      <c r="G9338" s="3"/>
      <c r="H9338" s="3" t="s">
        <v>13637</v>
      </c>
      <c r="I9338" s="3" t="s">
        <v>13638</v>
      </c>
    </row>
    <row r="9339">
      <c r="A9339" s="3">
        <v>803.0</v>
      </c>
      <c r="B9339" s="3" t="s">
        <v>19423</v>
      </c>
      <c r="C9339" s="3" t="s">
        <v>11281</v>
      </c>
      <c r="D9339" s="3" t="s">
        <v>13639</v>
      </c>
      <c r="E9339" s="3" t="s">
        <v>13640</v>
      </c>
      <c r="F9339" s="3" t="s">
        <v>13641</v>
      </c>
    </row>
    <row r="9340">
      <c r="A9340" s="3">
        <v>804.0</v>
      </c>
      <c r="B9340" s="3" t="s">
        <v>19423</v>
      </c>
      <c r="C9340" s="3" t="s">
        <v>11281</v>
      </c>
      <c r="D9340" s="3" t="s">
        <v>13642</v>
      </c>
      <c r="E9340" s="3" t="s">
        <v>13643</v>
      </c>
      <c r="F9340" s="3" t="s">
        <v>13644</v>
      </c>
      <c r="G9340" s="3"/>
      <c r="H9340" s="3" t="s">
        <v>13642</v>
      </c>
    </row>
    <row r="9341">
      <c r="A9341" s="3">
        <v>805.0</v>
      </c>
      <c r="B9341" s="3" t="s">
        <v>19423</v>
      </c>
      <c r="C9341" s="3" t="s">
        <v>11281</v>
      </c>
      <c r="D9341" s="3" t="s">
        <v>13645</v>
      </c>
      <c r="E9341" s="3" t="s">
        <v>13646</v>
      </c>
      <c r="F9341" s="3" t="s">
        <v>13636</v>
      </c>
    </row>
    <row r="9342">
      <c r="A9342" s="3">
        <v>806.0</v>
      </c>
      <c r="B9342" s="3" t="s">
        <v>19423</v>
      </c>
      <c r="C9342" s="3" t="s">
        <v>11281</v>
      </c>
      <c r="D9342" s="3" t="s">
        <v>13647</v>
      </c>
      <c r="E9342" s="3" t="s">
        <v>13648</v>
      </c>
      <c r="F9342" s="3" t="s">
        <v>13641</v>
      </c>
    </row>
    <row r="9343">
      <c r="A9343" s="3">
        <v>807.0</v>
      </c>
      <c r="B9343" s="3" t="s">
        <v>19423</v>
      </c>
      <c r="C9343" s="3" t="s">
        <v>11281</v>
      </c>
      <c r="D9343" s="3" t="s">
        <v>13649</v>
      </c>
      <c r="E9343" s="3" t="s">
        <v>13650</v>
      </c>
      <c r="F9343" s="3" t="s">
        <v>13651</v>
      </c>
    </row>
    <row r="9344">
      <c r="A9344" s="3">
        <v>808.0</v>
      </c>
      <c r="B9344" s="3" t="s">
        <v>19423</v>
      </c>
      <c r="C9344" s="3" t="s">
        <v>11281</v>
      </c>
      <c r="D9344" s="3" t="s">
        <v>13652</v>
      </c>
      <c r="E9344" s="3" t="s">
        <v>13653</v>
      </c>
      <c r="F9344" s="3" t="s">
        <v>13654</v>
      </c>
    </row>
    <row r="9345">
      <c r="A9345" s="3">
        <v>809.0</v>
      </c>
      <c r="B9345" s="3" t="s">
        <v>19423</v>
      </c>
      <c r="C9345" s="3" t="s">
        <v>11281</v>
      </c>
      <c r="D9345" s="3" t="s">
        <v>13655</v>
      </c>
      <c r="E9345" s="3" t="s">
        <v>13656</v>
      </c>
      <c r="F9345" s="3" t="s">
        <v>13657</v>
      </c>
    </row>
    <row r="9346">
      <c r="A9346" s="3">
        <v>810.0</v>
      </c>
      <c r="B9346" s="3" t="s">
        <v>19423</v>
      </c>
      <c r="C9346" s="3" t="s">
        <v>11281</v>
      </c>
      <c r="D9346" s="3" t="s">
        <v>13658</v>
      </c>
      <c r="E9346" s="3" t="s">
        <v>13659</v>
      </c>
      <c r="F9346" s="3" t="s">
        <v>13660</v>
      </c>
    </row>
    <row r="9347">
      <c r="A9347" s="3">
        <v>811.0</v>
      </c>
      <c r="B9347" s="3" t="s">
        <v>19423</v>
      </c>
      <c r="C9347" s="3" t="s">
        <v>11281</v>
      </c>
      <c r="D9347" s="3" t="s">
        <v>13661</v>
      </c>
      <c r="E9347" s="3" t="s">
        <v>13662</v>
      </c>
      <c r="F9347" s="3" t="s">
        <v>13663</v>
      </c>
    </row>
    <row r="9348">
      <c r="A9348" s="3">
        <v>812.0</v>
      </c>
      <c r="B9348" s="3" t="s">
        <v>19423</v>
      </c>
      <c r="C9348" s="3" t="s">
        <v>11281</v>
      </c>
      <c r="D9348" s="3" t="s">
        <v>13664</v>
      </c>
      <c r="E9348" s="3" t="s">
        <v>13665</v>
      </c>
      <c r="F9348" s="3" t="s">
        <v>13666</v>
      </c>
      <c r="G9348" s="3"/>
      <c r="H9348" s="3" t="s">
        <v>6003</v>
      </c>
      <c r="I9348" s="3" t="s">
        <v>6004</v>
      </c>
      <c r="J9348" s="3" t="s">
        <v>1789</v>
      </c>
      <c r="K9348" s="3" t="s">
        <v>1203</v>
      </c>
      <c r="L9348" s="3" t="s">
        <v>1249</v>
      </c>
    </row>
    <row r="9349">
      <c r="A9349" s="3">
        <v>813.0</v>
      </c>
      <c r="B9349" s="3" t="s">
        <v>19423</v>
      </c>
      <c r="C9349" s="3" t="s">
        <v>11281</v>
      </c>
      <c r="D9349" s="3" t="s">
        <v>13667</v>
      </c>
      <c r="E9349" s="3" t="s">
        <v>13668</v>
      </c>
      <c r="F9349" s="3" t="s">
        <v>13669</v>
      </c>
    </row>
    <row r="9350">
      <c r="A9350" s="3">
        <v>814.0</v>
      </c>
      <c r="B9350" s="3" t="s">
        <v>19423</v>
      </c>
      <c r="C9350" s="3" t="s">
        <v>11281</v>
      </c>
      <c r="D9350" s="3" t="s">
        <v>13670</v>
      </c>
      <c r="E9350" s="3" t="s">
        <v>13671</v>
      </c>
      <c r="F9350" s="3" t="s">
        <v>13672</v>
      </c>
    </row>
    <row r="9351">
      <c r="A9351" s="3">
        <v>815.0</v>
      </c>
      <c r="B9351" s="3" t="s">
        <v>19423</v>
      </c>
      <c r="C9351" s="3" t="s">
        <v>11281</v>
      </c>
      <c r="D9351" s="3" t="s">
        <v>13673</v>
      </c>
      <c r="E9351" s="3" t="s">
        <v>13674</v>
      </c>
      <c r="F9351" s="3" t="s">
        <v>13675</v>
      </c>
    </row>
    <row r="9352">
      <c r="A9352" s="3">
        <v>816.0</v>
      </c>
      <c r="B9352" s="3" t="s">
        <v>19423</v>
      </c>
      <c r="C9352" s="3" t="s">
        <v>11281</v>
      </c>
      <c r="D9352" s="3" t="s">
        <v>13676</v>
      </c>
      <c r="E9352" s="3" t="s">
        <v>13677</v>
      </c>
      <c r="F9352" s="3" t="s">
        <v>13678</v>
      </c>
    </row>
    <row r="9353">
      <c r="A9353" s="3">
        <v>817.0</v>
      </c>
      <c r="B9353" s="3" t="s">
        <v>19423</v>
      </c>
      <c r="C9353" s="3" t="s">
        <v>11281</v>
      </c>
      <c r="D9353" s="3" t="s">
        <v>13679</v>
      </c>
      <c r="E9353" s="3" t="s">
        <v>19758</v>
      </c>
      <c r="F9353" s="3" t="s">
        <v>19759</v>
      </c>
    </row>
    <row r="9354">
      <c r="A9354" s="3">
        <v>818.0</v>
      </c>
      <c r="B9354" s="3" t="s">
        <v>19423</v>
      </c>
      <c r="C9354" s="3" t="s">
        <v>11281</v>
      </c>
      <c r="D9354" s="3" t="s">
        <v>13682</v>
      </c>
      <c r="E9354" s="3" t="s">
        <v>19760</v>
      </c>
      <c r="F9354" s="3" t="s">
        <v>19761</v>
      </c>
    </row>
    <row r="9355">
      <c r="A9355" s="3">
        <v>819.0</v>
      </c>
      <c r="B9355" s="3" t="s">
        <v>19423</v>
      </c>
      <c r="C9355" s="3" t="s">
        <v>11281</v>
      </c>
      <c r="D9355" s="3" t="s">
        <v>13685</v>
      </c>
      <c r="E9355" s="3" t="s">
        <v>19762</v>
      </c>
      <c r="F9355" s="3" t="s">
        <v>19763</v>
      </c>
    </row>
    <row r="9356">
      <c r="A9356" s="3">
        <v>820.0</v>
      </c>
      <c r="B9356" s="3" t="s">
        <v>19423</v>
      </c>
      <c r="C9356" s="3" t="s">
        <v>11281</v>
      </c>
      <c r="D9356" s="3" t="s">
        <v>13688</v>
      </c>
      <c r="E9356" s="3" t="s">
        <v>19764</v>
      </c>
      <c r="F9356" s="3" t="s">
        <v>19765</v>
      </c>
    </row>
    <row r="9357">
      <c r="A9357" s="3">
        <v>821.0</v>
      </c>
      <c r="B9357" s="3" t="s">
        <v>19423</v>
      </c>
      <c r="C9357" s="3" t="s">
        <v>11281</v>
      </c>
      <c r="D9357" s="3" t="s">
        <v>13691</v>
      </c>
      <c r="E9357" s="3" t="s">
        <v>1282</v>
      </c>
      <c r="F9357" s="3" t="s">
        <v>1283</v>
      </c>
      <c r="G9357" s="3"/>
      <c r="H9357" s="3" t="s">
        <v>13692</v>
      </c>
      <c r="I9357" s="3" t="s">
        <v>13693</v>
      </c>
      <c r="J9357" s="3" t="s">
        <v>13694</v>
      </c>
      <c r="K9357" s="3" t="s">
        <v>2034</v>
      </c>
      <c r="L9357" s="3" t="s">
        <v>2037</v>
      </c>
      <c r="M9357" s="3" t="s">
        <v>1269</v>
      </c>
      <c r="N9357" s="3" t="s">
        <v>1270</v>
      </c>
      <c r="O9357" s="3" t="s">
        <v>3523</v>
      </c>
      <c r="P9357" s="3" t="s">
        <v>13693</v>
      </c>
      <c r="Q9357" s="3" t="s">
        <v>13695</v>
      </c>
      <c r="R9357" s="3" t="s">
        <v>13696</v>
      </c>
      <c r="S9357" s="3" t="s">
        <v>2034</v>
      </c>
      <c r="T9357" s="3" t="s">
        <v>2037</v>
      </c>
      <c r="U9357" s="3" t="s">
        <v>2034</v>
      </c>
      <c r="V9357" s="3" t="s">
        <v>13697</v>
      </c>
      <c r="W9357" s="3" t="s">
        <v>1270</v>
      </c>
      <c r="X9357" s="3" t="s">
        <v>13698</v>
      </c>
    </row>
    <row r="9358">
      <c r="A9358" s="3">
        <v>822.0</v>
      </c>
      <c r="B9358" s="3" t="s">
        <v>19423</v>
      </c>
      <c r="C9358" s="3" t="s">
        <v>11281</v>
      </c>
      <c r="D9358" s="3" t="s">
        <v>13699</v>
      </c>
      <c r="E9358" s="3" t="s">
        <v>19766</v>
      </c>
      <c r="F9358" s="3" t="s">
        <v>19767</v>
      </c>
    </row>
    <row r="9359">
      <c r="A9359" s="3">
        <v>823.0</v>
      </c>
      <c r="B9359" s="3" t="s">
        <v>19423</v>
      </c>
      <c r="C9359" s="3" t="s">
        <v>11281</v>
      </c>
      <c r="D9359" s="3" t="s">
        <v>13702</v>
      </c>
      <c r="E9359" s="3" t="s">
        <v>19768</v>
      </c>
      <c r="F9359" s="3" t="s">
        <v>19769</v>
      </c>
    </row>
    <row r="9360">
      <c r="A9360" s="3">
        <v>824.0</v>
      </c>
      <c r="B9360" s="3" t="s">
        <v>19423</v>
      </c>
      <c r="C9360" s="3" t="s">
        <v>11281</v>
      </c>
      <c r="D9360" s="3" t="s">
        <v>13705</v>
      </c>
      <c r="E9360" s="3" t="s">
        <v>19770</v>
      </c>
      <c r="F9360" s="3" t="s">
        <v>19771</v>
      </c>
      <c r="G9360" s="3"/>
      <c r="H9360" s="3" t="s">
        <v>13708</v>
      </c>
      <c r="I9360" s="3" t="s">
        <v>13709</v>
      </c>
      <c r="J9360" s="3" t="s">
        <v>13710</v>
      </c>
    </row>
    <row r="9361">
      <c r="A9361" s="3">
        <v>825.0</v>
      </c>
      <c r="B9361" s="3" t="s">
        <v>19423</v>
      </c>
      <c r="C9361" s="3" t="s">
        <v>11281</v>
      </c>
      <c r="D9361" s="3" t="s">
        <v>13711</v>
      </c>
      <c r="E9361" s="3" t="s">
        <v>19772</v>
      </c>
      <c r="F9361" s="3" t="s">
        <v>19773</v>
      </c>
    </row>
    <row r="9362">
      <c r="A9362" s="3">
        <v>826.0</v>
      </c>
      <c r="B9362" s="3" t="s">
        <v>19423</v>
      </c>
      <c r="C9362" s="3" t="s">
        <v>11281</v>
      </c>
      <c r="D9362" s="3" t="s">
        <v>13714</v>
      </c>
      <c r="E9362" s="3" t="s">
        <v>19774</v>
      </c>
      <c r="F9362" s="3" t="s">
        <v>19775</v>
      </c>
    </row>
    <row r="9363">
      <c r="A9363" s="3">
        <v>827.0</v>
      </c>
      <c r="B9363" s="3" t="s">
        <v>19423</v>
      </c>
      <c r="C9363" s="3" t="s">
        <v>11281</v>
      </c>
      <c r="D9363" s="3" t="s">
        <v>13717</v>
      </c>
      <c r="E9363" s="3" t="s">
        <v>19776</v>
      </c>
      <c r="F9363" s="3" t="s">
        <v>19777</v>
      </c>
    </row>
    <row r="9364">
      <c r="A9364" s="3">
        <v>828.0</v>
      </c>
      <c r="B9364" s="3" t="s">
        <v>19423</v>
      </c>
      <c r="C9364" s="3" t="s">
        <v>11281</v>
      </c>
      <c r="D9364" s="3" t="s">
        <v>13720</v>
      </c>
      <c r="E9364" s="3" t="s">
        <v>19778</v>
      </c>
      <c r="F9364" s="3" t="s">
        <v>19779</v>
      </c>
    </row>
    <row r="9365">
      <c r="A9365" s="3">
        <v>829.0</v>
      </c>
      <c r="B9365" s="3" t="s">
        <v>19423</v>
      </c>
      <c r="C9365" s="3" t="s">
        <v>11281</v>
      </c>
      <c r="D9365" s="3" t="s">
        <v>13723</v>
      </c>
      <c r="E9365" s="3" t="s">
        <v>13724</v>
      </c>
      <c r="F9365" s="3" t="s">
        <v>13725</v>
      </c>
    </row>
    <row r="9366">
      <c r="A9366" s="3">
        <v>830.0</v>
      </c>
      <c r="B9366" s="3" t="s">
        <v>19423</v>
      </c>
      <c r="C9366" s="3" t="s">
        <v>11281</v>
      </c>
      <c r="D9366" s="3" t="s">
        <v>13726</v>
      </c>
      <c r="E9366" s="3" t="s">
        <v>13727</v>
      </c>
      <c r="F9366" s="3" t="s">
        <v>13728</v>
      </c>
      <c r="G9366" s="3"/>
      <c r="H9366" s="3" t="s">
        <v>13729</v>
      </c>
      <c r="I9366" s="3" t="s">
        <v>13730</v>
      </c>
      <c r="J9366" s="3" t="s">
        <v>13731</v>
      </c>
      <c r="K9366" s="3" t="s">
        <v>13732</v>
      </c>
      <c r="L9366" s="3" t="s">
        <v>13733</v>
      </c>
      <c r="M9366" s="3" t="s">
        <v>13734</v>
      </c>
      <c r="N9366" s="3" t="s">
        <v>13735</v>
      </c>
    </row>
    <row r="9367">
      <c r="A9367" s="3">
        <v>831.0</v>
      </c>
      <c r="B9367" s="3" t="s">
        <v>19423</v>
      </c>
      <c r="C9367" s="3" t="s">
        <v>11281</v>
      </c>
      <c r="D9367" s="3" t="s">
        <v>13736</v>
      </c>
      <c r="E9367" s="3" t="s">
        <v>13737</v>
      </c>
      <c r="F9367" s="3" t="s">
        <v>13738</v>
      </c>
    </row>
    <row r="9368">
      <c r="A9368" s="3">
        <v>832.0</v>
      </c>
      <c r="B9368" s="3" t="s">
        <v>19423</v>
      </c>
      <c r="C9368" s="3" t="s">
        <v>11281</v>
      </c>
      <c r="D9368" s="3" t="s">
        <v>13739</v>
      </c>
      <c r="E9368" s="3" t="s">
        <v>13740</v>
      </c>
      <c r="F9368" s="3" t="s">
        <v>13741</v>
      </c>
    </row>
    <row r="9369">
      <c r="A9369" s="3">
        <v>833.0</v>
      </c>
      <c r="B9369" s="3" t="s">
        <v>19423</v>
      </c>
      <c r="C9369" s="3" t="s">
        <v>11281</v>
      </c>
      <c r="D9369" s="3" t="s">
        <v>13742</v>
      </c>
      <c r="E9369" s="3" t="s">
        <v>13743</v>
      </c>
      <c r="F9369" s="3" t="s">
        <v>13744</v>
      </c>
    </row>
    <row r="9370">
      <c r="A9370" s="3">
        <v>834.0</v>
      </c>
      <c r="B9370" s="3" t="s">
        <v>19423</v>
      </c>
      <c r="C9370" s="3" t="s">
        <v>11281</v>
      </c>
      <c r="D9370" s="3" t="s">
        <v>13745</v>
      </c>
      <c r="E9370" s="3" t="s">
        <v>13746</v>
      </c>
      <c r="F9370" s="3" t="s">
        <v>13747</v>
      </c>
    </row>
    <row r="9371">
      <c r="A9371" s="3">
        <v>835.0</v>
      </c>
      <c r="B9371" s="3" t="s">
        <v>19423</v>
      </c>
      <c r="C9371" s="3" t="s">
        <v>11281</v>
      </c>
      <c r="D9371" s="3" t="s">
        <v>13748</v>
      </c>
      <c r="E9371" s="3" t="s">
        <v>13749</v>
      </c>
      <c r="F9371" s="3" t="s">
        <v>13750</v>
      </c>
    </row>
    <row r="9372">
      <c r="A9372" s="3">
        <v>836.0</v>
      </c>
      <c r="B9372" s="3" t="s">
        <v>19423</v>
      </c>
      <c r="C9372" s="3" t="s">
        <v>11281</v>
      </c>
      <c r="D9372" s="3" t="s">
        <v>13751</v>
      </c>
      <c r="E9372" s="3" t="s">
        <v>1279</v>
      </c>
      <c r="F9372" s="3" t="s">
        <v>1280</v>
      </c>
    </row>
    <row r="9373">
      <c r="A9373" s="3">
        <v>837.0</v>
      </c>
      <c r="B9373" s="3" t="s">
        <v>19423</v>
      </c>
      <c r="C9373" s="3" t="s">
        <v>11281</v>
      </c>
      <c r="D9373" s="3" t="s">
        <v>13752</v>
      </c>
      <c r="E9373" s="3" t="s">
        <v>19780</v>
      </c>
      <c r="F9373" s="3" t="s">
        <v>19781</v>
      </c>
    </row>
    <row r="9374">
      <c r="A9374" s="3">
        <v>838.0</v>
      </c>
      <c r="B9374" s="3" t="s">
        <v>19423</v>
      </c>
      <c r="C9374" s="3" t="s">
        <v>11281</v>
      </c>
      <c r="D9374" s="3" t="s">
        <v>13755</v>
      </c>
      <c r="E9374" s="3" t="s">
        <v>19782</v>
      </c>
      <c r="F9374" s="3" t="s">
        <v>19783</v>
      </c>
    </row>
    <row r="9375">
      <c r="A9375" s="3">
        <v>839.0</v>
      </c>
      <c r="B9375" s="3" t="s">
        <v>19423</v>
      </c>
      <c r="C9375" s="3" t="s">
        <v>11281</v>
      </c>
      <c r="D9375" s="3" t="s">
        <v>13758</v>
      </c>
      <c r="E9375" s="3" t="s">
        <v>19784</v>
      </c>
      <c r="F9375" s="3" t="s">
        <v>19785</v>
      </c>
    </row>
    <row r="9376">
      <c r="A9376" s="3">
        <v>840.0</v>
      </c>
      <c r="B9376" s="3" t="s">
        <v>19423</v>
      </c>
      <c r="C9376" s="3" t="s">
        <v>11281</v>
      </c>
      <c r="D9376" s="3" t="s">
        <v>13761</v>
      </c>
      <c r="E9376" s="3" t="s">
        <v>19786</v>
      </c>
      <c r="F9376" s="3" t="s">
        <v>19787</v>
      </c>
      <c r="G9376" s="3"/>
      <c r="H9376" s="3" t="s">
        <v>13762</v>
      </c>
      <c r="I9376" s="3" t="s">
        <v>13763</v>
      </c>
      <c r="J9376" s="3" t="s">
        <v>13764</v>
      </c>
      <c r="K9376" s="3" t="s">
        <v>13765</v>
      </c>
      <c r="L9376" s="3" t="s">
        <v>13766</v>
      </c>
      <c r="M9376" s="3" t="s">
        <v>13767</v>
      </c>
      <c r="N9376" s="3" t="s">
        <v>13768</v>
      </c>
      <c r="O9376" s="3" t="s">
        <v>719</v>
      </c>
      <c r="P9376" s="3" t="s">
        <v>720</v>
      </c>
      <c r="Q9376" s="3" t="s">
        <v>13766</v>
      </c>
      <c r="R9376" s="3" t="s">
        <v>13762</v>
      </c>
      <c r="S9376" s="3" t="s">
        <v>13766</v>
      </c>
      <c r="T9376" s="3" t="s">
        <v>13762</v>
      </c>
      <c r="U9376" s="3" t="s">
        <v>13766</v>
      </c>
      <c r="V9376" s="3" t="s">
        <v>13769</v>
      </c>
      <c r="W9376" s="3" t="s">
        <v>13770</v>
      </c>
      <c r="X9376" s="3" t="s">
        <v>13771</v>
      </c>
      <c r="Y9376" s="3" t="s">
        <v>13762</v>
      </c>
      <c r="Z9376" s="3" t="s">
        <v>13772</v>
      </c>
      <c r="AA9376" s="3" t="s">
        <v>5753</v>
      </c>
      <c r="AB9376" s="3" t="s">
        <v>13770</v>
      </c>
      <c r="AC9376" s="3" t="s">
        <v>13773</v>
      </c>
      <c r="AD9376" s="3" t="s">
        <v>7509</v>
      </c>
      <c r="AE9376" s="3" t="s">
        <v>13774</v>
      </c>
      <c r="AF9376" s="3" t="s">
        <v>13775</v>
      </c>
    </row>
    <row r="9377">
      <c r="A9377" s="3">
        <v>841.0</v>
      </c>
      <c r="B9377" s="3" t="s">
        <v>19423</v>
      </c>
      <c r="C9377" s="3" t="s">
        <v>11281</v>
      </c>
      <c r="D9377" s="3" t="s">
        <v>13776</v>
      </c>
      <c r="E9377" s="3" t="s">
        <v>13777</v>
      </c>
      <c r="F9377" s="3" t="s">
        <v>13778</v>
      </c>
    </row>
    <row r="9378">
      <c r="A9378" s="3">
        <v>842.0</v>
      </c>
      <c r="B9378" s="3" t="s">
        <v>19423</v>
      </c>
      <c r="C9378" s="3" t="s">
        <v>11281</v>
      </c>
      <c r="D9378" s="3" t="s">
        <v>13779</v>
      </c>
      <c r="E9378" s="3" t="s">
        <v>13780</v>
      </c>
      <c r="F9378" s="3" t="s">
        <v>13781</v>
      </c>
      <c r="G9378" s="3"/>
      <c r="H9378" s="3" t="s">
        <v>1587</v>
      </c>
      <c r="I9378" s="3" t="s">
        <v>1588</v>
      </c>
      <c r="J9378" s="3" t="s">
        <v>13782</v>
      </c>
      <c r="K9378" s="3" t="s">
        <v>1588</v>
      </c>
    </row>
    <row r="9379">
      <c r="A9379" s="3">
        <v>843.0</v>
      </c>
      <c r="B9379" s="3" t="s">
        <v>19423</v>
      </c>
      <c r="C9379" s="3" t="s">
        <v>11281</v>
      </c>
      <c r="D9379" s="3" t="s">
        <v>13783</v>
      </c>
      <c r="E9379" s="3" t="s">
        <v>13784</v>
      </c>
      <c r="F9379" s="3" t="s">
        <v>13785</v>
      </c>
    </row>
    <row r="9380">
      <c r="A9380" s="3">
        <v>844.0</v>
      </c>
      <c r="B9380" s="3" t="s">
        <v>19423</v>
      </c>
      <c r="C9380" s="3" t="s">
        <v>11281</v>
      </c>
      <c r="D9380" s="3" t="s">
        <v>1302</v>
      </c>
      <c r="E9380" s="3" t="s">
        <v>6923</v>
      </c>
      <c r="F9380" s="3" t="s">
        <v>1304</v>
      </c>
      <c r="G9380" s="3"/>
      <c r="H9380" s="3" t="s">
        <v>1302</v>
      </c>
      <c r="I9380" s="3" t="s">
        <v>1317</v>
      </c>
      <c r="J9380" s="3" t="s">
        <v>1318</v>
      </c>
      <c r="K9380" s="3" t="s">
        <v>1311</v>
      </c>
      <c r="L9380" s="3" t="s">
        <v>1314</v>
      </c>
      <c r="M9380" s="3" t="s">
        <v>13786</v>
      </c>
      <c r="N9380" s="3" t="s">
        <v>1302</v>
      </c>
      <c r="O9380" s="3" t="s">
        <v>13787</v>
      </c>
      <c r="P9380" s="3" t="s">
        <v>1302</v>
      </c>
      <c r="Q9380" s="3" t="s">
        <v>1302</v>
      </c>
      <c r="R9380" s="3" t="s">
        <v>1315</v>
      </c>
      <c r="S9380" s="3" t="s">
        <v>1310</v>
      </c>
    </row>
    <row r="9381">
      <c r="A9381" s="3">
        <v>845.0</v>
      </c>
      <c r="B9381" s="3" t="s">
        <v>19423</v>
      </c>
      <c r="C9381" s="3" t="s">
        <v>11281</v>
      </c>
      <c r="D9381" s="3" t="s">
        <v>13788</v>
      </c>
      <c r="E9381" s="3" t="s">
        <v>19788</v>
      </c>
      <c r="F9381" s="3" t="s">
        <v>19789</v>
      </c>
    </row>
    <row r="9382">
      <c r="A9382" s="3">
        <v>846.0</v>
      </c>
      <c r="B9382" s="3" t="s">
        <v>19423</v>
      </c>
      <c r="C9382" s="3" t="s">
        <v>11281</v>
      </c>
      <c r="D9382" s="3" t="s">
        <v>13791</v>
      </c>
      <c r="E9382" s="3" t="s">
        <v>19790</v>
      </c>
      <c r="F9382" s="3" t="s">
        <v>19791</v>
      </c>
    </row>
    <row r="9383">
      <c r="A9383" s="3">
        <v>847.0</v>
      </c>
      <c r="B9383" s="3" t="s">
        <v>19423</v>
      </c>
      <c r="C9383" s="3" t="s">
        <v>11281</v>
      </c>
      <c r="D9383" s="3" t="s">
        <v>13794</v>
      </c>
      <c r="E9383" s="3" t="s">
        <v>19792</v>
      </c>
      <c r="F9383" s="3" t="s">
        <v>19793</v>
      </c>
      <c r="G9383" s="3"/>
      <c r="H9383" s="3" t="s">
        <v>13797</v>
      </c>
      <c r="I9383" s="3" t="s">
        <v>13798</v>
      </c>
      <c r="J9383" s="3" t="s">
        <v>13799</v>
      </c>
    </row>
    <row r="9384">
      <c r="A9384" s="3">
        <v>848.0</v>
      </c>
      <c r="B9384" s="3" t="s">
        <v>19423</v>
      </c>
      <c r="C9384" s="3" t="s">
        <v>11281</v>
      </c>
      <c r="D9384" s="3" t="s">
        <v>13800</v>
      </c>
      <c r="E9384" s="3" t="s">
        <v>19794</v>
      </c>
      <c r="F9384" s="3" t="s">
        <v>19795</v>
      </c>
    </row>
    <row r="9385">
      <c r="A9385" s="3">
        <v>849.0</v>
      </c>
      <c r="B9385" s="3" t="s">
        <v>19423</v>
      </c>
      <c r="C9385" s="3" t="s">
        <v>11281</v>
      </c>
      <c r="D9385" s="3" t="s">
        <v>13803</v>
      </c>
      <c r="E9385" s="3" t="s">
        <v>19796</v>
      </c>
      <c r="F9385" s="3" t="s">
        <v>19797</v>
      </c>
    </row>
    <row r="9386">
      <c r="A9386" s="3">
        <v>850.0</v>
      </c>
      <c r="B9386" s="3" t="s">
        <v>19423</v>
      </c>
      <c r="C9386" s="3" t="s">
        <v>11281</v>
      </c>
      <c r="D9386" s="3" t="s">
        <v>13806</v>
      </c>
      <c r="E9386" s="3" t="s">
        <v>19798</v>
      </c>
      <c r="F9386" s="3" t="s">
        <v>19799</v>
      </c>
    </row>
    <row r="9387">
      <c r="A9387" s="3">
        <v>851.0</v>
      </c>
      <c r="B9387" s="3" t="s">
        <v>19423</v>
      </c>
      <c r="C9387" s="3" t="s">
        <v>11281</v>
      </c>
      <c r="D9387" s="3" t="s">
        <v>13809</v>
      </c>
      <c r="E9387" s="3" t="s">
        <v>19800</v>
      </c>
      <c r="F9387" s="3" t="s">
        <v>19801</v>
      </c>
    </row>
    <row r="9388">
      <c r="A9388" s="3">
        <v>852.0</v>
      </c>
      <c r="B9388" s="3" t="s">
        <v>19423</v>
      </c>
      <c r="C9388" s="3" t="s">
        <v>11281</v>
      </c>
      <c r="D9388" s="3" t="s">
        <v>13812</v>
      </c>
      <c r="E9388" s="3" t="s">
        <v>13813</v>
      </c>
      <c r="F9388" s="3" t="s">
        <v>13814</v>
      </c>
    </row>
    <row r="9389">
      <c r="A9389" s="3">
        <v>853.0</v>
      </c>
      <c r="B9389" s="3" t="s">
        <v>19423</v>
      </c>
      <c r="C9389" s="3" t="s">
        <v>11281</v>
      </c>
      <c r="D9389" s="3" t="s">
        <v>13815</v>
      </c>
      <c r="E9389" s="3" t="s">
        <v>13816</v>
      </c>
      <c r="F9389" s="3" t="s">
        <v>13817</v>
      </c>
    </row>
    <row r="9390">
      <c r="A9390" s="3">
        <v>854.0</v>
      </c>
      <c r="B9390" s="3" t="s">
        <v>19423</v>
      </c>
      <c r="C9390" s="3" t="s">
        <v>11281</v>
      </c>
      <c r="D9390" s="3" t="s">
        <v>13818</v>
      </c>
      <c r="E9390" s="3" t="s">
        <v>13819</v>
      </c>
      <c r="F9390" s="3" t="s">
        <v>13820</v>
      </c>
    </row>
    <row r="9391">
      <c r="A9391" s="3">
        <v>855.0</v>
      </c>
      <c r="B9391" s="3" t="s">
        <v>19423</v>
      </c>
      <c r="C9391" s="3" t="s">
        <v>11281</v>
      </c>
      <c r="D9391" s="3" t="s">
        <v>13821</v>
      </c>
      <c r="E9391" s="3" t="s">
        <v>13822</v>
      </c>
      <c r="F9391" s="3" t="s">
        <v>13823</v>
      </c>
    </row>
    <row r="9392">
      <c r="A9392" s="3">
        <v>856.0</v>
      </c>
      <c r="B9392" s="3" t="s">
        <v>19423</v>
      </c>
      <c r="C9392" s="3" t="s">
        <v>11281</v>
      </c>
      <c r="D9392" s="3" t="s">
        <v>13824</v>
      </c>
      <c r="E9392" s="3" t="s">
        <v>13825</v>
      </c>
      <c r="F9392" s="3" t="s">
        <v>13826</v>
      </c>
    </row>
    <row r="9393">
      <c r="A9393" s="3">
        <v>857.0</v>
      </c>
      <c r="B9393" s="3" t="s">
        <v>19423</v>
      </c>
      <c r="C9393" s="3" t="s">
        <v>11281</v>
      </c>
      <c r="D9393" s="3" t="s">
        <v>13827</v>
      </c>
      <c r="E9393" s="3" t="s">
        <v>13828</v>
      </c>
      <c r="F9393" s="3" t="s">
        <v>13829</v>
      </c>
    </row>
    <row r="9394">
      <c r="A9394" s="3">
        <v>858.0</v>
      </c>
      <c r="B9394" s="3" t="s">
        <v>19423</v>
      </c>
      <c r="C9394" s="3" t="s">
        <v>11281</v>
      </c>
      <c r="D9394" s="3" t="s">
        <v>13830</v>
      </c>
      <c r="E9394" s="3" t="s">
        <v>13831</v>
      </c>
      <c r="F9394" s="3" t="s">
        <v>13832</v>
      </c>
    </row>
    <row r="9395">
      <c r="A9395" s="3">
        <v>859.0</v>
      </c>
      <c r="B9395" s="3" t="s">
        <v>19423</v>
      </c>
      <c r="C9395" s="3" t="s">
        <v>11281</v>
      </c>
      <c r="D9395" s="3" t="s">
        <v>13833</v>
      </c>
      <c r="E9395" s="3" t="s">
        <v>13834</v>
      </c>
      <c r="F9395" s="3" t="s">
        <v>13835</v>
      </c>
    </row>
    <row r="9396">
      <c r="A9396" s="3">
        <v>860.0</v>
      </c>
      <c r="B9396" s="3" t="s">
        <v>19423</v>
      </c>
      <c r="C9396" s="3" t="s">
        <v>11281</v>
      </c>
      <c r="D9396" s="3" t="s">
        <v>13836</v>
      </c>
      <c r="E9396" s="3" t="s">
        <v>13837</v>
      </c>
      <c r="F9396" s="3" t="s">
        <v>13838</v>
      </c>
    </row>
    <row r="9397">
      <c r="A9397" s="3">
        <v>861.0</v>
      </c>
      <c r="B9397" s="3" t="s">
        <v>19423</v>
      </c>
      <c r="C9397" s="3" t="s">
        <v>11281</v>
      </c>
      <c r="D9397" s="3" t="s">
        <v>13839</v>
      </c>
      <c r="E9397" s="3" t="s">
        <v>13840</v>
      </c>
      <c r="F9397" s="3" t="s">
        <v>13841</v>
      </c>
    </row>
    <row r="9398">
      <c r="A9398" s="3">
        <v>862.0</v>
      </c>
      <c r="B9398" s="3" t="s">
        <v>19423</v>
      </c>
      <c r="C9398" s="3" t="s">
        <v>11281</v>
      </c>
      <c r="D9398" s="3" t="s">
        <v>13842</v>
      </c>
      <c r="E9398" s="3" t="s">
        <v>13843</v>
      </c>
      <c r="F9398" s="3" t="s">
        <v>13844</v>
      </c>
    </row>
    <row r="9399">
      <c r="A9399" s="3">
        <v>863.0</v>
      </c>
      <c r="B9399" s="3" t="s">
        <v>19423</v>
      </c>
      <c r="C9399" s="3" t="s">
        <v>11281</v>
      </c>
      <c r="D9399" s="3" t="s">
        <v>13845</v>
      </c>
      <c r="E9399" s="3" t="s">
        <v>2514</v>
      </c>
      <c r="F9399" s="3" t="s">
        <v>2513</v>
      </c>
      <c r="G9399" s="3"/>
      <c r="H9399" s="3" t="s">
        <v>13846</v>
      </c>
    </row>
    <row r="9400">
      <c r="A9400" s="3">
        <v>864.0</v>
      </c>
      <c r="B9400" s="3" t="s">
        <v>19423</v>
      </c>
      <c r="C9400" s="3" t="s">
        <v>11281</v>
      </c>
      <c r="D9400" s="3" t="s">
        <v>13847</v>
      </c>
      <c r="E9400" s="3" t="s">
        <v>8222</v>
      </c>
      <c r="F9400" s="3" t="s">
        <v>8223</v>
      </c>
      <c r="G9400" s="3"/>
      <c r="H9400" s="3" t="s">
        <v>6662</v>
      </c>
      <c r="I9400" s="3" t="s">
        <v>1274</v>
      </c>
      <c r="J9400" s="3" t="s">
        <v>9881</v>
      </c>
      <c r="K9400" s="3" t="s">
        <v>10157</v>
      </c>
      <c r="L9400" s="3" t="s">
        <v>10159</v>
      </c>
      <c r="M9400" s="3" t="s">
        <v>6662</v>
      </c>
      <c r="N9400" s="3" t="s">
        <v>6659</v>
      </c>
      <c r="O9400" s="3" t="s">
        <v>6660</v>
      </c>
      <c r="P9400" s="3" t="s">
        <v>6661</v>
      </c>
      <c r="Q9400" s="3" t="s">
        <v>6662</v>
      </c>
      <c r="R9400" s="3" t="s">
        <v>6663</v>
      </c>
      <c r="S9400" s="3" t="s">
        <v>13848</v>
      </c>
      <c r="T9400" s="3" t="s">
        <v>6662</v>
      </c>
      <c r="U9400" s="3" t="s">
        <v>13849</v>
      </c>
      <c r="V9400" s="3" t="s">
        <v>6662</v>
      </c>
      <c r="W9400" s="3" t="s">
        <v>13850</v>
      </c>
      <c r="X9400" s="3" t="s">
        <v>6662</v>
      </c>
      <c r="Y9400" s="3" t="s">
        <v>9881</v>
      </c>
      <c r="Z9400" s="3" t="s">
        <v>6662</v>
      </c>
      <c r="AA9400" s="3" t="s">
        <v>9586</v>
      </c>
      <c r="AB9400" s="3" t="s">
        <v>6662</v>
      </c>
    </row>
    <row r="9401">
      <c r="A9401" s="3">
        <v>865.0</v>
      </c>
      <c r="B9401" s="3" t="s">
        <v>19423</v>
      </c>
      <c r="C9401" s="3" t="s">
        <v>11281</v>
      </c>
      <c r="D9401" s="3" t="s">
        <v>13851</v>
      </c>
      <c r="E9401" s="3" t="s">
        <v>13852</v>
      </c>
      <c r="F9401" s="3" t="s">
        <v>13853</v>
      </c>
    </row>
    <row r="9402">
      <c r="A9402" s="3">
        <v>866.0</v>
      </c>
      <c r="B9402" s="3" t="s">
        <v>19423</v>
      </c>
      <c r="C9402" s="3" t="s">
        <v>11281</v>
      </c>
      <c r="D9402" s="3" t="s">
        <v>13854</v>
      </c>
      <c r="E9402" s="3" t="s">
        <v>13855</v>
      </c>
      <c r="F9402" s="3" t="s">
        <v>13856</v>
      </c>
    </row>
    <row r="9403">
      <c r="A9403" s="3">
        <v>867.0</v>
      </c>
      <c r="B9403" s="3" t="s">
        <v>19423</v>
      </c>
      <c r="C9403" s="3" t="s">
        <v>11281</v>
      </c>
      <c r="D9403" s="3" t="s">
        <v>13857</v>
      </c>
      <c r="E9403" s="3" t="s">
        <v>13858</v>
      </c>
      <c r="F9403" s="3" t="s">
        <v>13859</v>
      </c>
    </row>
    <row r="9404">
      <c r="A9404" s="3">
        <v>868.0</v>
      </c>
      <c r="B9404" s="3" t="s">
        <v>19423</v>
      </c>
      <c r="C9404" s="3" t="s">
        <v>11281</v>
      </c>
      <c r="D9404" s="3" t="s">
        <v>13860</v>
      </c>
      <c r="E9404" s="3" t="s">
        <v>13861</v>
      </c>
      <c r="F9404" s="3" t="s">
        <v>13862</v>
      </c>
    </row>
    <row r="9405">
      <c r="A9405" s="3">
        <v>869.0</v>
      </c>
      <c r="B9405" s="3" t="s">
        <v>19423</v>
      </c>
      <c r="C9405" s="3" t="s">
        <v>11281</v>
      </c>
      <c r="D9405" s="3" t="s">
        <v>13863</v>
      </c>
      <c r="E9405" s="3" t="s">
        <v>13864</v>
      </c>
      <c r="F9405" s="3" t="s">
        <v>13853</v>
      </c>
    </row>
    <row r="9406">
      <c r="A9406" s="3">
        <v>870.0</v>
      </c>
      <c r="B9406" s="3" t="s">
        <v>19423</v>
      </c>
      <c r="C9406" s="3" t="s">
        <v>11281</v>
      </c>
      <c r="D9406" s="3" t="s">
        <v>13865</v>
      </c>
      <c r="E9406" s="3" t="s">
        <v>13866</v>
      </c>
      <c r="F9406" s="3" t="s">
        <v>13862</v>
      </c>
    </row>
    <row r="9407">
      <c r="A9407" s="3">
        <v>871.0</v>
      </c>
      <c r="B9407" s="3" t="s">
        <v>19423</v>
      </c>
      <c r="C9407" s="3" t="s">
        <v>11281</v>
      </c>
      <c r="D9407" s="3" t="s">
        <v>13867</v>
      </c>
      <c r="E9407" s="3" t="s">
        <v>13868</v>
      </c>
      <c r="F9407" s="3" t="s">
        <v>13869</v>
      </c>
    </row>
    <row r="9408">
      <c r="A9408" s="3">
        <v>872.0</v>
      </c>
      <c r="B9408" s="3" t="s">
        <v>19423</v>
      </c>
      <c r="C9408" s="3" t="s">
        <v>11281</v>
      </c>
      <c r="D9408" s="3" t="s">
        <v>13870</v>
      </c>
      <c r="E9408" s="3" t="s">
        <v>13871</v>
      </c>
      <c r="F9408" s="3" t="s">
        <v>13872</v>
      </c>
    </row>
    <row r="9409">
      <c r="A9409" s="3">
        <v>873.0</v>
      </c>
      <c r="B9409" s="3" t="s">
        <v>19423</v>
      </c>
      <c r="C9409" s="3" t="s">
        <v>11281</v>
      </c>
      <c r="D9409" s="3" t="s">
        <v>13873</v>
      </c>
      <c r="E9409" s="3" t="s">
        <v>13874</v>
      </c>
      <c r="F9409" s="3" t="s">
        <v>13875</v>
      </c>
    </row>
    <row r="9410">
      <c r="A9410" s="3">
        <v>874.0</v>
      </c>
      <c r="B9410" s="3" t="s">
        <v>19423</v>
      </c>
      <c r="C9410" s="3" t="s">
        <v>11281</v>
      </c>
      <c r="D9410" s="3" t="s">
        <v>13876</v>
      </c>
      <c r="E9410" s="3" t="s">
        <v>13877</v>
      </c>
      <c r="F9410" s="3" t="s">
        <v>13878</v>
      </c>
    </row>
    <row r="9411">
      <c r="A9411" s="3">
        <v>875.0</v>
      </c>
      <c r="B9411" s="3" t="s">
        <v>19423</v>
      </c>
      <c r="C9411" s="3" t="s">
        <v>11281</v>
      </c>
      <c r="D9411" s="3" t="s">
        <v>13879</v>
      </c>
      <c r="E9411" s="3" t="s">
        <v>13880</v>
      </c>
      <c r="F9411" s="3" t="s">
        <v>13881</v>
      </c>
    </row>
    <row r="9412">
      <c r="A9412" s="3">
        <v>876.0</v>
      </c>
      <c r="B9412" s="3" t="s">
        <v>19423</v>
      </c>
      <c r="C9412" s="3" t="s">
        <v>11281</v>
      </c>
      <c r="D9412" s="3" t="s">
        <v>13882</v>
      </c>
      <c r="E9412" s="3" t="s">
        <v>19802</v>
      </c>
      <c r="F9412" s="3" t="s">
        <v>19803</v>
      </c>
    </row>
    <row r="9413">
      <c r="A9413" s="3">
        <v>877.0</v>
      </c>
      <c r="B9413" s="3" t="s">
        <v>19423</v>
      </c>
      <c r="C9413" s="3" t="s">
        <v>11281</v>
      </c>
      <c r="D9413" s="3" t="s">
        <v>13885</v>
      </c>
      <c r="E9413" s="3" t="s">
        <v>13886</v>
      </c>
      <c r="F9413" s="3" t="s">
        <v>13887</v>
      </c>
    </row>
    <row r="9414">
      <c r="A9414" s="3">
        <v>878.0</v>
      </c>
      <c r="B9414" s="3" t="s">
        <v>19423</v>
      </c>
      <c r="C9414" s="3" t="s">
        <v>11281</v>
      </c>
      <c r="D9414" s="3" t="s">
        <v>13888</v>
      </c>
      <c r="E9414" s="3" t="s">
        <v>13889</v>
      </c>
      <c r="F9414" s="3" t="s">
        <v>13890</v>
      </c>
    </row>
    <row r="9415">
      <c r="A9415" s="3">
        <v>879.0</v>
      </c>
      <c r="B9415" s="3" t="s">
        <v>19423</v>
      </c>
      <c r="C9415" s="3" t="s">
        <v>11281</v>
      </c>
      <c r="D9415" s="3" t="s">
        <v>13891</v>
      </c>
      <c r="E9415" s="3" t="s">
        <v>13892</v>
      </c>
      <c r="F9415" s="3" t="s">
        <v>13893</v>
      </c>
    </row>
    <row r="9416">
      <c r="A9416" s="3">
        <v>880.0</v>
      </c>
      <c r="B9416" s="3" t="s">
        <v>19423</v>
      </c>
      <c r="C9416" s="3" t="s">
        <v>11281</v>
      </c>
      <c r="D9416" s="3" t="s">
        <v>13894</v>
      </c>
      <c r="E9416" s="3" t="s">
        <v>13895</v>
      </c>
      <c r="F9416" s="3" t="s">
        <v>13896</v>
      </c>
    </row>
    <row r="9417">
      <c r="A9417" s="3">
        <v>881.0</v>
      </c>
      <c r="B9417" s="3" t="s">
        <v>19423</v>
      </c>
      <c r="C9417" s="3" t="s">
        <v>11281</v>
      </c>
      <c r="D9417" s="3" t="s">
        <v>13897</v>
      </c>
      <c r="E9417" s="3" t="s">
        <v>13898</v>
      </c>
      <c r="F9417" s="3" t="s">
        <v>13899</v>
      </c>
      <c r="G9417" s="3"/>
      <c r="H9417" s="3" t="s">
        <v>13900</v>
      </c>
      <c r="I9417" s="3" t="s">
        <v>13901</v>
      </c>
      <c r="J9417" s="3" t="s">
        <v>13902</v>
      </c>
      <c r="K9417" s="3" t="s">
        <v>13903</v>
      </c>
      <c r="L9417" s="3" t="s">
        <v>13904</v>
      </c>
    </row>
    <row r="9418">
      <c r="A9418" s="3">
        <v>882.0</v>
      </c>
      <c r="B9418" s="3" t="s">
        <v>19423</v>
      </c>
      <c r="C9418" s="3" t="s">
        <v>11281</v>
      </c>
      <c r="D9418" s="3" t="s">
        <v>13905</v>
      </c>
      <c r="E9418" s="3" t="s">
        <v>13906</v>
      </c>
      <c r="F9418" s="3" t="s">
        <v>13907</v>
      </c>
    </row>
    <row r="9419">
      <c r="A9419" s="3">
        <v>883.0</v>
      </c>
      <c r="B9419" s="3" t="s">
        <v>19423</v>
      </c>
      <c r="C9419" s="3" t="s">
        <v>11281</v>
      </c>
      <c r="D9419" s="3" t="s">
        <v>13908</v>
      </c>
      <c r="E9419" s="3" t="s">
        <v>19804</v>
      </c>
      <c r="F9419" s="3" t="s">
        <v>19805</v>
      </c>
    </row>
    <row r="9420">
      <c r="A9420" s="3">
        <v>884.0</v>
      </c>
      <c r="B9420" s="3" t="s">
        <v>19423</v>
      </c>
      <c r="C9420" s="3" t="s">
        <v>11281</v>
      </c>
      <c r="D9420" s="3" t="s">
        <v>13911</v>
      </c>
      <c r="E9420" s="3" t="s">
        <v>19806</v>
      </c>
      <c r="F9420" s="3" t="s">
        <v>19807</v>
      </c>
    </row>
    <row r="9421">
      <c r="A9421" s="3">
        <v>885.0</v>
      </c>
      <c r="B9421" s="3" t="s">
        <v>19423</v>
      </c>
      <c r="C9421" s="3" t="s">
        <v>11281</v>
      </c>
      <c r="D9421" s="3" t="s">
        <v>13914</v>
      </c>
      <c r="E9421" s="3" t="s">
        <v>19808</v>
      </c>
      <c r="F9421" s="3" t="s">
        <v>19809</v>
      </c>
      <c r="G9421" s="3"/>
      <c r="H9421" s="3" t="s">
        <v>13903</v>
      </c>
    </row>
    <row r="9422">
      <c r="A9422" s="3">
        <v>886.0</v>
      </c>
      <c r="B9422" s="3" t="s">
        <v>19423</v>
      </c>
      <c r="C9422" s="3" t="s">
        <v>11281</v>
      </c>
      <c r="D9422" s="3" t="s">
        <v>13917</v>
      </c>
      <c r="E9422" s="3" t="s">
        <v>19810</v>
      </c>
      <c r="F9422" s="3" t="s">
        <v>19811</v>
      </c>
    </row>
    <row r="9423">
      <c r="A9423" s="3">
        <v>887.0</v>
      </c>
      <c r="B9423" s="3" t="s">
        <v>19423</v>
      </c>
      <c r="C9423" s="3" t="s">
        <v>11281</v>
      </c>
      <c r="D9423" s="3" t="s">
        <v>13920</v>
      </c>
      <c r="E9423" s="3" t="s">
        <v>19812</v>
      </c>
      <c r="F9423" s="3" t="s">
        <v>19813</v>
      </c>
    </row>
    <row r="9424">
      <c r="A9424" s="3">
        <v>888.0</v>
      </c>
      <c r="B9424" s="3" t="s">
        <v>19423</v>
      </c>
      <c r="C9424" s="3" t="s">
        <v>11281</v>
      </c>
      <c r="D9424" s="3" t="s">
        <v>13923</v>
      </c>
      <c r="E9424" s="3" t="s">
        <v>19814</v>
      </c>
      <c r="F9424" s="3" t="s">
        <v>19815</v>
      </c>
    </row>
    <row r="9425">
      <c r="A9425" s="3">
        <v>889.0</v>
      </c>
      <c r="B9425" s="3" t="s">
        <v>19423</v>
      </c>
      <c r="C9425" s="3" t="s">
        <v>11281</v>
      </c>
      <c r="D9425" s="3" t="s">
        <v>13926</v>
      </c>
      <c r="E9425" s="3" t="s">
        <v>19816</v>
      </c>
      <c r="F9425" s="3" t="s">
        <v>19817</v>
      </c>
    </row>
    <row r="9426">
      <c r="A9426" s="3">
        <v>890.0</v>
      </c>
      <c r="B9426" s="3" t="s">
        <v>19423</v>
      </c>
      <c r="C9426" s="3" t="s">
        <v>11281</v>
      </c>
      <c r="D9426" s="3" t="s">
        <v>13929</v>
      </c>
      <c r="E9426" s="3" t="s">
        <v>13930</v>
      </c>
      <c r="F9426" s="3" t="s">
        <v>13931</v>
      </c>
    </row>
    <row r="9427">
      <c r="A9427" s="3">
        <v>891.0</v>
      </c>
      <c r="B9427" s="3" t="s">
        <v>19423</v>
      </c>
      <c r="C9427" s="3" t="s">
        <v>11281</v>
      </c>
      <c r="D9427" s="3" t="s">
        <v>13932</v>
      </c>
      <c r="E9427" s="3" t="s">
        <v>13933</v>
      </c>
      <c r="F9427" s="3" t="s">
        <v>13934</v>
      </c>
    </row>
    <row r="9428">
      <c r="A9428" s="3">
        <v>892.0</v>
      </c>
      <c r="B9428" s="3" t="s">
        <v>19423</v>
      </c>
      <c r="C9428" s="3" t="s">
        <v>11281</v>
      </c>
      <c r="D9428" s="3" t="s">
        <v>13935</v>
      </c>
      <c r="E9428" s="3" t="s">
        <v>13936</v>
      </c>
      <c r="F9428" s="3" t="s">
        <v>13937</v>
      </c>
    </row>
    <row r="9429">
      <c r="A9429" s="3">
        <v>893.0</v>
      </c>
      <c r="B9429" s="3" t="s">
        <v>19423</v>
      </c>
      <c r="C9429" s="3" t="s">
        <v>11281</v>
      </c>
      <c r="D9429" s="3" t="s">
        <v>13938</v>
      </c>
      <c r="E9429" s="3" t="s">
        <v>13939</v>
      </c>
      <c r="F9429" s="3" t="s">
        <v>13940</v>
      </c>
    </row>
    <row r="9430">
      <c r="A9430" s="3">
        <v>894.0</v>
      </c>
      <c r="B9430" s="3" t="s">
        <v>19423</v>
      </c>
      <c r="C9430" s="3" t="s">
        <v>11281</v>
      </c>
      <c r="D9430" s="3" t="s">
        <v>13941</v>
      </c>
      <c r="E9430" s="3" t="s">
        <v>13942</v>
      </c>
      <c r="F9430" s="3" t="s">
        <v>13943</v>
      </c>
    </row>
    <row r="9431">
      <c r="A9431" s="3">
        <v>895.0</v>
      </c>
      <c r="B9431" s="3" t="s">
        <v>19423</v>
      </c>
      <c r="C9431" s="3" t="s">
        <v>11281</v>
      </c>
      <c r="D9431" s="3" t="s">
        <v>13944</v>
      </c>
      <c r="E9431" s="3" t="s">
        <v>13945</v>
      </c>
      <c r="F9431" s="3" t="s">
        <v>13946</v>
      </c>
    </row>
    <row r="9432">
      <c r="A9432" s="3">
        <v>896.0</v>
      </c>
      <c r="B9432" s="3" t="s">
        <v>19423</v>
      </c>
      <c r="C9432" s="3" t="s">
        <v>11281</v>
      </c>
      <c r="D9432" s="3" t="s">
        <v>13947</v>
      </c>
      <c r="E9432" s="3" t="s">
        <v>13948</v>
      </c>
      <c r="F9432" s="3" t="s">
        <v>13949</v>
      </c>
    </row>
    <row r="9433">
      <c r="A9433" s="3">
        <v>897.0</v>
      </c>
      <c r="B9433" s="3" t="s">
        <v>19423</v>
      </c>
      <c r="C9433" s="3" t="s">
        <v>11281</v>
      </c>
      <c r="D9433" s="3" t="s">
        <v>13950</v>
      </c>
      <c r="E9433" s="3" t="s">
        <v>13951</v>
      </c>
      <c r="F9433" s="3" t="s">
        <v>13952</v>
      </c>
    </row>
    <row r="9434">
      <c r="A9434" s="3">
        <v>898.0</v>
      </c>
      <c r="B9434" s="3" t="s">
        <v>19423</v>
      </c>
      <c r="C9434" s="3" t="s">
        <v>11281</v>
      </c>
      <c r="D9434" s="3" t="s">
        <v>13953</v>
      </c>
      <c r="E9434" s="3" t="s">
        <v>13954</v>
      </c>
      <c r="F9434" s="3" t="s">
        <v>13955</v>
      </c>
    </row>
    <row r="9435">
      <c r="A9435" s="3">
        <v>899.0</v>
      </c>
      <c r="B9435" s="3" t="s">
        <v>19423</v>
      </c>
      <c r="C9435" s="3" t="s">
        <v>11281</v>
      </c>
      <c r="D9435" s="3" t="s">
        <v>13956</v>
      </c>
      <c r="E9435" s="3" t="s">
        <v>19818</v>
      </c>
      <c r="F9435" s="3" t="s">
        <v>19819</v>
      </c>
    </row>
    <row r="9436">
      <c r="A9436" s="3">
        <v>900.0</v>
      </c>
      <c r="B9436" s="3" t="s">
        <v>19423</v>
      </c>
      <c r="C9436" s="3" t="s">
        <v>11281</v>
      </c>
      <c r="D9436" s="3" t="s">
        <v>13959</v>
      </c>
      <c r="E9436" s="3" t="s">
        <v>1345</v>
      </c>
      <c r="F9436" s="3" t="s">
        <v>1346</v>
      </c>
      <c r="G9436" s="3"/>
      <c r="H9436" s="3" t="s">
        <v>13960</v>
      </c>
      <c r="I9436" s="3" t="s">
        <v>13961</v>
      </c>
      <c r="J9436" s="3" t="s">
        <v>13962</v>
      </c>
      <c r="K9436" s="3" t="s">
        <v>13963</v>
      </c>
      <c r="L9436" s="3" t="s">
        <v>13964</v>
      </c>
      <c r="M9436" s="3" t="s">
        <v>9010</v>
      </c>
      <c r="N9436" s="3" t="s">
        <v>8754</v>
      </c>
      <c r="O9436" s="3" t="s">
        <v>9011</v>
      </c>
      <c r="P9436" s="3" t="s">
        <v>9012</v>
      </c>
      <c r="Q9436" s="3" t="s">
        <v>9013</v>
      </c>
      <c r="R9436" s="3" t="s">
        <v>9014</v>
      </c>
      <c r="S9436" s="3" t="s">
        <v>5944</v>
      </c>
      <c r="T9436" s="3" t="s">
        <v>5944</v>
      </c>
      <c r="U9436" s="3" t="s">
        <v>13965</v>
      </c>
      <c r="V9436" s="3" t="s">
        <v>5944</v>
      </c>
      <c r="W9436" s="3" t="s">
        <v>13966</v>
      </c>
      <c r="X9436" s="3" t="s">
        <v>13967</v>
      </c>
      <c r="Y9436" s="3" t="s">
        <v>13968</v>
      </c>
      <c r="Z9436" s="3" t="s">
        <v>13969</v>
      </c>
      <c r="AA9436" s="3" t="s">
        <v>8751</v>
      </c>
      <c r="AB9436" s="3" t="s">
        <v>8753</v>
      </c>
      <c r="AC9436" s="3" t="s">
        <v>5944</v>
      </c>
      <c r="AD9436" s="3" t="s">
        <v>8754</v>
      </c>
      <c r="AE9436" s="3" t="s">
        <v>8755</v>
      </c>
      <c r="AF9436" s="3" t="s">
        <v>5944</v>
      </c>
      <c r="AG9436" s="3" t="s">
        <v>8754</v>
      </c>
      <c r="AH9436" s="3" t="s">
        <v>8754</v>
      </c>
      <c r="AI9436" s="3" t="s">
        <v>9877</v>
      </c>
      <c r="AJ9436" s="3" t="s">
        <v>8754</v>
      </c>
    </row>
    <row r="9437">
      <c r="A9437" s="3">
        <v>901.0</v>
      </c>
      <c r="B9437" s="3" t="s">
        <v>19423</v>
      </c>
      <c r="C9437" s="3" t="s">
        <v>11281</v>
      </c>
      <c r="D9437" s="3" t="s">
        <v>13970</v>
      </c>
      <c r="E9437" s="3" t="s">
        <v>13971</v>
      </c>
      <c r="F9437" s="3" t="s">
        <v>13972</v>
      </c>
    </row>
    <row r="9438">
      <c r="A9438" s="3">
        <v>902.0</v>
      </c>
      <c r="B9438" s="3" t="s">
        <v>19423</v>
      </c>
      <c r="C9438" s="3" t="s">
        <v>11281</v>
      </c>
      <c r="D9438" s="3" t="s">
        <v>13973</v>
      </c>
      <c r="E9438" s="3" t="s">
        <v>13974</v>
      </c>
      <c r="F9438" s="3" t="s">
        <v>13975</v>
      </c>
    </row>
    <row r="9439">
      <c r="A9439" s="3">
        <v>903.0</v>
      </c>
      <c r="B9439" s="3" t="s">
        <v>19423</v>
      </c>
      <c r="C9439" s="3" t="s">
        <v>11281</v>
      </c>
      <c r="D9439" s="3" t="s">
        <v>13976</v>
      </c>
      <c r="E9439" s="3" t="s">
        <v>13977</v>
      </c>
      <c r="F9439" s="3" t="s">
        <v>13978</v>
      </c>
    </row>
    <row r="9440">
      <c r="A9440" s="3">
        <v>904.0</v>
      </c>
      <c r="B9440" s="3" t="s">
        <v>19423</v>
      </c>
      <c r="C9440" s="3" t="s">
        <v>11281</v>
      </c>
      <c r="D9440" s="3" t="s">
        <v>13979</v>
      </c>
      <c r="E9440" s="3" t="s">
        <v>13980</v>
      </c>
      <c r="F9440" s="3" t="s">
        <v>13981</v>
      </c>
    </row>
    <row r="9441">
      <c r="A9441" s="3">
        <v>905.0</v>
      </c>
      <c r="B9441" s="3" t="s">
        <v>19423</v>
      </c>
      <c r="C9441" s="3" t="s">
        <v>11281</v>
      </c>
      <c r="D9441" s="3" t="s">
        <v>13982</v>
      </c>
      <c r="E9441" s="3" t="s">
        <v>13983</v>
      </c>
      <c r="F9441" s="3" t="s">
        <v>13984</v>
      </c>
    </row>
    <row r="9442">
      <c r="A9442" s="3">
        <v>906.0</v>
      </c>
      <c r="B9442" s="3" t="s">
        <v>19423</v>
      </c>
      <c r="C9442" s="3" t="s">
        <v>11281</v>
      </c>
      <c r="D9442" s="3" t="s">
        <v>13985</v>
      </c>
      <c r="E9442" s="3" t="s">
        <v>13986</v>
      </c>
      <c r="F9442" s="3" t="s">
        <v>13987</v>
      </c>
    </row>
    <row r="9443">
      <c r="A9443" s="3">
        <v>907.0</v>
      </c>
      <c r="B9443" s="3" t="s">
        <v>19423</v>
      </c>
      <c r="C9443" s="3" t="s">
        <v>11281</v>
      </c>
      <c r="D9443" s="3" t="s">
        <v>13988</v>
      </c>
      <c r="E9443" s="3" t="s">
        <v>13989</v>
      </c>
      <c r="F9443" s="3" t="s">
        <v>13990</v>
      </c>
    </row>
    <row r="9444">
      <c r="A9444" s="3">
        <v>908.0</v>
      </c>
      <c r="B9444" s="3" t="s">
        <v>19423</v>
      </c>
      <c r="C9444" s="3" t="s">
        <v>11281</v>
      </c>
      <c r="D9444" s="3" t="s">
        <v>13991</v>
      </c>
      <c r="E9444" s="3" t="s">
        <v>13992</v>
      </c>
      <c r="F9444" s="3" t="s">
        <v>13993</v>
      </c>
    </row>
    <row r="9445">
      <c r="A9445" s="3">
        <v>909.0</v>
      </c>
      <c r="B9445" s="3" t="s">
        <v>19423</v>
      </c>
      <c r="C9445" s="3" t="s">
        <v>11281</v>
      </c>
      <c r="D9445" s="3" t="s">
        <v>13994</v>
      </c>
      <c r="E9445" s="3" t="s">
        <v>13995</v>
      </c>
      <c r="F9445" s="3" t="s">
        <v>13996</v>
      </c>
      <c r="G9445" s="3"/>
      <c r="H9445" s="3" t="s">
        <v>13997</v>
      </c>
      <c r="I9445" s="3" t="s">
        <v>13998</v>
      </c>
      <c r="J9445" s="3" t="s">
        <v>13999</v>
      </c>
      <c r="K9445" s="3" t="s">
        <v>14000</v>
      </c>
      <c r="L9445" s="3" t="s">
        <v>14001</v>
      </c>
      <c r="M9445" s="3" t="s">
        <v>13997</v>
      </c>
      <c r="N9445" s="3" t="s">
        <v>14002</v>
      </c>
      <c r="O9445" s="3" t="s">
        <v>14003</v>
      </c>
      <c r="P9445" s="3" t="s">
        <v>13035</v>
      </c>
      <c r="Q9445" s="3" t="s">
        <v>14004</v>
      </c>
      <c r="R9445" s="3" t="s">
        <v>14005</v>
      </c>
      <c r="S9445" s="3" t="s">
        <v>14006</v>
      </c>
      <c r="T9445" s="3" t="s">
        <v>14007</v>
      </c>
    </row>
    <row r="9446">
      <c r="A9446" s="3">
        <v>910.0</v>
      </c>
      <c r="B9446" s="3" t="s">
        <v>19423</v>
      </c>
      <c r="C9446" s="3" t="s">
        <v>11281</v>
      </c>
      <c r="D9446" s="3" t="s">
        <v>14008</v>
      </c>
      <c r="E9446" s="3" t="s">
        <v>14009</v>
      </c>
      <c r="F9446" s="3" t="s">
        <v>14010</v>
      </c>
    </row>
    <row r="9447">
      <c r="A9447" s="3">
        <v>911.0</v>
      </c>
      <c r="B9447" s="3" t="s">
        <v>19423</v>
      </c>
      <c r="C9447" s="3" t="s">
        <v>11281</v>
      </c>
      <c r="D9447" s="3" t="s">
        <v>14011</v>
      </c>
      <c r="E9447" s="3" t="s">
        <v>14012</v>
      </c>
      <c r="F9447" s="3" t="s">
        <v>14013</v>
      </c>
    </row>
    <row r="9448">
      <c r="A9448" s="3">
        <v>912.0</v>
      </c>
      <c r="B9448" s="3" t="s">
        <v>19423</v>
      </c>
      <c r="C9448" s="3" t="s">
        <v>11281</v>
      </c>
      <c r="D9448" s="3" t="s">
        <v>14014</v>
      </c>
      <c r="E9448" s="3" t="s">
        <v>14015</v>
      </c>
      <c r="F9448" s="3" t="s">
        <v>14016</v>
      </c>
    </row>
    <row r="9449">
      <c r="A9449" s="3">
        <v>913.0</v>
      </c>
      <c r="B9449" s="3" t="s">
        <v>19423</v>
      </c>
      <c r="C9449" s="3" t="s">
        <v>11281</v>
      </c>
      <c r="D9449" s="3" t="s">
        <v>14017</v>
      </c>
      <c r="E9449" s="3" t="s">
        <v>1354</v>
      </c>
      <c r="F9449" s="3" t="s">
        <v>1355</v>
      </c>
    </row>
    <row r="9450">
      <c r="A9450" s="3">
        <v>914.0</v>
      </c>
      <c r="B9450" s="3" t="s">
        <v>19423</v>
      </c>
      <c r="C9450" s="3" t="s">
        <v>11281</v>
      </c>
      <c r="D9450" s="3" t="s">
        <v>14018</v>
      </c>
      <c r="E9450" s="3" t="s">
        <v>14019</v>
      </c>
      <c r="F9450" s="3" t="s">
        <v>14020</v>
      </c>
    </row>
    <row r="9451">
      <c r="A9451" s="3">
        <v>915.0</v>
      </c>
      <c r="B9451" s="3" t="s">
        <v>19423</v>
      </c>
      <c r="C9451" s="3" t="s">
        <v>11281</v>
      </c>
      <c r="D9451" s="3" t="s">
        <v>14021</v>
      </c>
      <c r="E9451" s="3" t="s">
        <v>14022</v>
      </c>
      <c r="F9451" s="3" t="s">
        <v>14023</v>
      </c>
      <c r="G9451" s="3"/>
      <c r="H9451" s="3" t="s">
        <v>14024</v>
      </c>
      <c r="I9451" s="3" t="s">
        <v>14025</v>
      </c>
    </row>
    <row r="9452">
      <c r="A9452" s="3">
        <v>916.0</v>
      </c>
      <c r="B9452" s="3" t="s">
        <v>19423</v>
      </c>
      <c r="C9452" s="3" t="s">
        <v>11281</v>
      </c>
      <c r="D9452" s="3" t="s">
        <v>14026</v>
      </c>
      <c r="E9452" s="3" t="s">
        <v>14027</v>
      </c>
      <c r="F9452" s="3" t="s">
        <v>14028</v>
      </c>
    </row>
    <row r="9453">
      <c r="A9453" s="3">
        <v>917.0</v>
      </c>
      <c r="B9453" s="3" t="s">
        <v>19423</v>
      </c>
      <c r="C9453" s="3" t="s">
        <v>11281</v>
      </c>
      <c r="D9453" s="3" t="s">
        <v>14029</v>
      </c>
      <c r="E9453" s="3" t="s">
        <v>14030</v>
      </c>
      <c r="F9453" s="3" t="s">
        <v>14031</v>
      </c>
    </row>
    <row r="9454">
      <c r="A9454" s="3">
        <v>918.0</v>
      </c>
      <c r="B9454" s="3" t="s">
        <v>19423</v>
      </c>
      <c r="C9454" s="3" t="s">
        <v>11281</v>
      </c>
      <c r="D9454" s="3" t="s">
        <v>14032</v>
      </c>
      <c r="E9454" s="3" t="s">
        <v>14033</v>
      </c>
      <c r="F9454" s="3" t="s">
        <v>14034</v>
      </c>
    </row>
    <row r="9455">
      <c r="A9455" s="3">
        <v>919.0</v>
      </c>
      <c r="B9455" s="3" t="s">
        <v>19423</v>
      </c>
      <c r="C9455" s="3" t="s">
        <v>11281</v>
      </c>
      <c r="D9455" s="3" t="s">
        <v>14035</v>
      </c>
      <c r="E9455" s="3" t="s">
        <v>14036</v>
      </c>
      <c r="F9455" s="3" t="s">
        <v>14037</v>
      </c>
    </row>
    <row r="9456">
      <c r="A9456" s="3">
        <v>920.0</v>
      </c>
      <c r="B9456" s="3" t="s">
        <v>19423</v>
      </c>
      <c r="C9456" s="3" t="s">
        <v>11281</v>
      </c>
      <c r="D9456" s="3" t="s">
        <v>14038</v>
      </c>
      <c r="E9456" s="3" t="s">
        <v>14039</v>
      </c>
      <c r="F9456" s="3" t="s">
        <v>14040</v>
      </c>
    </row>
    <row r="9457">
      <c r="A9457" s="3">
        <v>921.0</v>
      </c>
      <c r="B9457" s="3" t="s">
        <v>19423</v>
      </c>
      <c r="C9457" s="3" t="s">
        <v>11281</v>
      </c>
      <c r="D9457" s="3" t="s">
        <v>14041</v>
      </c>
      <c r="E9457" s="3" t="s">
        <v>14042</v>
      </c>
      <c r="F9457" s="3" t="s">
        <v>14043</v>
      </c>
    </row>
    <row r="9458">
      <c r="A9458" s="3">
        <v>922.0</v>
      </c>
      <c r="B9458" s="3" t="s">
        <v>19423</v>
      </c>
      <c r="C9458" s="3" t="s">
        <v>11281</v>
      </c>
      <c r="D9458" s="3" t="s">
        <v>14044</v>
      </c>
      <c r="E9458" s="3" t="s">
        <v>14045</v>
      </c>
      <c r="F9458" s="3" t="s">
        <v>14046</v>
      </c>
    </row>
    <row r="9459">
      <c r="A9459" s="3">
        <v>923.0</v>
      </c>
      <c r="B9459" s="3" t="s">
        <v>19423</v>
      </c>
      <c r="C9459" s="3" t="s">
        <v>11281</v>
      </c>
      <c r="D9459" s="3" t="s">
        <v>14047</v>
      </c>
      <c r="E9459" s="3" t="s">
        <v>14048</v>
      </c>
      <c r="F9459" s="3" t="s">
        <v>14049</v>
      </c>
    </row>
    <row r="9460">
      <c r="A9460" s="3">
        <v>924.0</v>
      </c>
      <c r="B9460" s="3" t="s">
        <v>19423</v>
      </c>
      <c r="C9460" s="3" t="s">
        <v>11281</v>
      </c>
      <c r="D9460" s="3" t="s">
        <v>14050</v>
      </c>
      <c r="E9460" s="3" t="s">
        <v>14051</v>
      </c>
      <c r="F9460" s="3" t="s">
        <v>14052</v>
      </c>
    </row>
    <row r="9461">
      <c r="A9461" s="3">
        <v>925.0</v>
      </c>
      <c r="B9461" s="3" t="s">
        <v>19423</v>
      </c>
      <c r="C9461" s="3" t="s">
        <v>11281</v>
      </c>
      <c r="D9461" s="3" t="s">
        <v>14053</v>
      </c>
      <c r="E9461" s="3" t="s">
        <v>14054</v>
      </c>
      <c r="F9461" s="3" t="s">
        <v>14055</v>
      </c>
    </row>
    <row r="9462">
      <c r="A9462" s="3">
        <v>926.0</v>
      </c>
      <c r="B9462" s="3" t="s">
        <v>19423</v>
      </c>
      <c r="C9462" s="3" t="s">
        <v>11281</v>
      </c>
      <c r="D9462" s="3" t="s">
        <v>14056</v>
      </c>
      <c r="E9462" s="3" t="s">
        <v>5394</v>
      </c>
      <c r="F9462" s="3" t="s">
        <v>5395</v>
      </c>
    </row>
    <row r="9463">
      <c r="A9463" s="3">
        <v>927.0</v>
      </c>
      <c r="B9463" s="3" t="s">
        <v>19423</v>
      </c>
      <c r="C9463" s="3" t="s">
        <v>11281</v>
      </c>
      <c r="D9463" s="3" t="s">
        <v>14057</v>
      </c>
      <c r="E9463" s="3" t="s">
        <v>14058</v>
      </c>
      <c r="F9463" s="3" t="s">
        <v>14059</v>
      </c>
    </row>
    <row r="9464">
      <c r="A9464" s="3">
        <v>928.0</v>
      </c>
      <c r="B9464" s="3" t="s">
        <v>19423</v>
      </c>
      <c r="C9464" s="3" t="s">
        <v>11281</v>
      </c>
      <c r="D9464" s="3" t="s">
        <v>14060</v>
      </c>
      <c r="E9464" s="3" t="s">
        <v>14061</v>
      </c>
      <c r="F9464" s="3" t="s">
        <v>14062</v>
      </c>
    </row>
    <row r="9465">
      <c r="A9465" s="3">
        <v>929.0</v>
      </c>
      <c r="B9465" s="3" t="s">
        <v>19423</v>
      </c>
      <c r="C9465" s="3" t="s">
        <v>11281</v>
      </c>
      <c r="D9465" s="3" t="s">
        <v>14063</v>
      </c>
      <c r="E9465" s="3" t="s">
        <v>14064</v>
      </c>
      <c r="F9465" s="3" t="s">
        <v>14065</v>
      </c>
    </row>
    <row r="9466">
      <c r="A9466" s="3">
        <v>930.0</v>
      </c>
      <c r="B9466" s="3" t="s">
        <v>19423</v>
      </c>
      <c r="C9466" s="3" t="s">
        <v>11281</v>
      </c>
      <c r="D9466" s="3" t="s">
        <v>14066</v>
      </c>
      <c r="E9466" s="3" t="s">
        <v>14067</v>
      </c>
      <c r="F9466" s="3" t="s">
        <v>14068</v>
      </c>
    </row>
    <row r="9467">
      <c r="A9467" s="3">
        <v>931.0</v>
      </c>
      <c r="B9467" s="3" t="s">
        <v>19423</v>
      </c>
      <c r="C9467" s="3" t="s">
        <v>11281</v>
      </c>
      <c r="D9467" s="3" t="s">
        <v>14069</v>
      </c>
      <c r="E9467" s="3" t="s">
        <v>14070</v>
      </c>
      <c r="F9467" s="3" t="s">
        <v>14071</v>
      </c>
      <c r="G9467" s="3"/>
      <c r="H9467" s="3" t="s">
        <v>14072</v>
      </c>
      <c r="I9467" s="3" t="s">
        <v>14073</v>
      </c>
      <c r="J9467" s="3" t="s">
        <v>14074</v>
      </c>
      <c r="K9467" s="3" t="s">
        <v>14075</v>
      </c>
      <c r="L9467" s="3" t="s">
        <v>14075</v>
      </c>
    </row>
    <row r="9468">
      <c r="A9468" s="3">
        <v>932.0</v>
      </c>
      <c r="B9468" s="3" t="s">
        <v>19423</v>
      </c>
      <c r="C9468" s="3" t="s">
        <v>11281</v>
      </c>
      <c r="D9468" s="3" t="s">
        <v>14076</v>
      </c>
      <c r="E9468" s="3" t="s">
        <v>14077</v>
      </c>
      <c r="F9468" s="3" t="s">
        <v>14078</v>
      </c>
    </row>
    <row r="9469">
      <c r="A9469" s="3">
        <v>933.0</v>
      </c>
      <c r="B9469" s="3" t="s">
        <v>19423</v>
      </c>
      <c r="C9469" s="3" t="s">
        <v>11281</v>
      </c>
      <c r="D9469" s="3" t="s">
        <v>14079</v>
      </c>
      <c r="E9469" s="3" t="s">
        <v>14080</v>
      </c>
      <c r="F9469" s="3" t="s">
        <v>14081</v>
      </c>
    </row>
    <row r="9470">
      <c r="A9470" s="3">
        <v>934.0</v>
      </c>
      <c r="B9470" s="3" t="s">
        <v>19423</v>
      </c>
      <c r="C9470" s="3" t="s">
        <v>11281</v>
      </c>
      <c r="D9470" s="3" t="s">
        <v>14082</v>
      </c>
      <c r="E9470" s="3" t="s">
        <v>14083</v>
      </c>
      <c r="F9470" s="3" t="s">
        <v>14084</v>
      </c>
    </row>
    <row r="9471">
      <c r="A9471" s="3">
        <v>935.0</v>
      </c>
      <c r="B9471" s="3" t="s">
        <v>19423</v>
      </c>
      <c r="C9471" s="3" t="s">
        <v>11281</v>
      </c>
      <c r="D9471" s="3" t="s">
        <v>14085</v>
      </c>
      <c r="E9471" s="3" t="s">
        <v>14086</v>
      </c>
      <c r="F9471" s="3" t="s">
        <v>14087</v>
      </c>
    </row>
    <row r="9472">
      <c r="A9472" s="3">
        <v>936.0</v>
      </c>
      <c r="B9472" s="3" t="s">
        <v>19423</v>
      </c>
      <c r="C9472" s="3" t="s">
        <v>11281</v>
      </c>
      <c r="D9472" s="3" t="s">
        <v>14088</v>
      </c>
      <c r="E9472" s="3" t="s">
        <v>14089</v>
      </c>
      <c r="F9472" s="3" t="s">
        <v>14090</v>
      </c>
    </row>
    <row r="9473">
      <c r="A9473" s="3">
        <v>937.0</v>
      </c>
      <c r="B9473" s="3" t="s">
        <v>19423</v>
      </c>
      <c r="C9473" s="3" t="s">
        <v>11281</v>
      </c>
      <c r="D9473" s="3" t="s">
        <v>14091</v>
      </c>
      <c r="E9473" s="3" t="s">
        <v>5403</v>
      </c>
      <c r="F9473" s="3" t="s">
        <v>5404</v>
      </c>
    </row>
    <row r="9474">
      <c r="A9474" s="3">
        <v>938.0</v>
      </c>
      <c r="B9474" s="3" t="s">
        <v>19423</v>
      </c>
      <c r="C9474" s="3" t="s">
        <v>11281</v>
      </c>
      <c r="D9474" s="3" t="s">
        <v>14092</v>
      </c>
      <c r="E9474" s="3" t="s">
        <v>19820</v>
      </c>
      <c r="F9474" s="3" t="s">
        <v>19821</v>
      </c>
    </row>
    <row r="9475">
      <c r="A9475" s="3">
        <v>939.0</v>
      </c>
      <c r="B9475" s="3" t="s">
        <v>19423</v>
      </c>
      <c r="C9475" s="3" t="s">
        <v>11281</v>
      </c>
      <c r="D9475" s="3" t="s">
        <v>14093</v>
      </c>
      <c r="E9475" s="3" t="s">
        <v>19822</v>
      </c>
      <c r="F9475" s="3" t="s">
        <v>19823</v>
      </c>
      <c r="G9475" s="3"/>
      <c r="H9475" s="3" t="s">
        <v>6602</v>
      </c>
      <c r="I9475" s="3" t="s">
        <v>14094</v>
      </c>
      <c r="J9475" s="3" t="s">
        <v>14095</v>
      </c>
      <c r="K9475" s="3" t="s">
        <v>14096</v>
      </c>
      <c r="L9475" s="3" t="s">
        <v>1617</v>
      </c>
      <c r="M9475" s="3" t="s">
        <v>1618</v>
      </c>
      <c r="N9475" s="3" t="s">
        <v>1617</v>
      </c>
      <c r="O9475" s="3" t="s">
        <v>1618</v>
      </c>
      <c r="P9475" s="3" t="s">
        <v>14097</v>
      </c>
      <c r="Q9475" s="3" t="s">
        <v>14098</v>
      </c>
      <c r="R9475" s="3" t="s">
        <v>14099</v>
      </c>
      <c r="S9475" s="3" t="s">
        <v>14100</v>
      </c>
      <c r="T9475" s="3" t="s">
        <v>1617</v>
      </c>
    </row>
    <row r="9476">
      <c r="A9476" s="3">
        <v>940.0</v>
      </c>
      <c r="B9476" s="3" t="s">
        <v>19423</v>
      </c>
      <c r="C9476" s="3" t="s">
        <v>11281</v>
      </c>
      <c r="D9476" s="3" t="s">
        <v>14101</v>
      </c>
      <c r="E9476" s="3" t="s">
        <v>19824</v>
      </c>
      <c r="F9476" s="3" t="s">
        <v>19825</v>
      </c>
    </row>
    <row r="9477">
      <c r="A9477" s="3">
        <v>941.0</v>
      </c>
      <c r="B9477" s="3" t="s">
        <v>19423</v>
      </c>
      <c r="C9477" s="3" t="s">
        <v>11281</v>
      </c>
      <c r="D9477" s="3" t="s">
        <v>14102</v>
      </c>
      <c r="E9477" s="3" t="s">
        <v>19826</v>
      </c>
      <c r="F9477" s="3" t="s">
        <v>19827</v>
      </c>
      <c r="G9477" s="3"/>
      <c r="H9477" s="3" t="s">
        <v>1617</v>
      </c>
      <c r="I9477" s="3" t="s">
        <v>1621</v>
      </c>
      <c r="J9477" s="3" t="s">
        <v>1622</v>
      </c>
      <c r="K9477" s="3" t="s">
        <v>1623</v>
      </c>
      <c r="L9477" s="3" t="s">
        <v>3027</v>
      </c>
      <c r="M9477" s="3" t="s">
        <v>1617</v>
      </c>
      <c r="N9477" s="3" t="s">
        <v>14103</v>
      </c>
      <c r="O9477" s="3" t="s">
        <v>14103</v>
      </c>
      <c r="P9477" s="3" t="s">
        <v>14104</v>
      </c>
      <c r="Q9477" s="3" t="s">
        <v>14105</v>
      </c>
      <c r="R9477" s="3" t="s">
        <v>14106</v>
      </c>
      <c r="S9477" s="3" t="s">
        <v>14107</v>
      </c>
      <c r="T9477" s="3" t="s">
        <v>14108</v>
      </c>
      <c r="U9477" s="3" t="s">
        <v>14109</v>
      </c>
      <c r="V9477" s="3" t="s">
        <v>3441</v>
      </c>
      <c r="W9477" s="3" t="s">
        <v>265</v>
      </c>
      <c r="X9477" s="3" t="s">
        <v>1617</v>
      </c>
      <c r="Y9477" s="3" t="s">
        <v>1624</v>
      </c>
    </row>
    <row r="9478">
      <c r="A9478" s="3">
        <v>942.0</v>
      </c>
      <c r="B9478" s="3" t="s">
        <v>19423</v>
      </c>
      <c r="C9478" s="3" t="s">
        <v>11281</v>
      </c>
      <c r="D9478" s="3" t="s">
        <v>14110</v>
      </c>
      <c r="E9478" s="3" t="s">
        <v>19828</v>
      </c>
      <c r="F9478" s="3" t="s">
        <v>19829</v>
      </c>
    </row>
    <row r="9479">
      <c r="A9479" s="3">
        <v>943.0</v>
      </c>
      <c r="B9479" s="3" t="s">
        <v>19423</v>
      </c>
      <c r="C9479" s="3" t="s">
        <v>11281</v>
      </c>
      <c r="D9479" s="3" t="s">
        <v>14111</v>
      </c>
      <c r="E9479" s="3" t="s">
        <v>19830</v>
      </c>
      <c r="F9479" s="3" t="s">
        <v>19831</v>
      </c>
    </row>
    <row r="9480">
      <c r="A9480" s="3">
        <v>944.0</v>
      </c>
      <c r="B9480" s="3" t="s">
        <v>19423</v>
      </c>
      <c r="C9480" s="3" t="s">
        <v>11281</v>
      </c>
      <c r="D9480" s="3" t="s">
        <v>14112</v>
      </c>
      <c r="E9480" s="3" t="s">
        <v>19832</v>
      </c>
      <c r="F9480" s="3" t="s">
        <v>19833</v>
      </c>
    </row>
    <row r="9481">
      <c r="A9481" s="3">
        <v>945.0</v>
      </c>
      <c r="B9481" s="3" t="s">
        <v>19423</v>
      </c>
      <c r="C9481" s="3" t="s">
        <v>11281</v>
      </c>
      <c r="D9481" s="3" t="s">
        <v>14113</v>
      </c>
      <c r="E9481" s="3" t="s">
        <v>19834</v>
      </c>
      <c r="F9481" s="3" t="s">
        <v>19835</v>
      </c>
    </row>
    <row r="9482">
      <c r="A9482" s="3">
        <v>946.0</v>
      </c>
      <c r="B9482" s="3" t="s">
        <v>19423</v>
      </c>
      <c r="C9482" s="3" t="s">
        <v>11281</v>
      </c>
      <c r="D9482" s="3" t="s">
        <v>14114</v>
      </c>
      <c r="E9482" s="3" t="s">
        <v>19836</v>
      </c>
      <c r="F9482" s="3" t="s">
        <v>19837</v>
      </c>
    </row>
    <row r="9483">
      <c r="A9483" s="3">
        <v>947.0</v>
      </c>
      <c r="B9483" s="3" t="s">
        <v>19423</v>
      </c>
      <c r="C9483" s="3" t="s">
        <v>11281</v>
      </c>
      <c r="D9483" s="3" t="s">
        <v>14117</v>
      </c>
      <c r="E9483" s="3" t="s">
        <v>19838</v>
      </c>
      <c r="F9483" s="3" t="s">
        <v>19839</v>
      </c>
    </row>
    <row r="9484">
      <c r="A9484" s="3">
        <v>948.0</v>
      </c>
      <c r="B9484" s="3" t="s">
        <v>19423</v>
      </c>
      <c r="C9484" s="3" t="s">
        <v>11281</v>
      </c>
      <c r="D9484" s="3" t="s">
        <v>14120</v>
      </c>
      <c r="E9484" s="3" t="s">
        <v>19840</v>
      </c>
      <c r="F9484" s="3" t="s">
        <v>19841</v>
      </c>
    </row>
    <row r="9485">
      <c r="A9485" s="3">
        <v>949.0</v>
      </c>
      <c r="B9485" s="3" t="s">
        <v>19423</v>
      </c>
      <c r="C9485" s="3" t="s">
        <v>11281</v>
      </c>
      <c r="D9485" s="3" t="s">
        <v>14123</v>
      </c>
      <c r="E9485" s="3" t="s">
        <v>19842</v>
      </c>
      <c r="F9485" s="3" t="s">
        <v>19843</v>
      </c>
    </row>
    <row r="9486">
      <c r="A9486" s="3">
        <v>950.0</v>
      </c>
      <c r="B9486" s="3" t="s">
        <v>19423</v>
      </c>
      <c r="C9486" s="3" t="s">
        <v>11281</v>
      </c>
      <c r="D9486" s="3" t="s">
        <v>14126</v>
      </c>
      <c r="E9486" s="3" t="s">
        <v>19844</v>
      </c>
      <c r="F9486" s="3" t="s">
        <v>19845</v>
      </c>
    </row>
    <row r="9487">
      <c r="A9487" s="3">
        <v>951.0</v>
      </c>
      <c r="B9487" s="3" t="s">
        <v>19423</v>
      </c>
      <c r="C9487" s="3" t="s">
        <v>11281</v>
      </c>
      <c r="D9487" s="3" t="s">
        <v>14129</v>
      </c>
      <c r="E9487" s="3" t="s">
        <v>19846</v>
      </c>
      <c r="F9487" s="3" t="s">
        <v>19847</v>
      </c>
    </row>
    <row r="9488">
      <c r="A9488" s="3">
        <v>952.0</v>
      </c>
      <c r="B9488" s="3" t="s">
        <v>19423</v>
      </c>
      <c r="C9488" s="3" t="s">
        <v>11281</v>
      </c>
      <c r="D9488" s="3" t="s">
        <v>14132</v>
      </c>
      <c r="E9488" s="3" t="s">
        <v>19848</v>
      </c>
      <c r="F9488" s="3" t="s">
        <v>19849</v>
      </c>
      <c r="G9488" s="3"/>
      <c r="H9488" s="3" t="s">
        <v>1956</v>
      </c>
      <c r="I9488" s="3" t="s">
        <v>14135</v>
      </c>
      <c r="J9488" s="3" t="s">
        <v>14136</v>
      </c>
      <c r="K9488" s="3" t="s">
        <v>1954</v>
      </c>
      <c r="L9488" s="3" t="s">
        <v>1955</v>
      </c>
      <c r="M9488" s="3" t="s">
        <v>1956</v>
      </c>
      <c r="N9488" s="3" t="s">
        <v>1957</v>
      </c>
      <c r="O9488" s="3" t="s">
        <v>1958</v>
      </c>
      <c r="P9488" s="3" t="s">
        <v>1959</v>
      </c>
      <c r="Q9488" s="3" t="s">
        <v>1961</v>
      </c>
      <c r="R9488" s="3" t="s">
        <v>1964</v>
      </c>
      <c r="S9488" s="3" t="s">
        <v>1965</v>
      </c>
      <c r="T9488" s="3" t="s">
        <v>1954</v>
      </c>
      <c r="U9488" s="3" t="s">
        <v>1966</v>
      </c>
      <c r="V9488" s="3" t="s">
        <v>1959</v>
      </c>
      <c r="W9488" s="3" t="s">
        <v>1967</v>
      </c>
      <c r="X9488" s="3" t="s">
        <v>1968</v>
      </c>
      <c r="Y9488" s="3" t="s">
        <v>1969</v>
      </c>
      <c r="Z9488" s="3" t="s">
        <v>1957</v>
      </c>
    </row>
    <row r="9489">
      <c r="A9489" s="3">
        <v>953.0</v>
      </c>
      <c r="B9489" s="3" t="s">
        <v>19423</v>
      </c>
      <c r="C9489" s="3" t="s">
        <v>11281</v>
      </c>
      <c r="D9489" s="3" t="s">
        <v>14137</v>
      </c>
      <c r="E9489" s="3" t="s">
        <v>19850</v>
      </c>
      <c r="F9489" s="3" t="s">
        <v>19851</v>
      </c>
    </row>
    <row r="9490">
      <c r="A9490" s="3">
        <v>954.0</v>
      </c>
      <c r="B9490" s="3" t="s">
        <v>19423</v>
      </c>
      <c r="C9490" s="3" t="s">
        <v>11281</v>
      </c>
      <c r="D9490" s="3" t="s">
        <v>14140</v>
      </c>
      <c r="E9490" s="3" t="s">
        <v>19852</v>
      </c>
      <c r="F9490" s="3" t="s">
        <v>19853</v>
      </c>
    </row>
    <row r="9491">
      <c r="A9491" s="3">
        <v>955.0</v>
      </c>
      <c r="B9491" s="3" t="s">
        <v>19423</v>
      </c>
      <c r="C9491" s="3" t="s">
        <v>11281</v>
      </c>
      <c r="D9491" s="3" t="s">
        <v>14141</v>
      </c>
      <c r="E9491" s="3" t="s">
        <v>19854</v>
      </c>
      <c r="F9491" s="3" t="s">
        <v>19855</v>
      </c>
    </row>
    <row r="9492">
      <c r="A9492" s="3">
        <v>956.0</v>
      </c>
      <c r="B9492" s="3" t="s">
        <v>19423</v>
      </c>
      <c r="C9492" s="3" t="s">
        <v>11281</v>
      </c>
      <c r="D9492" s="3" t="s">
        <v>14144</v>
      </c>
      <c r="E9492" s="3" t="s">
        <v>19856</v>
      </c>
      <c r="F9492" s="3" t="s">
        <v>19857</v>
      </c>
    </row>
    <row r="9493">
      <c r="A9493" s="3">
        <v>957.0</v>
      </c>
      <c r="B9493" s="3" t="s">
        <v>19423</v>
      </c>
      <c r="C9493" s="3" t="s">
        <v>11281</v>
      </c>
      <c r="D9493" s="3" t="s">
        <v>14145</v>
      </c>
      <c r="E9493" s="3" t="s">
        <v>19858</v>
      </c>
      <c r="F9493" s="3" t="s">
        <v>19859</v>
      </c>
    </row>
    <row r="9494">
      <c r="A9494" s="3">
        <v>958.0</v>
      </c>
      <c r="B9494" s="3" t="s">
        <v>19423</v>
      </c>
      <c r="C9494" s="3" t="s">
        <v>11281</v>
      </c>
      <c r="D9494" s="3" t="s">
        <v>14148</v>
      </c>
      <c r="E9494" s="3" t="s">
        <v>19860</v>
      </c>
      <c r="F9494" s="3" t="s">
        <v>19861</v>
      </c>
    </row>
    <row r="9495">
      <c r="A9495" s="3">
        <v>959.0</v>
      </c>
      <c r="B9495" s="3" t="s">
        <v>19423</v>
      </c>
      <c r="C9495" s="3" t="s">
        <v>11281</v>
      </c>
      <c r="D9495" s="3" t="s">
        <v>14151</v>
      </c>
      <c r="E9495" s="3" t="s">
        <v>19862</v>
      </c>
      <c r="F9495" s="3" t="s">
        <v>19863</v>
      </c>
    </row>
    <row r="9496">
      <c r="A9496" s="3">
        <v>960.0</v>
      </c>
      <c r="B9496" s="3" t="s">
        <v>19423</v>
      </c>
      <c r="C9496" s="3" t="s">
        <v>11281</v>
      </c>
      <c r="D9496" s="3" t="s">
        <v>14154</v>
      </c>
      <c r="E9496" s="3" t="s">
        <v>19864</v>
      </c>
      <c r="F9496" s="3" t="s">
        <v>19865</v>
      </c>
    </row>
    <row r="9497">
      <c r="A9497" s="3">
        <v>961.0</v>
      </c>
      <c r="B9497" s="3" t="s">
        <v>19423</v>
      </c>
      <c r="C9497" s="3" t="s">
        <v>11281</v>
      </c>
      <c r="D9497" s="3" t="s">
        <v>14157</v>
      </c>
      <c r="E9497" s="3" t="s">
        <v>19866</v>
      </c>
      <c r="F9497" s="3" t="s">
        <v>19867</v>
      </c>
    </row>
    <row r="9498">
      <c r="A9498" s="3">
        <v>962.0</v>
      </c>
      <c r="B9498" s="3" t="s">
        <v>19423</v>
      </c>
      <c r="C9498" s="3" t="s">
        <v>11281</v>
      </c>
      <c r="D9498" s="3" t="s">
        <v>14160</v>
      </c>
      <c r="E9498" s="3" t="s">
        <v>19868</v>
      </c>
      <c r="F9498" s="3" t="s">
        <v>19869</v>
      </c>
    </row>
    <row r="9499">
      <c r="A9499" s="3">
        <v>963.0</v>
      </c>
      <c r="B9499" s="3" t="s">
        <v>19423</v>
      </c>
      <c r="C9499" s="3" t="s">
        <v>11281</v>
      </c>
      <c r="D9499" s="3" t="s">
        <v>7050</v>
      </c>
      <c r="E9499" s="3" t="s">
        <v>19870</v>
      </c>
      <c r="F9499" s="3" t="s">
        <v>19871</v>
      </c>
      <c r="G9499" s="3"/>
      <c r="H9499" s="3" t="s">
        <v>14163</v>
      </c>
      <c r="I9499" s="3" t="s">
        <v>14164</v>
      </c>
      <c r="J9499" s="3" t="s">
        <v>14165</v>
      </c>
      <c r="K9499" s="3" t="s">
        <v>14166</v>
      </c>
      <c r="L9499" s="3" t="s">
        <v>14167</v>
      </c>
      <c r="M9499" s="3" t="s">
        <v>14168</v>
      </c>
      <c r="N9499" s="3" t="s">
        <v>14168</v>
      </c>
      <c r="O9499" s="3" t="s">
        <v>14169</v>
      </c>
      <c r="P9499" s="3" t="s">
        <v>14170</v>
      </c>
      <c r="Q9499" s="3" t="s">
        <v>14171</v>
      </c>
      <c r="R9499" s="3" t="s">
        <v>14172</v>
      </c>
      <c r="S9499" s="3" t="s">
        <v>14173</v>
      </c>
      <c r="T9499" s="3" t="s">
        <v>14166</v>
      </c>
      <c r="U9499" s="3" t="s">
        <v>14174</v>
      </c>
      <c r="V9499" s="3" t="s">
        <v>14175</v>
      </c>
      <c r="W9499" s="3" t="s">
        <v>14176</v>
      </c>
      <c r="X9499" s="3" t="s">
        <v>14177</v>
      </c>
      <c r="Y9499" s="3" t="s">
        <v>14165</v>
      </c>
      <c r="Z9499" s="3" t="s">
        <v>14174</v>
      </c>
      <c r="AA9499" s="3" t="s">
        <v>14178</v>
      </c>
    </row>
    <row r="9500">
      <c r="A9500" s="3">
        <v>964.0</v>
      </c>
      <c r="B9500" s="3" t="s">
        <v>19423</v>
      </c>
      <c r="C9500" s="3" t="s">
        <v>11281</v>
      </c>
      <c r="D9500" s="3" t="s">
        <v>14179</v>
      </c>
      <c r="E9500" s="3" t="s">
        <v>19872</v>
      </c>
      <c r="F9500" s="3" t="s">
        <v>19873</v>
      </c>
    </row>
    <row r="9501">
      <c r="A9501" s="3">
        <v>965.0</v>
      </c>
      <c r="B9501" s="3" t="s">
        <v>19423</v>
      </c>
      <c r="C9501" s="3" t="s">
        <v>11281</v>
      </c>
      <c r="D9501" s="3" t="s">
        <v>14182</v>
      </c>
      <c r="E9501" s="3" t="s">
        <v>19874</v>
      </c>
      <c r="F9501" s="3" t="s">
        <v>19875</v>
      </c>
    </row>
    <row r="9502">
      <c r="A9502" s="3">
        <v>966.0</v>
      </c>
      <c r="B9502" s="3" t="s">
        <v>19423</v>
      </c>
      <c r="C9502" s="3" t="s">
        <v>11281</v>
      </c>
      <c r="D9502" s="3" t="s">
        <v>14185</v>
      </c>
      <c r="E9502" s="3" t="s">
        <v>19876</v>
      </c>
      <c r="F9502" s="3" t="s">
        <v>19877</v>
      </c>
    </row>
    <row r="9503">
      <c r="A9503" s="3">
        <v>967.0</v>
      </c>
      <c r="B9503" s="3" t="s">
        <v>19423</v>
      </c>
      <c r="C9503" s="3" t="s">
        <v>11281</v>
      </c>
      <c r="D9503" s="3" t="s">
        <v>14188</v>
      </c>
      <c r="E9503" s="3" t="s">
        <v>19878</v>
      </c>
      <c r="F9503" s="3" t="s">
        <v>19879</v>
      </c>
      <c r="G9503" s="3"/>
      <c r="H9503" s="3" t="s">
        <v>14191</v>
      </c>
      <c r="I9503" s="3" t="s">
        <v>14192</v>
      </c>
      <c r="J9503" s="3" t="s">
        <v>14193</v>
      </c>
      <c r="K9503" s="3" t="s">
        <v>14194</v>
      </c>
      <c r="L9503" s="3" t="s">
        <v>14195</v>
      </c>
      <c r="M9503" s="3" t="s">
        <v>14169</v>
      </c>
      <c r="N9503" s="3" t="s">
        <v>14173</v>
      </c>
      <c r="O9503" s="3" t="s">
        <v>14169</v>
      </c>
      <c r="P9503" s="3" t="s">
        <v>14167</v>
      </c>
      <c r="Q9503" s="3" t="s">
        <v>14169</v>
      </c>
      <c r="R9503" s="3" t="s">
        <v>14167</v>
      </c>
      <c r="S9503" s="3" t="s">
        <v>14169</v>
      </c>
      <c r="T9503" s="3" t="s">
        <v>14173</v>
      </c>
      <c r="U9503" s="3" t="s">
        <v>14196</v>
      </c>
      <c r="V9503" s="3" t="s">
        <v>11743</v>
      </c>
      <c r="W9503" s="3" t="s">
        <v>14169</v>
      </c>
      <c r="X9503" s="3" t="s">
        <v>2997</v>
      </c>
      <c r="Y9503" s="3" t="s">
        <v>14197</v>
      </c>
      <c r="Z9503" s="3" t="s">
        <v>14198</v>
      </c>
      <c r="AA9503" s="3" t="s">
        <v>14199</v>
      </c>
      <c r="AB9503" s="3" t="s">
        <v>14200</v>
      </c>
      <c r="AC9503" s="3" t="s">
        <v>14172</v>
      </c>
      <c r="AD9503" s="3" t="s">
        <v>14169</v>
      </c>
      <c r="AE9503" s="3" t="s">
        <v>14201</v>
      </c>
      <c r="AF9503" s="3" t="s">
        <v>14202</v>
      </c>
      <c r="AG9503" s="3" t="s">
        <v>14193</v>
      </c>
    </row>
    <row r="9504">
      <c r="A9504" s="3">
        <v>968.0</v>
      </c>
      <c r="B9504" s="3" t="s">
        <v>19423</v>
      </c>
      <c r="C9504" s="3" t="s">
        <v>11281</v>
      </c>
      <c r="D9504" s="3" t="s">
        <v>14203</v>
      </c>
      <c r="E9504" s="3" t="s">
        <v>19880</v>
      </c>
      <c r="F9504" s="3" t="s">
        <v>19881</v>
      </c>
    </row>
    <row r="9505">
      <c r="A9505" s="3">
        <v>969.0</v>
      </c>
      <c r="B9505" s="3" t="s">
        <v>19423</v>
      </c>
      <c r="C9505" s="3" t="s">
        <v>11281</v>
      </c>
      <c r="D9505" s="3" t="s">
        <v>14206</v>
      </c>
      <c r="E9505" s="3" t="s">
        <v>19882</v>
      </c>
      <c r="F9505" s="3" t="s">
        <v>19883</v>
      </c>
    </row>
    <row r="9506">
      <c r="A9506" s="3">
        <v>970.0</v>
      </c>
      <c r="B9506" s="3" t="s">
        <v>19423</v>
      </c>
      <c r="C9506" s="3" t="s">
        <v>11281</v>
      </c>
      <c r="D9506" s="3" t="s">
        <v>14209</v>
      </c>
      <c r="E9506" s="3" t="s">
        <v>19884</v>
      </c>
      <c r="F9506" s="3" t="s">
        <v>19885</v>
      </c>
    </row>
    <row r="9507">
      <c r="A9507" s="3">
        <v>971.0</v>
      </c>
      <c r="B9507" s="3" t="s">
        <v>19423</v>
      </c>
      <c r="C9507" s="3" t="s">
        <v>11281</v>
      </c>
      <c r="D9507" s="3" t="s">
        <v>14212</v>
      </c>
      <c r="E9507" s="3" t="s">
        <v>19886</v>
      </c>
      <c r="F9507" s="3" t="s">
        <v>19887</v>
      </c>
    </row>
    <row r="9508">
      <c r="A9508" s="3">
        <v>972.0</v>
      </c>
      <c r="B9508" s="3" t="s">
        <v>19423</v>
      </c>
      <c r="C9508" s="3" t="s">
        <v>11281</v>
      </c>
      <c r="D9508" s="3" t="s">
        <v>14215</v>
      </c>
      <c r="E9508" s="3" t="s">
        <v>19888</v>
      </c>
      <c r="F9508" s="3" t="s">
        <v>19889</v>
      </c>
    </row>
    <row r="9509">
      <c r="A9509" s="3">
        <v>973.0</v>
      </c>
      <c r="B9509" s="3" t="s">
        <v>19423</v>
      </c>
      <c r="C9509" s="3" t="s">
        <v>11281</v>
      </c>
      <c r="D9509" s="3" t="s">
        <v>7053</v>
      </c>
      <c r="E9509" s="3" t="s">
        <v>19890</v>
      </c>
      <c r="F9509" s="3" t="s">
        <v>19891</v>
      </c>
    </row>
    <row r="9510">
      <c r="A9510" s="3">
        <v>974.0</v>
      </c>
      <c r="B9510" s="3" t="s">
        <v>19423</v>
      </c>
      <c r="C9510" s="3" t="s">
        <v>11281</v>
      </c>
      <c r="D9510" s="3" t="s">
        <v>14218</v>
      </c>
      <c r="E9510" s="3" t="s">
        <v>19892</v>
      </c>
      <c r="F9510" s="3" t="s">
        <v>19893</v>
      </c>
      <c r="G9510" s="3"/>
      <c r="H9510" s="3" t="s">
        <v>14221</v>
      </c>
    </row>
    <row r="9511">
      <c r="A9511" s="3">
        <v>975.0</v>
      </c>
      <c r="B9511" s="3" t="s">
        <v>19423</v>
      </c>
      <c r="C9511" s="3" t="s">
        <v>11281</v>
      </c>
      <c r="D9511" s="3" t="s">
        <v>14222</v>
      </c>
      <c r="E9511" s="3" t="s">
        <v>19894</v>
      </c>
      <c r="F9511" s="3" t="s">
        <v>19895</v>
      </c>
    </row>
    <row r="9512">
      <c r="A9512" s="3">
        <v>976.0</v>
      </c>
      <c r="B9512" s="3" t="s">
        <v>19423</v>
      </c>
      <c r="C9512" s="3" t="s">
        <v>11281</v>
      </c>
      <c r="D9512" s="3" t="s">
        <v>14225</v>
      </c>
      <c r="E9512" s="3" t="s">
        <v>19896</v>
      </c>
      <c r="F9512" s="3" t="s">
        <v>19897</v>
      </c>
    </row>
    <row r="9513">
      <c r="A9513" s="3">
        <v>977.0</v>
      </c>
      <c r="B9513" s="3" t="s">
        <v>19423</v>
      </c>
      <c r="C9513" s="3" t="s">
        <v>11281</v>
      </c>
      <c r="D9513" s="3" t="s">
        <v>14228</v>
      </c>
      <c r="E9513" s="3" t="s">
        <v>19898</v>
      </c>
      <c r="F9513" s="3" t="s">
        <v>19899</v>
      </c>
    </row>
    <row r="9514">
      <c r="A9514" s="3">
        <v>978.0</v>
      </c>
      <c r="B9514" s="3" t="s">
        <v>19423</v>
      </c>
      <c r="C9514" s="3" t="s">
        <v>11281</v>
      </c>
      <c r="D9514" s="3" t="s">
        <v>14231</v>
      </c>
      <c r="E9514" s="3" t="s">
        <v>19900</v>
      </c>
      <c r="F9514" s="3" t="s">
        <v>19901</v>
      </c>
    </row>
    <row r="9515">
      <c r="A9515" s="3">
        <v>979.0</v>
      </c>
      <c r="B9515" s="3" t="s">
        <v>19423</v>
      </c>
      <c r="C9515" s="3" t="s">
        <v>11281</v>
      </c>
      <c r="D9515" s="3" t="s">
        <v>14234</v>
      </c>
      <c r="E9515" s="3" t="s">
        <v>19902</v>
      </c>
      <c r="F9515" s="3" t="s">
        <v>19903</v>
      </c>
    </row>
    <row r="9516">
      <c r="A9516" s="3">
        <v>980.0</v>
      </c>
      <c r="B9516" s="3" t="s">
        <v>19423</v>
      </c>
      <c r="C9516" s="3" t="s">
        <v>11281</v>
      </c>
      <c r="D9516" s="3" t="s">
        <v>14237</v>
      </c>
      <c r="E9516" s="3" t="s">
        <v>19904</v>
      </c>
      <c r="F9516" s="3" t="s">
        <v>19905</v>
      </c>
      <c r="G9516" s="3"/>
      <c r="H9516" s="3" t="s">
        <v>14240</v>
      </c>
      <c r="I9516" s="3" t="s">
        <v>14241</v>
      </c>
    </row>
    <row r="9517">
      <c r="A9517" s="3">
        <v>981.0</v>
      </c>
      <c r="B9517" s="3" t="s">
        <v>19423</v>
      </c>
      <c r="C9517" s="3" t="s">
        <v>11281</v>
      </c>
      <c r="D9517" s="3" t="s">
        <v>14242</v>
      </c>
      <c r="E9517" s="3" t="s">
        <v>19906</v>
      </c>
      <c r="F9517" s="3" t="s">
        <v>19907</v>
      </c>
    </row>
    <row r="9518">
      <c r="A9518" s="3">
        <v>982.0</v>
      </c>
      <c r="B9518" s="3" t="s">
        <v>19423</v>
      </c>
      <c r="C9518" s="3" t="s">
        <v>11281</v>
      </c>
      <c r="D9518" s="3" t="s">
        <v>14245</v>
      </c>
      <c r="E9518" s="3" t="s">
        <v>19908</v>
      </c>
      <c r="F9518" s="3" t="s">
        <v>19909</v>
      </c>
    </row>
    <row r="9519">
      <c r="A9519" s="3">
        <v>983.0</v>
      </c>
      <c r="B9519" s="3" t="s">
        <v>19423</v>
      </c>
      <c r="C9519" s="3" t="s">
        <v>11281</v>
      </c>
      <c r="D9519" s="3" t="s">
        <v>14248</v>
      </c>
      <c r="E9519" s="3" t="s">
        <v>19910</v>
      </c>
      <c r="F9519" s="3" t="s">
        <v>19911</v>
      </c>
    </row>
    <row r="9520">
      <c r="A9520" s="3">
        <v>984.0</v>
      </c>
      <c r="B9520" s="3" t="s">
        <v>19423</v>
      </c>
      <c r="C9520" s="3" t="s">
        <v>11281</v>
      </c>
      <c r="D9520" s="3" t="s">
        <v>14251</v>
      </c>
      <c r="E9520" s="3" t="s">
        <v>19912</v>
      </c>
      <c r="F9520" s="3" t="s">
        <v>19913</v>
      </c>
    </row>
    <row r="9521">
      <c r="A9521" s="3">
        <v>985.0</v>
      </c>
      <c r="B9521" s="3" t="s">
        <v>19423</v>
      </c>
      <c r="C9521" s="3" t="s">
        <v>11281</v>
      </c>
      <c r="D9521" s="3" t="s">
        <v>14254</v>
      </c>
      <c r="E9521" s="3" t="s">
        <v>19914</v>
      </c>
      <c r="F9521" s="3" t="s">
        <v>19915</v>
      </c>
    </row>
    <row r="9522">
      <c r="A9522" s="3">
        <v>986.0</v>
      </c>
      <c r="B9522" s="3" t="s">
        <v>19423</v>
      </c>
      <c r="C9522" s="3" t="s">
        <v>11281</v>
      </c>
      <c r="D9522" s="3" t="s">
        <v>14257</v>
      </c>
      <c r="E9522" s="3" t="s">
        <v>19916</v>
      </c>
      <c r="F9522" s="3" t="s">
        <v>19917</v>
      </c>
    </row>
    <row r="9523">
      <c r="A9523" s="3">
        <v>987.0</v>
      </c>
      <c r="B9523" s="3" t="s">
        <v>19423</v>
      </c>
      <c r="C9523" s="3" t="s">
        <v>11281</v>
      </c>
      <c r="D9523" s="3" t="s">
        <v>14260</v>
      </c>
      <c r="E9523" s="3" t="s">
        <v>19918</v>
      </c>
      <c r="F9523" s="3" t="s">
        <v>19919</v>
      </c>
    </row>
    <row r="9524">
      <c r="A9524" s="3">
        <v>988.0</v>
      </c>
      <c r="B9524" s="3" t="s">
        <v>19423</v>
      </c>
      <c r="C9524" s="3" t="s">
        <v>11281</v>
      </c>
      <c r="D9524" s="3" t="s">
        <v>14263</v>
      </c>
      <c r="E9524" s="3" t="s">
        <v>14264</v>
      </c>
      <c r="F9524" s="3" t="s">
        <v>14265</v>
      </c>
    </row>
    <row r="9525">
      <c r="A9525" s="3">
        <v>989.0</v>
      </c>
      <c r="B9525" s="3" t="s">
        <v>19423</v>
      </c>
      <c r="C9525" s="3" t="s">
        <v>11281</v>
      </c>
      <c r="D9525" s="3" t="s">
        <v>14266</v>
      </c>
      <c r="E9525" s="3" t="s">
        <v>14267</v>
      </c>
      <c r="F9525" s="3" t="s">
        <v>14268</v>
      </c>
    </row>
    <row r="9526">
      <c r="A9526" s="3">
        <v>990.0</v>
      </c>
      <c r="B9526" s="3" t="s">
        <v>19423</v>
      </c>
      <c r="C9526" s="3" t="s">
        <v>11281</v>
      </c>
      <c r="D9526" s="3" t="s">
        <v>14269</v>
      </c>
      <c r="E9526" s="3" t="s">
        <v>14270</v>
      </c>
      <c r="F9526" s="3" t="s">
        <v>14271</v>
      </c>
      <c r="G9526" s="3"/>
      <c r="H9526" s="3" t="s">
        <v>3255</v>
      </c>
    </row>
    <row r="9527">
      <c r="A9527" s="3">
        <v>991.0</v>
      </c>
      <c r="B9527" s="3" t="s">
        <v>19423</v>
      </c>
      <c r="C9527" s="3" t="s">
        <v>11281</v>
      </c>
      <c r="D9527" s="3" t="s">
        <v>14272</v>
      </c>
      <c r="E9527" s="3" t="s">
        <v>14273</v>
      </c>
      <c r="F9527" s="3" t="s">
        <v>14274</v>
      </c>
    </row>
    <row r="9528">
      <c r="A9528" s="3">
        <v>992.0</v>
      </c>
      <c r="B9528" s="3" t="s">
        <v>19423</v>
      </c>
      <c r="C9528" s="3" t="s">
        <v>11281</v>
      </c>
      <c r="D9528" s="3" t="s">
        <v>14275</v>
      </c>
      <c r="E9528" s="3" t="s">
        <v>14276</v>
      </c>
      <c r="F9528" s="3" t="s">
        <v>14277</v>
      </c>
    </row>
    <row r="9529">
      <c r="A9529" s="3">
        <v>993.0</v>
      </c>
      <c r="B9529" s="3" t="s">
        <v>19423</v>
      </c>
      <c r="C9529" s="3" t="s">
        <v>11281</v>
      </c>
      <c r="D9529" s="3" t="s">
        <v>14278</v>
      </c>
      <c r="E9529" s="3" t="s">
        <v>14279</v>
      </c>
      <c r="F9529" s="3" t="s">
        <v>14280</v>
      </c>
    </row>
    <row r="9530">
      <c r="A9530" s="3">
        <v>994.0</v>
      </c>
      <c r="B9530" s="3" t="s">
        <v>19423</v>
      </c>
      <c r="C9530" s="3" t="s">
        <v>11281</v>
      </c>
      <c r="D9530" s="3" t="s">
        <v>14281</v>
      </c>
      <c r="E9530" s="3" t="s">
        <v>14282</v>
      </c>
      <c r="F9530" s="3" t="s">
        <v>14283</v>
      </c>
    </row>
    <row r="9531">
      <c r="A9531" s="3">
        <v>995.0</v>
      </c>
      <c r="B9531" s="3" t="s">
        <v>19423</v>
      </c>
      <c r="C9531" s="3" t="s">
        <v>11281</v>
      </c>
      <c r="D9531" s="3" t="s">
        <v>14284</v>
      </c>
      <c r="E9531" s="3" t="s">
        <v>14285</v>
      </c>
      <c r="F9531" s="3" t="s">
        <v>14286</v>
      </c>
    </row>
    <row r="9532">
      <c r="A9532" s="3">
        <v>996.0</v>
      </c>
      <c r="B9532" s="3" t="s">
        <v>19423</v>
      </c>
      <c r="C9532" s="3" t="s">
        <v>11281</v>
      </c>
      <c r="D9532" s="3" t="s">
        <v>14287</v>
      </c>
      <c r="E9532" s="3" t="s">
        <v>14288</v>
      </c>
      <c r="F9532" s="3" t="s">
        <v>14289</v>
      </c>
    </row>
    <row r="9533">
      <c r="A9533" s="3">
        <v>997.0</v>
      </c>
      <c r="B9533" s="3" t="s">
        <v>19423</v>
      </c>
      <c r="C9533" s="3" t="s">
        <v>11281</v>
      </c>
      <c r="D9533" s="3" t="s">
        <v>14290</v>
      </c>
      <c r="E9533" s="3" t="s">
        <v>14291</v>
      </c>
      <c r="F9533" s="3" t="s">
        <v>14292</v>
      </c>
    </row>
    <row r="9534">
      <c r="A9534" s="3">
        <v>998.0</v>
      </c>
      <c r="B9534" s="3" t="s">
        <v>19423</v>
      </c>
      <c r="C9534" s="3" t="s">
        <v>11281</v>
      </c>
      <c r="D9534" s="3" t="s">
        <v>14293</v>
      </c>
      <c r="E9534" s="3" t="s">
        <v>14294</v>
      </c>
      <c r="F9534" s="3" t="s">
        <v>14295</v>
      </c>
    </row>
    <row r="9535">
      <c r="A9535" s="3">
        <v>999.0</v>
      </c>
      <c r="B9535" s="3" t="s">
        <v>19423</v>
      </c>
      <c r="C9535" s="3" t="s">
        <v>11281</v>
      </c>
      <c r="D9535" s="3" t="s">
        <v>14296</v>
      </c>
      <c r="E9535" s="3" t="s">
        <v>14297</v>
      </c>
      <c r="F9535" s="3" t="s">
        <v>14298</v>
      </c>
    </row>
    <row r="9536">
      <c r="A9536" s="3">
        <v>1000.0</v>
      </c>
      <c r="B9536" s="3" t="s">
        <v>19423</v>
      </c>
      <c r="C9536" s="3" t="s">
        <v>11281</v>
      </c>
      <c r="D9536" s="3" t="s">
        <v>14299</v>
      </c>
      <c r="E9536" s="3" t="s">
        <v>14300</v>
      </c>
      <c r="F9536" s="3" t="s">
        <v>14301</v>
      </c>
    </row>
    <row r="9537">
      <c r="A9537" s="3">
        <v>1001.0</v>
      </c>
      <c r="B9537" s="3" t="s">
        <v>19423</v>
      </c>
      <c r="C9537" s="3" t="s">
        <v>11281</v>
      </c>
      <c r="D9537" s="3" t="s">
        <v>14302</v>
      </c>
      <c r="E9537" s="3" t="s">
        <v>14303</v>
      </c>
      <c r="F9537" s="3" t="s">
        <v>14304</v>
      </c>
    </row>
    <row r="9538">
      <c r="A9538" s="3">
        <v>1002.0</v>
      </c>
      <c r="B9538" s="3" t="s">
        <v>19423</v>
      </c>
      <c r="C9538" s="3" t="s">
        <v>11281</v>
      </c>
      <c r="D9538" s="3" t="s">
        <v>14305</v>
      </c>
      <c r="E9538" s="3" t="s">
        <v>14306</v>
      </c>
      <c r="F9538" s="3" t="s">
        <v>14307</v>
      </c>
    </row>
    <row r="9539">
      <c r="A9539" s="3">
        <v>1003.0</v>
      </c>
      <c r="B9539" s="3" t="s">
        <v>19423</v>
      </c>
      <c r="C9539" s="3" t="s">
        <v>11281</v>
      </c>
      <c r="D9539" s="3" t="s">
        <v>14308</v>
      </c>
      <c r="E9539" s="3" t="s">
        <v>14309</v>
      </c>
      <c r="F9539" s="3" t="s">
        <v>14310</v>
      </c>
    </row>
    <row r="9540">
      <c r="A9540" s="3">
        <v>1004.0</v>
      </c>
      <c r="B9540" s="3" t="s">
        <v>19423</v>
      </c>
      <c r="C9540" s="3" t="s">
        <v>11281</v>
      </c>
      <c r="D9540" s="3" t="s">
        <v>14311</v>
      </c>
      <c r="E9540" s="3" t="s">
        <v>14312</v>
      </c>
      <c r="F9540" s="3" t="s">
        <v>14313</v>
      </c>
    </row>
    <row r="9541">
      <c r="A9541" s="3">
        <v>1005.0</v>
      </c>
      <c r="B9541" s="3" t="s">
        <v>19423</v>
      </c>
      <c r="C9541" s="3" t="s">
        <v>11281</v>
      </c>
      <c r="D9541" s="3" t="s">
        <v>14314</v>
      </c>
      <c r="E9541" s="3" t="s">
        <v>14315</v>
      </c>
      <c r="F9541" s="3" t="s">
        <v>14316</v>
      </c>
    </row>
    <row r="9542">
      <c r="A9542" s="3">
        <v>1006.0</v>
      </c>
      <c r="B9542" s="3" t="s">
        <v>19423</v>
      </c>
      <c r="C9542" s="3" t="s">
        <v>11281</v>
      </c>
      <c r="D9542" s="3" t="s">
        <v>14317</v>
      </c>
      <c r="E9542" s="3" t="s">
        <v>14318</v>
      </c>
      <c r="F9542" s="3" t="s">
        <v>14319</v>
      </c>
      <c r="G9542" s="3"/>
      <c r="H9542" s="3" t="s">
        <v>14320</v>
      </c>
      <c r="I9542" s="3" t="s">
        <v>14321</v>
      </c>
      <c r="J9542" s="3" t="s">
        <v>14322</v>
      </c>
      <c r="K9542" s="3" t="s">
        <v>14323</v>
      </c>
      <c r="L9542" s="3" t="s">
        <v>14324</v>
      </c>
      <c r="M9542" s="3" t="s">
        <v>14325</v>
      </c>
      <c r="N9542" s="3" t="s">
        <v>14326</v>
      </c>
      <c r="O9542" s="3" t="s">
        <v>14320</v>
      </c>
      <c r="P9542" s="3" t="s">
        <v>14327</v>
      </c>
      <c r="Q9542" s="3" t="s">
        <v>14328</v>
      </c>
      <c r="R9542" s="3" t="s">
        <v>14329</v>
      </c>
      <c r="S9542" s="3" t="s">
        <v>8754</v>
      </c>
    </row>
    <row r="9543">
      <c r="A9543" s="3">
        <v>1007.0</v>
      </c>
      <c r="B9543" s="3" t="s">
        <v>19423</v>
      </c>
      <c r="C9543" s="3" t="s">
        <v>11281</v>
      </c>
      <c r="D9543" s="3" t="s">
        <v>14330</v>
      </c>
      <c r="E9543" s="3" t="s">
        <v>14331</v>
      </c>
      <c r="F9543" s="3" t="s">
        <v>14332</v>
      </c>
    </row>
    <row r="9544">
      <c r="A9544" s="3">
        <v>1008.0</v>
      </c>
      <c r="B9544" s="3" t="s">
        <v>19423</v>
      </c>
      <c r="C9544" s="3" t="s">
        <v>11281</v>
      </c>
      <c r="D9544" s="3" t="s">
        <v>14333</v>
      </c>
      <c r="E9544" s="3" t="s">
        <v>14334</v>
      </c>
      <c r="F9544" s="3" t="s">
        <v>14335</v>
      </c>
    </row>
    <row r="9545">
      <c r="A9545" s="3">
        <v>1009.0</v>
      </c>
      <c r="B9545" s="3" t="s">
        <v>19423</v>
      </c>
      <c r="C9545" s="3" t="s">
        <v>11281</v>
      </c>
      <c r="D9545" s="3" t="s">
        <v>14336</v>
      </c>
      <c r="E9545" s="3" t="s">
        <v>14337</v>
      </c>
      <c r="F9545" s="3" t="s">
        <v>14338</v>
      </c>
    </row>
    <row r="9546">
      <c r="A9546" s="3">
        <v>1010.0</v>
      </c>
      <c r="B9546" s="3" t="s">
        <v>19423</v>
      </c>
      <c r="C9546" s="3" t="s">
        <v>11281</v>
      </c>
      <c r="D9546" s="3" t="s">
        <v>14339</v>
      </c>
      <c r="E9546" s="3" t="s">
        <v>14340</v>
      </c>
      <c r="F9546" s="3" t="s">
        <v>14341</v>
      </c>
    </row>
    <row r="9547">
      <c r="A9547" s="3">
        <v>1011.0</v>
      </c>
      <c r="B9547" s="3" t="s">
        <v>19423</v>
      </c>
      <c r="C9547" s="3" t="s">
        <v>11281</v>
      </c>
      <c r="D9547" s="3" t="s">
        <v>14342</v>
      </c>
      <c r="E9547" s="3" t="s">
        <v>14343</v>
      </c>
      <c r="F9547" s="3" t="s">
        <v>14344</v>
      </c>
    </row>
    <row r="9548">
      <c r="A9548" s="3">
        <v>1012.0</v>
      </c>
      <c r="B9548" s="3" t="s">
        <v>19423</v>
      </c>
      <c r="C9548" s="3" t="s">
        <v>11281</v>
      </c>
      <c r="D9548" s="3" t="s">
        <v>14345</v>
      </c>
      <c r="E9548" s="3" t="s">
        <v>14346</v>
      </c>
      <c r="F9548" s="3" t="s">
        <v>14347</v>
      </c>
    </row>
    <row r="9549">
      <c r="A9549" s="3">
        <v>1013.0</v>
      </c>
      <c r="B9549" s="3" t="s">
        <v>19423</v>
      </c>
      <c r="C9549" s="3" t="s">
        <v>11281</v>
      </c>
      <c r="D9549" s="3" t="s">
        <v>14348</v>
      </c>
      <c r="E9549" s="3" t="s">
        <v>14349</v>
      </c>
      <c r="F9549" s="3" t="s">
        <v>14350</v>
      </c>
      <c r="G9549" s="3"/>
      <c r="H9549" s="3" t="s">
        <v>14351</v>
      </c>
      <c r="I9549" s="3" t="s">
        <v>14352</v>
      </c>
      <c r="J9549" s="3" t="s">
        <v>14353</v>
      </c>
    </row>
    <row r="9550">
      <c r="A9550" s="3">
        <v>1014.0</v>
      </c>
      <c r="B9550" s="3" t="s">
        <v>19423</v>
      </c>
      <c r="C9550" s="3" t="s">
        <v>11281</v>
      </c>
      <c r="D9550" s="3" t="s">
        <v>14354</v>
      </c>
      <c r="E9550" s="3" t="s">
        <v>14355</v>
      </c>
      <c r="F9550" s="3" t="s">
        <v>14356</v>
      </c>
    </row>
    <row r="9551">
      <c r="A9551" s="3">
        <v>1015.0</v>
      </c>
      <c r="B9551" s="3" t="s">
        <v>19423</v>
      </c>
      <c r="C9551" s="3" t="s">
        <v>11281</v>
      </c>
      <c r="D9551" s="3" t="s">
        <v>14357</v>
      </c>
      <c r="E9551" s="3" t="s">
        <v>14358</v>
      </c>
      <c r="F9551" s="3" t="s">
        <v>14359</v>
      </c>
    </row>
    <row r="9552">
      <c r="A9552" s="3">
        <v>1016.0</v>
      </c>
      <c r="B9552" s="3" t="s">
        <v>19423</v>
      </c>
      <c r="C9552" s="3" t="s">
        <v>11281</v>
      </c>
      <c r="D9552" s="3" t="s">
        <v>14360</v>
      </c>
      <c r="E9552" s="3" t="s">
        <v>14361</v>
      </c>
      <c r="F9552" s="3" t="s">
        <v>14362</v>
      </c>
    </row>
    <row r="9553">
      <c r="A9553" s="3">
        <v>1017.0</v>
      </c>
      <c r="B9553" s="3" t="s">
        <v>19423</v>
      </c>
      <c r="C9553" s="3" t="s">
        <v>11281</v>
      </c>
      <c r="D9553" s="3" t="s">
        <v>14363</v>
      </c>
      <c r="E9553" s="3" t="s">
        <v>14364</v>
      </c>
      <c r="F9553" s="3" t="s">
        <v>14365</v>
      </c>
    </row>
    <row r="9554">
      <c r="A9554" s="3">
        <v>1018.0</v>
      </c>
      <c r="B9554" s="3" t="s">
        <v>19423</v>
      </c>
      <c r="C9554" s="3" t="s">
        <v>11281</v>
      </c>
      <c r="D9554" s="3" t="s">
        <v>14366</v>
      </c>
      <c r="E9554" s="3" t="s">
        <v>14367</v>
      </c>
      <c r="F9554" s="3" t="s">
        <v>14368</v>
      </c>
    </row>
    <row r="9555">
      <c r="A9555" s="3">
        <v>1019.0</v>
      </c>
      <c r="B9555" s="3" t="s">
        <v>19423</v>
      </c>
      <c r="C9555" s="3" t="s">
        <v>11281</v>
      </c>
      <c r="D9555" s="3" t="s">
        <v>14369</v>
      </c>
      <c r="E9555" s="3" t="s">
        <v>14370</v>
      </c>
      <c r="F9555" s="3" t="s">
        <v>14371</v>
      </c>
    </row>
    <row r="9556">
      <c r="A9556" s="3">
        <v>1020.0</v>
      </c>
      <c r="B9556" s="3" t="s">
        <v>19423</v>
      </c>
      <c r="C9556" s="3" t="s">
        <v>11281</v>
      </c>
      <c r="D9556" s="3" t="s">
        <v>14372</v>
      </c>
      <c r="E9556" s="3" t="s">
        <v>14373</v>
      </c>
      <c r="F9556" s="3" t="s">
        <v>14374</v>
      </c>
      <c r="G9556" s="3"/>
      <c r="H9556" s="3" t="s">
        <v>14375</v>
      </c>
      <c r="I9556" s="3" t="s">
        <v>14376</v>
      </c>
      <c r="J9556" s="3" t="s">
        <v>14377</v>
      </c>
      <c r="K9556" s="3" t="s">
        <v>14378</v>
      </c>
      <c r="L9556" s="3" t="s">
        <v>14379</v>
      </c>
      <c r="M9556" s="3" t="s">
        <v>14380</v>
      </c>
    </row>
    <row r="9557">
      <c r="A9557" s="3">
        <v>1021.0</v>
      </c>
      <c r="B9557" s="3" t="s">
        <v>19423</v>
      </c>
      <c r="C9557" s="3" t="s">
        <v>11281</v>
      </c>
      <c r="D9557" s="3" t="s">
        <v>14381</v>
      </c>
      <c r="E9557" s="3" t="s">
        <v>14382</v>
      </c>
      <c r="F9557" s="3" t="s">
        <v>14383</v>
      </c>
    </row>
    <row r="9558">
      <c r="A9558" s="3">
        <v>1022.0</v>
      </c>
      <c r="B9558" s="3" t="s">
        <v>19423</v>
      </c>
      <c r="C9558" s="3" t="s">
        <v>11281</v>
      </c>
      <c r="D9558" s="3" t="s">
        <v>14384</v>
      </c>
      <c r="E9558" s="3" t="s">
        <v>14385</v>
      </c>
      <c r="F9558" s="3" t="s">
        <v>14386</v>
      </c>
      <c r="G9558" s="3"/>
      <c r="H9558" s="3" t="s">
        <v>14387</v>
      </c>
      <c r="I9558" s="3" t="s">
        <v>14377</v>
      </c>
      <c r="J9558" s="3" t="s">
        <v>14388</v>
      </c>
      <c r="K9558" s="3" t="s">
        <v>14389</v>
      </c>
      <c r="L9558" s="3" t="s">
        <v>14388</v>
      </c>
      <c r="M9558" s="3" t="s">
        <v>14377</v>
      </c>
    </row>
    <row r="9559">
      <c r="A9559" s="3">
        <v>1023.0</v>
      </c>
      <c r="B9559" s="3" t="s">
        <v>19423</v>
      </c>
      <c r="C9559" s="3" t="s">
        <v>11281</v>
      </c>
      <c r="D9559" s="3" t="s">
        <v>14390</v>
      </c>
      <c r="E9559" s="3" t="s">
        <v>14391</v>
      </c>
      <c r="F9559" s="3" t="s">
        <v>14392</v>
      </c>
    </row>
    <row r="9560">
      <c r="A9560" s="3">
        <v>1024.0</v>
      </c>
      <c r="B9560" s="3" t="s">
        <v>19423</v>
      </c>
      <c r="C9560" s="3" t="s">
        <v>11281</v>
      </c>
      <c r="D9560" s="3" t="s">
        <v>14393</v>
      </c>
      <c r="E9560" s="3" t="s">
        <v>14394</v>
      </c>
      <c r="F9560" s="3" t="s">
        <v>14395</v>
      </c>
    </row>
    <row r="9561">
      <c r="A9561" s="3">
        <v>1025.0</v>
      </c>
      <c r="B9561" s="3" t="s">
        <v>19423</v>
      </c>
      <c r="C9561" s="3" t="s">
        <v>11281</v>
      </c>
      <c r="D9561" s="3" t="s">
        <v>14396</v>
      </c>
      <c r="E9561" s="3" t="s">
        <v>14397</v>
      </c>
      <c r="F9561" s="3" t="s">
        <v>14398</v>
      </c>
    </row>
    <row r="9562">
      <c r="A9562" s="3">
        <v>1026.0</v>
      </c>
      <c r="B9562" s="3" t="s">
        <v>19423</v>
      </c>
      <c r="C9562" s="3" t="s">
        <v>11281</v>
      </c>
      <c r="D9562" s="3" t="s">
        <v>14399</v>
      </c>
      <c r="E9562" s="3" t="s">
        <v>14400</v>
      </c>
      <c r="F9562" s="3" t="s">
        <v>14401</v>
      </c>
    </row>
    <row r="9563">
      <c r="A9563" s="3">
        <v>1027.0</v>
      </c>
      <c r="B9563" s="3" t="s">
        <v>19423</v>
      </c>
      <c r="C9563" s="3" t="s">
        <v>11281</v>
      </c>
      <c r="D9563" s="3" t="s">
        <v>14402</v>
      </c>
      <c r="E9563" s="3" t="s">
        <v>14403</v>
      </c>
      <c r="F9563" s="3" t="s">
        <v>14404</v>
      </c>
      <c r="G9563" s="3"/>
      <c r="H9563" s="3" t="s">
        <v>14402</v>
      </c>
      <c r="I9563" s="3" t="s">
        <v>14405</v>
      </c>
      <c r="J9563" s="3" t="s">
        <v>14406</v>
      </c>
      <c r="K9563" s="3" t="s">
        <v>14407</v>
      </c>
    </row>
    <row r="9564">
      <c r="A9564" s="3">
        <v>1028.0</v>
      </c>
      <c r="B9564" s="3" t="s">
        <v>19423</v>
      </c>
      <c r="C9564" s="3" t="s">
        <v>11281</v>
      </c>
      <c r="D9564" s="3" t="s">
        <v>14408</v>
      </c>
      <c r="E9564" s="3" t="s">
        <v>14409</v>
      </c>
      <c r="F9564" s="3" t="s">
        <v>14410</v>
      </c>
      <c r="G9564" s="3"/>
      <c r="H9564" s="3" t="s">
        <v>14411</v>
      </c>
      <c r="I9564" s="3" t="s">
        <v>14412</v>
      </c>
      <c r="J9564" s="3" t="s">
        <v>14413</v>
      </c>
    </row>
    <row r="9565">
      <c r="A9565" s="3">
        <v>1029.0</v>
      </c>
      <c r="B9565" s="3" t="s">
        <v>19423</v>
      </c>
      <c r="C9565" s="3" t="s">
        <v>11281</v>
      </c>
      <c r="D9565" s="3" t="s">
        <v>14414</v>
      </c>
      <c r="E9565" s="3" t="s">
        <v>14415</v>
      </c>
      <c r="F9565" s="3" t="s">
        <v>8875</v>
      </c>
      <c r="G9565" s="3"/>
      <c r="H9565" s="3" t="s">
        <v>14416</v>
      </c>
      <c r="I9565" s="3" t="s">
        <v>14417</v>
      </c>
    </row>
    <row r="9566">
      <c r="A9566" s="3">
        <v>1030.0</v>
      </c>
      <c r="B9566" s="3" t="s">
        <v>19423</v>
      </c>
      <c r="C9566" s="3" t="s">
        <v>11281</v>
      </c>
      <c r="D9566" s="3" t="s">
        <v>14418</v>
      </c>
      <c r="E9566" s="3" t="s">
        <v>14419</v>
      </c>
      <c r="F9566" s="3" t="s">
        <v>14420</v>
      </c>
    </row>
    <row r="9567">
      <c r="A9567" s="3">
        <v>1031.0</v>
      </c>
      <c r="B9567" s="3" t="s">
        <v>19423</v>
      </c>
      <c r="C9567" s="3" t="s">
        <v>11281</v>
      </c>
      <c r="D9567" s="3" t="s">
        <v>14421</v>
      </c>
      <c r="E9567" s="3" t="s">
        <v>14422</v>
      </c>
      <c r="F9567" s="3" t="s">
        <v>2528</v>
      </c>
    </row>
    <row r="9568">
      <c r="A9568" s="3">
        <v>1032.0</v>
      </c>
      <c r="B9568" s="3" t="s">
        <v>19423</v>
      </c>
      <c r="C9568" s="3" t="s">
        <v>11281</v>
      </c>
      <c r="D9568" s="3" t="s">
        <v>14423</v>
      </c>
      <c r="E9568" s="3" t="s">
        <v>14424</v>
      </c>
      <c r="F9568" s="3" t="s">
        <v>14425</v>
      </c>
    </row>
    <row r="9569">
      <c r="A9569" s="3">
        <v>1033.0</v>
      </c>
      <c r="B9569" s="3" t="s">
        <v>19423</v>
      </c>
      <c r="C9569" s="3" t="s">
        <v>11281</v>
      </c>
      <c r="D9569" s="3" t="s">
        <v>14426</v>
      </c>
      <c r="E9569" s="3" t="s">
        <v>14427</v>
      </c>
      <c r="F9569" s="3" t="s">
        <v>14428</v>
      </c>
    </row>
    <row r="9570">
      <c r="A9570" s="3">
        <v>1034.0</v>
      </c>
      <c r="B9570" s="3" t="s">
        <v>19423</v>
      </c>
      <c r="C9570" s="3" t="s">
        <v>11281</v>
      </c>
      <c r="D9570" s="3" t="s">
        <v>14429</v>
      </c>
      <c r="E9570" s="3" t="s">
        <v>14430</v>
      </c>
      <c r="F9570" s="3" t="s">
        <v>14431</v>
      </c>
    </row>
    <row r="9571">
      <c r="A9571" s="3">
        <v>1035.0</v>
      </c>
      <c r="B9571" s="3" t="s">
        <v>19423</v>
      </c>
      <c r="C9571" s="3" t="s">
        <v>11281</v>
      </c>
      <c r="D9571" s="3" t="s">
        <v>14432</v>
      </c>
      <c r="E9571" s="3" t="s">
        <v>14433</v>
      </c>
      <c r="F9571" s="3" t="s">
        <v>11105</v>
      </c>
    </row>
    <row r="9572">
      <c r="A9572" s="3">
        <v>1036.0</v>
      </c>
      <c r="B9572" s="3" t="s">
        <v>19423</v>
      </c>
      <c r="C9572" s="3" t="s">
        <v>11281</v>
      </c>
      <c r="D9572" s="3" t="s">
        <v>14434</v>
      </c>
      <c r="E9572" s="3" t="s">
        <v>14435</v>
      </c>
      <c r="F9572" s="3" t="s">
        <v>14436</v>
      </c>
    </row>
    <row r="9573">
      <c r="A9573" s="3">
        <v>1037.0</v>
      </c>
      <c r="B9573" s="3" t="s">
        <v>19423</v>
      </c>
      <c r="C9573" s="3" t="s">
        <v>11281</v>
      </c>
      <c r="D9573" s="3" t="s">
        <v>14437</v>
      </c>
      <c r="E9573" s="3" t="s">
        <v>14438</v>
      </c>
      <c r="F9573" s="3" t="s">
        <v>14439</v>
      </c>
      <c r="G9573" s="3"/>
      <c r="H9573" s="3" t="s">
        <v>3010</v>
      </c>
      <c r="I9573" s="3" t="s">
        <v>14440</v>
      </c>
      <c r="J9573" s="3" t="s">
        <v>324</v>
      </c>
      <c r="K9573" s="3" t="s">
        <v>324</v>
      </c>
      <c r="L9573" s="3" t="s">
        <v>14441</v>
      </c>
      <c r="M9573" s="3" t="s">
        <v>14442</v>
      </c>
      <c r="N9573" s="3" t="s">
        <v>14443</v>
      </c>
      <c r="O9573" s="3" t="s">
        <v>14444</v>
      </c>
      <c r="P9573" s="3" t="s">
        <v>14445</v>
      </c>
      <c r="Q9573" s="3" t="s">
        <v>14446</v>
      </c>
      <c r="R9573" s="3" t="s">
        <v>14447</v>
      </c>
      <c r="S9573" s="3" t="s">
        <v>14448</v>
      </c>
      <c r="T9573" s="3" t="s">
        <v>14449</v>
      </c>
      <c r="U9573" s="3" t="s">
        <v>14450</v>
      </c>
      <c r="V9573" s="3" t="s">
        <v>14451</v>
      </c>
      <c r="W9573" s="3" t="s">
        <v>14452</v>
      </c>
      <c r="X9573" s="3" t="s">
        <v>14453</v>
      </c>
      <c r="Y9573" s="3" t="s">
        <v>14454</v>
      </c>
      <c r="Z9573" s="3" t="s">
        <v>14455</v>
      </c>
      <c r="AA9573" s="3" t="s">
        <v>14453</v>
      </c>
      <c r="AB9573" s="3" t="s">
        <v>14456</v>
      </c>
      <c r="AC9573" s="3" t="s">
        <v>14457</v>
      </c>
      <c r="AD9573" s="3" t="s">
        <v>14451</v>
      </c>
      <c r="AE9573" s="3" t="s">
        <v>324</v>
      </c>
      <c r="AF9573" s="3" t="s">
        <v>14440</v>
      </c>
      <c r="AG9573" s="3" t="s">
        <v>324</v>
      </c>
      <c r="AH9573" s="3" t="s">
        <v>324</v>
      </c>
      <c r="AI9573" s="3" t="s">
        <v>1685</v>
      </c>
      <c r="AJ9573" s="3" t="s">
        <v>1686</v>
      </c>
    </row>
    <row r="9574">
      <c r="A9574" s="3">
        <v>1038.0</v>
      </c>
      <c r="B9574" s="3" t="s">
        <v>19423</v>
      </c>
      <c r="C9574" s="3" t="s">
        <v>11281</v>
      </c>
      <c r="D9574" s="3" t="s">
        <v>14458</v>
      </c>
      <c r="E9574" s="3" t="s">
        <v>14459</v>
      </c>
      <c r="F9574" s="3" t="s">
        <v>14460</v>
      </c>
    </row>
    <row r="9575">
      <c r="A9575" s="3">
        <v>1039.0</v>
      </c>
      <c r="B9575" s="3" t="s">
        <v>19423</v>
      </c>
      <c r="C9575" s="3" t="s">
        <v>11281</v>
      </c>
      <c r="D9575" s="3" t="s">
        <v>14461</v>
      </c>
      <c r="E9575" s="3" t="s">
        <v>14462</v>
      </c>
      <c r="F9575" s="3" t="s">
        <v>14463</v>
      </c>
    </row>
    <row r="9576">
      <c r="A9576" s="3">
        <v>1040.0</v>
      </c>
      <c r="B9576" s="3" t="s">
        <v>19423</v>
      </c>
      <c r="C9576" s="3" t="s">
        <v>11281</v>
      </c>
      <c r="D9576" s="3" t="s">
        <v>14464</v>
      </c>
      <c r="E9576" s="3" t="s">
        <v>14465</v>
      </c>
      <c r="F9576" s="3" t="s">
        <v>14466</v>
      </c>
    </row>
    <row r="9577">
      <c r="A9577" s="3">
        <v>1041.0</v>
      </c>
      <c r="B9577" s="3" t="s">
        <v>19423</v>
      </c>
      <c r="C9577" s="3" t="s">
        <v>11281</v>
      </c>
      <c r="D9577" s="3" t="s">
        <v>14467</v>
      </c>
      <c r="E9577" s="3" t="s">
        <v>14468</v>
      </c>
      <c r="F9577" s="3" t="s">
        <v>14469</v>
      </c>
    </row>
    <row r="9578">
      <c r="A9578" s="3">
        <v>1042.0</v>
      </c>
      <c r="B9578" s="3" t="s">
        <v>19423</v>
      </c>
      <c r="C9578" s="3" t="s">
        <v>11281</v>
      </c>
      <c r="D9578" s="3" t="s">
        <v>14470</v>
      </c>
      <c r="E9578" s="3" t="s">
        <v>14471</v>
      </c>
      <c r="F9578" s="3" t="s">
        <v>129</v>
      </c>
    </row>
    <row r="9579">
      <c r="A9579" s="3">
        <v>1043.0</v>
      </c>
      <c r="B9579" s="3" t="s">
        <v>19423</v>
      </c>
      <c r="C9579" s="3" t="s">
        <v>11281</v>
      </c>
      <c r="D9579" s="3" t="s">
        <v>14472</v>
      </c>
      <c r="E9579" s="3" t="s">
        <v>14473</v>
      </c>
      <c r="F9579" s="3" t="s">
        <v>14474</v>
      </c>
    </row>
    <row r="9580">
      <c r="A9580" s="3">
        <v>1044.0</v>
      </c>
      <c r="B9580" s="3" t="s">
        <v>19423</v>
      </c>
      <c r="C9580" s="3" t="s">
        <v>11281</v>
      </c>
      <c r="D9580" s="3" t="s">
        <v>14475</v>
      </c>
      <c r="E9580" s="3" t="s">
        <v>14476</v>
      </c>
      <c r="F9580" s="3" t="s">
        <v>14477</v>
      </c>
    </row>
    <row r="9581">
      <c r="A9581" s="3">
        <v>1045.0</v>
      </c>
      <c r="B9581" s="3" t="s">
        <v>19423</v>
      </c>
      <c r="C9581" s="3" t="s">
        <v>11281</v>
      </c>
      <c r="D9581" s="3" t="s">
        <v>93</v>
      </c>
      <c r="E9581" s="3" t="s">
        <v>192</v>
      </c>
      <c r="F9581" s="3" t="s">
        <v>191</v>
      </c>
    </row>
    <row r="9582">
      <c r="A9582" s="3">
        <v>1046.0</v>
      </c>
      <c r="B9582" s="3" t="s">
        <v>19423</v>
      </c>
      <c r="C9582" s="3" t="s">
        <v>11281</v>
      </c>
      <c r="D9582" s="3" t="s">
        <v>14478</v>
      </c>
      <c r="E9582" s="3" t="s">
        <v>268</v>
      </c>
      <c r="F9582" s="3" t="s">
        <v>269</v>
      </c>
    </row>
    <row r="9583">
      <c r="A9583" s="3">
        <v>1047.0</v>
      </c>
      <c r="B9583" s="3" t="s">
        <v>19423</v>
      </c>
      <c r="C9583" s="3" t="s">
        <v>11281</v>
      </c>
      <c r="D9583" s="3" t="s">
        <v>14479</v>
      </c>
      <c r="E9583" s="3" t="s">
        <v>14480</v>
      </c>
      <c r="F9583" s="3" t="s">
        <v>11856</v>
      </c>
    </row>
    <row r="9584">
      <c r="A9584" s="3">
        <v>1048.0</v>
      </c>
      <c r="B9584" s="3" t="s">
        <v>19423</v>
      </c>
      <c r="C9584" s="3" t="s">
        <v>11281</v>
      </c>
      <c r="D9584" s="3" t="s">
        <v>14481</v>
      </c>
      <c r="E9584" s="3" t="s">
        <v>19920</v>
      </c>
      <c r="F9584" s="3" t="s">
        <v>19921</v>
      </c>
    </row>
    <row r="9585">
      <c r="A9585" s="3">
        <v>1049.0</v>
      </c>
      <c r="B9585" s="3" t="s">
        <v>19423</v>
      </c>
      <c r="C9585" s="3" t="s">
        <v>11281</v>
      </c>
      <c r="D9585" s="3" t="s">
        <v>14482</v>
      </c>
      <c r="E9585" s="3" t="s">
        <v>19922</v>
      </c>
      <c r="F9585" s="3" t="s">
        <v>19923</v>
      </c>
    </row>
    <row r="9586">
      <c r="A9586" s="3">
        <v>1050.0</v>
      </c>
      <c r="B9586" s="3" t="s">
        <v>19423</v>
      </c>
      <c r="C9586" s="3" t="s">
        <v>11281</v>
      </c>
      <c r="D9586" s="3" t="s">
        <v>14485</v>
      </c>
      <c r="E9586" s="3" t="s">
        <v>19924</v>
      </c>
      <c r="F9586" s="3" t="s">
        <v>19925</v>
      </c>
    </row>
    <row r="9587">
      <c r="A9587" s="3">
        <v>1051.0</v>
      </c>
      <c r="B9587" s="3" t="s">
        <v>19423</v>
      </c>
      <c r="C9587" s="3" t="s">
        <v>11281</v>
      </c>
      <c r="D9587" s="3" t="s">
        <v>14488</v>
      </c>
      <c r="E9587" s="3" t="s">
        <v>19926</v>
      </c>
      <c r="F9587" s="3" t="s">
        <v>19927</v>
      </c>
    </row>
    <row r="9588">
      <c r="A9588" s="3">
        <v>1052.0</v>
      </c>
      <c r="B9588" s="3" t="s">
        <v>19423</v>
      </c>
      <c r="C9588" s="3" t="s">
        <v>11281</v>
      </c>
      <c r="D9588" s="3" t="s">
        <v>14491</v>
      </c>
      <c r="E9588" s="3" t="s">
        <v>19928</v>
      </c>
      <c r="F9588" s="3" t="s">
        <v>19929</v>
      </c>
    </row>
    <row r="9589">
      <c r="A9589" s="3">
        <v>1053.0</v>
      </c>
      <c r="B9589" s="3" t="s">
        <v>19423</v>
      </c>
      <c r="C9589" s="3" t="s">
        <v>11281</v>
      </c>
      <c r="D9589" s="3" t="s">
        <v>14494</v>
      </c>
      <c r="E9589" s="3" t="s">
        <v>19930</v>
      </c>
      <c r="F9589" s="3" t="s">
        <v>19931</v>
      </c>
    </row>
    <row r="9590">
      <c r="A9590" s="3">
        <v>1054.0</v>
      </c>
      <c r="B9590" s="3" t="s">
        <v>19423</v>
      </c>
      <c r="C9590" s="3" t="s">
        <v>11281</v>
      </c>
      <c r="D9590" s="3" t="s">
        <v>14497</v>
      </c>
      <c r="E9590" s="3" t="s">
        <v>19932</v>
      </c>
      <c r="F9590" s="3" t="s">
        <v>19933</v>
      </c>
    </row>
    <row r="9591">
      <c r="A9591" s="3">
        <v>1055.0</v>
      </c>
      <c r="B9591" s="3" t="s">
        <v>19423</v>
      </c>
      <c r="C9591" s="3" t="s">
        <v>11281</v>
      </c>
      <c r="D9591" s="3" t="s">
        <v>14498</v>
      </c>
      <c r="E9591" s="3" t="s">
        <v>14499</v>
      </c>
      <c r="F9591" s="3" t="s">
        <v>269</v>
      </c>
    </row>
    <row r="9592">
      <c r="A9592" s="3">
        <v>1056.0</v>
      </c>
      <c r="B9592" s="3" t="s">
        <v>19423</v>
      </c>
      <c r="C9592" s="3" t="s">
        <v>11281</v>
      </c>
      <c r="D9592" s="3" t="s">
        <v>14500</v>
      </c>
      <c r="E9592" s="3" t="s">
        <v>14501</v>
      </c>
      <c r="F9592" s="3" t="s">
        <v>11835</v>
      </c>
    </row>
    <row r="9593">
      <c r="A9593" s="3">
        <v>1057.0</v>
      </c>
      <c r="B9593" s="3" t="s">
        <v>19423</v>
      </c>
      <c r="C9593" s="3" t="s">
        <v>11281</v>
      </c>
      <c r="D9593" s="3" t="s">
        <v>14502</v>
      </c>
      <c r="E9593" s="3" t="s">
        <v>14503</v>
      </c>
      <c r="F9593" s="3" t="s">
        <v>11856</v>
      </c>
    </row>
    <row r="9594">
      <c r="A9594" s="3">
        <v>1058.0</v>
      </c>
      <c r="B9594" s="3" t="s">
        <v>19423</v>
      </c>
      <c r="C9594" s="3" t="s">
        <v>11281</v>
      </c>
      <c r="D9594" s="3" t="s">
        <v>14504</v>
      </c>
      <c r="E9594" s="3" t="s">
        <v>479</v>
      </c>
      <c r="F9594" s="3" t="s">
        <v>480</v>
      </c>
    </row>
    <row r="9595">
      <c r="A9595" s="3">
        <v>1059.0</v>
      </c>
      <c r="B9595" s="3" t="s">
        <v>19423</v>
      </c>
      <c r="C9595" s="3" t="s">
        <v>11281</v>
      </c>
      <c r="D9595" s="3" t="s">
        <v>14505</v>
      </c>
      <c r="E9595" s="3" t="s">
        <v>11888</v>
      </c>
      <c r="F9595" s="3" t="s">
        <v>11889</v>
      </c>
    </row>
    <row r="9596">
      <c r="A9596" s="3">
        <v>1060.0</v>
      </c>
      <c r="B9596" s="3" t="s">
        <v>19423</v>
      </c>
      <c r="C9596" s="3" t="s">
        <v>11281</v>
      </c>
      <c r="D9596" s="3" t="s">
        <v>14506</v>
      </c>
      <c r="E9596" s="3" t="s">
        <v>11891</v>
      </c>
      <c r="F9596" s="3" t="s">
        <v>11892</v>
      </c>
    </row>
    <row r="9597">
      <c r="A9597" s="3">
        <v>1061.0</v>
      </c>
      <c r="B9597" s="3" t="s">
        <v>19423</v>
      </c>
      <c r="C9597" s="3" t="s">
        <v>11281</v>
      </c>
      <c r="D9597" s="3" t="s">
        <v>14507</v>
      </c>
      <c r="E9597" s="3" t="s">
        <v>11894</v>
      </c>
      <c r="F9597" s="3" t="s">
        <v>11895</v>
      </c>
    </row>
    <row r="9598">
      <c r="A9598" s="3">
        <v>1062.0</v>
      </c>
      <c r="B9598" s="3" t="s">
        <v>19423</v>
      </c>
      <c r="C9598" s="3" t="s">
        <v>11281</v>
      </c>
      <c r="D9598" s="3" t="s">
        <v>14508</v>
      </c>
      <c r="E9598" s="3" t="s">
        <v>11897</v>
      </c>
      <c r="F9598" s="3" t="s">
        <v>11898</v>
      </c>
    </row>
    <row r="9599">
      <c r="A9599" s="3">
        <v>1063.0</v>
      </c>
      <c r="B9599" s="3" t="s">
        <v>19423</v>
      </c>
      <c r="C9599" s="3" t="s">
        <v>11281</v>
      </c>
      <c r="D9599" s="3" t="s">
        <v>14509</v>
      </c>
      <c r="E9599" s="3" t="s">
        <v>11900</v>
      </c>
      <c r="F9599" s="3" t="s">
        <v>11901</v>
      </c>
    </row>
    <row r="9600">
      <c r="A9600" s="3">
        <v>1064.0</v>
      </c>
      <c r="B9600" s="3" t="s">
        <v>19423</v>
      </c>
      <c r="C9600" s="3" t="s">
        <v>11281</v>
      </c>
      <c r="D9600" s="3" t="s">
        <v>14510</v>
      </c>
      <c r="E9600" s="3" t="s">
        <v>11903</v>
      </c>
      <c r="F9600" s="3" t="s">
        <v>11904</v>
      </c>
    </row>
    <row r="9601">
      <c r="A9601" s="3">
        <v>1065.0</v>
      </c>
      <c r="B9601" s="3" t="s">
        <v>19423</v>
      </c>
      <c r="C9601" s="3" t="s">
        <v>11281</v>
      </c>
      <c r="D9601" s="3" t="s">
        <v>14511</v>
      </c>
      <c r="E9601" s="3" t="s">
        <v>11906</v>
      </c>
      <c r="F9601" s="3" t="s">
        <v>11907</v>
      </c>
    </row>
    <row r="9602">
      <c r="A9602" s="3">
        <v>1066.0</v>
      </c>
      <c r="B9602" s="3" t="s">
        <v>19423</v>
      </c>
      <c r="C9602" s="3" t="s">
        <v>11281</v>
      </c>
      <c r="D9602" s="3" t="s">
        <v>14512</v>
      </c>
      <c r="E9602" s="3" t="s">
        <v>2284</v>
      </c>
      <c r="F9602" s="3" t="s">
        <v>2285</v>
      </c>
    </row>
    <row r="9603">
      <c r="A9603" s="3">
        <v>1067.0</v>
      </c>
      <c r="B9603" s="3" t="s">
        <v>19423</v>
      </c>
      <c r="C9603" s="3" t="s">
        <v>11281</v>
      </c>
      <c r="D9603" s="3" t="s">
        <v>14513</v>
      </c>
      <c r="E9603" s="3" t="s">
        <v>11919</v>
      </c>
      <c r="F9603" s="3" t="s">
        <v>11918</v>
      </c>
    </row>
    <row r="9604">
      <c r="A9604" s="3">
        <v>1068.0</v>
      </c>
      <c r="B9604" s="3" t="s">
        <v>19423</v>
      </c>
      <c r="C9604" s="3" t="s">
        <v>11281</v>
      </c>
      <c r="D9604" s="3" t="s">
        <v>14514</v>
      </c>
      <c r="E9604" s="3" t="s">
        <v>14515</v>
      </c>
      <c r="F9604" s="3" t="s">
        <v>14516</v>
      </c>
    </row>
    <row r="9605">
      <c r="A9605" s="3">
        <v>1069.0</v>
      </c>
      <c r="B9605" s="3" t="s">
        <v>19423</v>
      </c>
      <c r="C9605" s="3" t="s">
        <v>11281</v>
      </c>
      <c r="D9605" s="3" t="s">
        <v>14517</v>
      </c>
      <c r="E9605" s="3" t="s">
        <v>14518</v>
      </c>
      <c r="F9605" s="3" t="s">
        <v>14519</v>
      </c>
    </row>
    <row r="9606">
      <c r="A9606" s="3">
        <v>1070.0</v>
      </c>
      <c r="B9606" s="3" t="s">
        <v>19423</v>
      </c>
      <c r="C9606" s="3" t="s">
        <v>11281</v>
      </c>
      <c r="D9606" s="3" t="s">
        <v>14520</v>
      </c>
      <c r="E9606" s="3" t="s">
        <v>14521</v>
      </c>
      <c r="F9606" s="3" t="s">
        <v>14522</v>
      </c>
    </row>
    <row r="9607">
      <c r="A9607" s="3">
        <v>1071.0</v>
      </c>
      <c r="B9607" s="3" t="s">
        <v>19423</v>
      </c>
      <c r="C9607" s="3" t="s">
        <v>11281</v>
      </c>
      <c r="D9607" s="3" t="s">
        <v>14523</v>
      </c>
      <c r="E9607" s="3" t="s">
        <v>488</v>
      </c>
      <c r="F9607" s="3" t="s">
        <v>489</v>
      </c>
    </row>
    <row r="9608">
      <c r="A9608" s="3">
        <v>1072.0</v>
      </c>
      <c r="B9608" s="3" t="s">
        <v>19423</v>
      </c>
      <c r="C9608" s="3" t="s">
        <v>11281</v>
      </c>
      <c r="D9608" s="3" t="s">
        <v>14524</v>
      </c>
      <c r="E9608" s="3" t="s">
        <v>14525</v>
      </c>
      <c r="F9608" s="3" t="s">
        <v>6785</v>
      </c>
    </row>
    <row r="9609">
      <c r="A9609" s="3">
        <v>1073.0</v>
      </c>
      <c r="B9609" s="3" t="s">
        <v>19423</v>
      </c>
      <c r="C9609" s="3" t="s">
        <v>11281</v>
      </c>
      <c r="D9609" s="3" t="s">
        <v>14526</v>
      </c>
      <c r="E9609" s="3" t="s">
        <v>14527</v>
      </c>
      <c r="F9609" s="3" t="s">
        <v>14528</v>
      </c>
    </row>
    <row r="9610">
      <c r="A9610" s="3">
        <v>1074.0</v>
      </c>
      <c r="B9610" s="3" t="s">
        <v>19423</v>
      </c>
      <c r="C9610" s="3" t="s">
        <v>11281</v>
      </c>
      <c r="D9610" s="3" t="s">
        <v>14529</v>
      </c>
      <c r="E9610" s="3" t="s">
        <v>14530</v>
      </c>
      <c r="F9610" s="3" t="s">
        <v>14531</v>
      </c>
      <c r="G9610" s="3"/>
      <c r="H9610" s="3" t="s">
        <v>14532</v>
      </c>
      <c r="I9610" s="3" t="s">
        <v>911</v>
      </c>
      <c r="J9610" s="3" t="s">
        <v>14533</v>
      </c>
      <c r="K9610" s="3" t="s">
        <v>14534</v>
      </c>
      <c r="L9610" s="3" t="s">
        <v>14535</v>
      </c>
      <c r="M9610" s="3" t="s">
        <v>14536</v>
      </c>
      <c r="N9610" s="3" t="s">
        <v>14537</v>
      </c>
      <c r="O9610" s="3" t="s">
        <v>14538</v>
      </c>
      <c r="P9610" s="3" t="s">
        <v>14539</v>
      </c>
      <c r="Q9610" s="3" t="s">
        <v>14540</v>
      </c>
    </row>
    <row r="9611">
      <c r="A9611" s="3">
        <v>1075.0</v>
      </c>
      <c r="B9611" s="3" t="s">
        <v>19423</v>
      </c>
      <c r="C9611" s="3" t="s">
        <v>11281</v>
      </c>
      <c r="D9611" s="3" t="s">
        <v>14541</v>
      </c>
      <c r="E9611" s="3" t="s">
        <v>14542</v>
      </c>
      <c r="F9611" s="3" t="s">
        <v>14543</v>
      </c>
    </row>
    <row r="9612">
      <c r="A9612" s="3">
        <v>1076.0</v>
      </c>
      <c r="B9612" s="3" t="s">
        <v>19423</v>
      </c>
      <c r="C9612" s="3" t="s">
        <v>11281</v>
      </c>
      <c r="D9612" s="3" t="s">
        <v>14544</v>
      </c>
      <c r="E9612" s="3" t="s">
        <v>14545</v>
      </c>
      <c r="F9612" s="3" t="s">
        <v>14546</v>
      </c>
    </row>
    <row r="9613">
      <c r="A9613" s="3">
        <v>1077.0</v>
      </c>
      <c r="B9613" s="3" t="s">
        <v>19423</v>
      </c>
      <c r="C9613" s="3" t="s">
        <v>11281</v>
      </c>
      <c r="D9613" s="3" t="s">
        <v>14547</v>
      </c>
      <c r="E9613" s="3" t="s">
        <v>14548</v>
      </c>
      <c r="F9613" s="3" t="s">
        <v>14549</v>
      </c>
    </row>
    <row r="9614">
      <c r="A9614" s="3">
        <v>1078.0</v>
      </c>
      <c r="B9614" s="3" t="s">
        <v>19423</v>
      </c>
      <c r="C9614" s="3" t="s">
        <v>11281</v>
      </c>
      <c r="D9614" s="3" t="s">
        <v>14550</v>
      </c>
      <c r="E9614" s="3" t="s">
        <v>14551</v>
      </c>
      <c r="F9614" s="3" t="s">
        <v>6787</v>
      </c>
    </row>
    <row r="9615">
      <c r="A9615" s="3">
        <v>1079.0</v>
      </c>
      <c r="B9615" s="3" t="s">
        <v>19423</v>
      </c>
      <c r="C9615" s="3" t="s">
        <v>11281</v>
      </c>
      <c r="D9615" s="3" t="s">
        <v>14552</v>
      </c>
      <c r="E9615" s="3" t="s">
        <v>14553</v>
      </c>
      <c r="F9615" s="3" t="s">
        <v>14554</v>
      </c>
    </row>
    <row r="9616">
      <c r="A9616" s="3">
        <v>1080.0</v>
      </c>
      <c r="B9616" s="3" t="s">
        <v>19423</v>
      </c>
      <c r="C9616" s="3" t="s">
        <v>11281</v>
      </c>
      <c r="D9616" s="3" t="s">
        <v>14555</v>
      </c>
      <c r="E9616" s="3" t="s">
        <v>14556</v>
      </c>
      <c r="F9616" s="3" t="s">
        <v>14557</v>
      </c>
    </row>
    <row r="9617">
      <c r="A9617" s="3">
        <v>1081.0</v>
      </c>
      <c r="B9617" s="3" t="s">
        <v>19423</v>
      </c>
      <c r="C9617" s="3" t="s">
        <v>11281</v>
      </c>
      <c r="D9617" s="3" t="s">
        <v>14558</v>
      </c>
      <c r="E9617" s="3" t="s">
        <v>14559</v>
      </c>
      <c r="F9617" s="3" t="s">
        <v>12085</v>
      </c>
    </row>
    <row r="9618">
      <c r="A9618" s="3">
        <v>1082.0</v>
      </c>
      <c r="B9618" s="3" t="s">
        <v>19423</v>
      </c>
      <c r="C9618" s="3" t="s">
        <v>11281</v>
      </c>
      <c r="D9618" s="3" t="s">
        <v>14560</v>
      </c>
      <c r="E9618" s="3" t="s">
        <v>14561</v>
      </c>
      <c r="F9618" s="3" t="s">
        <v>12102</v>
      </c>
    </row>
    <row r="9619">
      <c r="A9619" s="3">
        <v>1083.0</v>
      </c>
      <c r="B9619" s="3" t="s">
        <v>19423</v>
      </c>
      <c r="C9619" s="3" t="s">
        <v>11281</v>
      </c>
      <c r="D9619" s="3" t="s">
        <v>115</v>
      </c>
      <c r="E9619" s="3" t="s">
        <v>413</v>
      </c>
      <c r="F9619" s="3" t="s">
        <v>414</v>
      </c>
    </row>
    <row r="9620">
      <c r="A9620" s="3">
        <v>1084.0</v>
      </c>
      <c r="B9620" s="3" t="s">
        <v>19423</v>
      </c>
      <c r="C9620" s="3" t="s">
        <v>11281</v>
      </c>
      <c r="D9620" s="3" t="s">
        <v>14562</v>
      </c>
      <c r="E9620" s="3" t="s">
        <v>14563</v>
      </c>
      <c r="F9620" s="3" t="s">
        <v>14564</v>
      </c>
    </row>
    <row r="9621">
      <c r="A9621" s="3">
        <v>1085.0</v>
      </c>
      <c r="B9621" s="3" t="s">
        <v>19423</v>
      </c>
      <c r="C9621" s="3" t="s">
        <v>11281</v>
      </c>
      <c r="D9621" s="3" t="s">
        <v>14565</v>
      </c>
      <c r="E9621" s="3" t="s">
        <v>14566</v>
      </c>
      <c r="F9621" s="3" t="s">
        <v>14567</v>
      </c>
    </row>
    <row r="9622">
      <c r="A9622" s="3">
        <v>1086.0</v>
      </c>
      <c r="B9622" s="3" t="s">
        <v>19423</v>
      </c>
      <c r="C9622" s="3" t="s">
        <v>11281</v>
      </c>
      <c r="D9622" s="3" t="s">
        <v>14568</v>
      </c>
      <c r="E9622" s="3" t="s">
        <v>14569</v>
      </c>
      <c r="F9622" s="3" t="s">
        <v>9860</v>
      </c>
    </row>
    <row r="9623">
      <c r="A9623" s="3">
        <v>1087.0</v>
      </c>
      <c r="B9623" s="3" t="s">
        <v>19423</v>
      </c>
      <c r="C9623" s="3" t="s">
        <v>11281</v>
      </c>
      <c r="D9623" s="3" t="s">
        <v>14570</v>
      </c>
      <c r="E9623" s="3" t="s">
        <v>14571</v>
      </c>
      <c r="F9623" s="3" t="s">
        <v>12784</v>
      </c>
    </row>
    <row r="9624">
      <c r="A9624" s="3">
        <v>1088.0</v>
      </c>
      <c r="B9624" s="3" t="s">
        <v>19423</v>
      </c>
      <c r="C9624" s="3" t="s">
        <v>11281</v>
      </c>
      <c r="D9624" s="3" t="s">
        <v>14572</v>
      </c>
      <c r="E9624" s="3" t="s">
        <v>14573</v>
      </c>
      <c r="F9624" s="3" t="s">
        <v>14574</v>
      </c>
      <c r="G9624" s="3"/>
      <c r="H9624" s="3" t="s">
        <v>14575</v>
      </c>
    </row>
    <row r="9625">
      <c r="A9625" s="3">
        <v>1089.0</v>
      </c>
      <c r="B9625" s="3" t="s">
        <v>19423</v>
      </c>
      <c r="C9625" s="3" t="s">
        <v>11281</v>
      </c>
      <c r="D9625" s="3" t="s">
        <v>14576</v>
      </c>
      <c r="E9625" s="3" t="s">
        <v>14577</v>
      </c>
      <c r="F9625" s="3" t="s">
        <v>14578</v>
      </c>
    </row>
    <row r="9626">
      <c r="A9626" s="3">
        <v>1090.0</v>
      </c>
      <c r="B9626" s="3" t="s">
        <v>19423</v>
      </c>
      <c r="C9626" s="3" t="s">
        <v>11281</v>
      </c>
      <c r="D9626" s="3" t="s">
        <v>14579</v>
      </c>
      <c r="E9626" s="3" t="s">
        <v>826</v>
      </c>
      <c r="F9626" s="3" t="s">
        <v>827</v>
      </c>
    </row>
    <row r="9627">
      <c r="A9627" s="3">
        <v>1091.0</v>
      </c>
      <c r="B9627" s="3" t="s">
        <v>19423</v>
      </c>
      <c r="C9627" s="3" t="s">
        <v>11281</v>
      </c>
      <c r="D9627" s="3" t="s">
        <v>14580</v>
      </c>
      <c r="E9627" s="3" t="s">
        <v>888</v>
      </c>
      <c r="F9627" s="3" t="s">
        <v>889</v>
      </c>
    </row>
    <row r="9628">
      <c r="A9628" s="3">
        <v>1092.0</v>
      </c>
      <c r="B9628" s="3" t="s">
        <v>19423</v>
      </c>
      <c r="C9628" s="3" t="s">
        <v>11281</v>
      </c>
      <c r="D9628" s="3" t="s">
        <v>14581</v>
      </c>
      <c r="E9628" s="3" t="s">
        <v>897</v>
      </c>
      <c r="F9628" s="3" t="s">
        <v>898</v>
      </c>
    </row>
    <row r="9629">
      <c r="A9629" s="3">
        <v>1093.0</v>
      </c>
      <c r="B9629" s="3" t="s">
        <v>19423</v>
      </c>
      <c r="C9629" s="3" t="s">
        <v>11281</v>
      </c>
      <c r="D9629" s="3" t="s">
        <v>4380</v>
      </c>
      <c r="E9629" s="3" t="s">
        <v>353</v>
      </c>
      <c r="F9629" s="3" t="s">
        <v>354</v>
      </c>
    </row>
    <row r="9630">
      <c r="A9630" s="3">
        <v>1094.0</v>
      </c>
      <c r="B9630" s="3" t="s">
        <v>19423</v>
      </c>
      <c r="C9630" s="3" t="s">
        <v>11281</v>
      </c>
      <c r="D9630" s="3" t="s">
        <v>14582</v>
      </c>
      <c r="E9630" s="3" t="s">
        <v>19934</v>
      </c>
      <c r="F9630" s="3" t="s">
        <v>19935</v>
      </c>
      <c r="G9630" s="3"/>
      <c r="H9630" s="3" t="s">
        <v>14583</v>
      </c>
      <c r="I9630" s="3" t="s">
        <v>14584</v>
      </c>
      <c r="J9630" s="3" t="s">
        <v>14585</v>
      </c>
      <c r="K9630" s="3" t="s">
        <v>14586</v>
      </c>
      <c r="L9630" s="3" t="s">
        <v>14587</v>
      </c>
      <c r="M9630" s="3" t="s">
        <v>14588</v>
      </c>
      <c r="N9630" s="3" t="s">
        <v>14589</v>
      </c>
      <c r="O9630" s="3" t="s">
        <v>14590</v>
      </c>
      <c r="P9630" s="3" t="s">
        <v>7515</v>
      </c>
      <c r="Q9630" s="3" t="s">
        <v>14591</v>
      </c>
      <c r="R9630" s="3" t="s">
        <v>14592</v>
      </c>
    </row>
    <row r="9631">
      <c r="A9631" s="3">
        <v>1095.0</v>
      </c>
      <c r="B9631" s="3" t="s">
        <v>19423</v>
      </c>
      <c r="C9631" s="3" t="s">
        <v>11281</v>
      </c>
      <c r="D9631" s="3" t="s">
        <v>14593</v>
      </c>
      <c r="E9631" s="3" t="s">
        <v>19936</v>
      </c>
      <c r="F9631" s="3" t="s">
        <v>19937</v>
      </c>
    </row>
    <row r="9632">
      <c r="A9632" s="3">
        <v>1096.0</v>
      </c>
      <c r="B9632" s="3" t="s">
        <v>19423</v>
      </c>
      <c r="C9632" s="3" t="s">
        <v>11281</v>
      </c>
      <c r="D9632" s="3" t="s">
        <v>14594</v>
      </c>
      <c r="E9632" s="3" t="s">
        <v>19938</v>
      </c>
      <c r="F9632" s="3" t="s">
        <v>19939</v>
      </c>
    </row>
    <row r="9633">
      <c r="A9633" s="3">
        <v>1097.0</v>
      </c>
      <c r="B9633" s="3" t="s">
        <v>19423</v>
      </c>
      <c r="C9633" s="3" t="s">
        <v>11281</v>
      </c>
      <c r="D9633" s="3" t="s">
        <v>14597</v>
      </c>
      <c r="E9633" s="3" t="s">
        <v>19940</v>
      </c>
      <c r="F9633" s="3" t="s">
        <v>19941</v>
      </c>
    </row>
    <row r="9634">
      <c r="A9634" s="3">
        <v>1098.0</v>
      </c>
      <c r="B9634" s="3" t="s">
        <v>19423</v>
      </c>
      <c r="C9634" s="3" t="s">
        <v>11281</v>
      </c>
      <c r="D9634" s="3" t="s">
        <v>14600</v>
      </c>
      <c r="E9634" s="3" t="s">
        <v>19942</v>
      </c>
      <c r="F9634" s="3" t="s">
        <v>19943</v>
      </c>
      <c r="G9634" s="3"/>
      <c r="H9634" s="3" t="s">
        <v>14603</v>
      </c>
      <c r="I9634" s="3" t="s">
        <v>4858</v>
      </c>
      <c r="J9634" s="3" t="s">
        <v>14604</v>
      </c>
      <c r="K9634" s="3" t="s">
        <v>14605</v>
      </c>
    </row>
    <row r="9635">
      <c r="A9635" s="3">
        <v>1099.0</v>
      </c>
      <c r="B9635" s="3" t="s">
        <v>19423</v>
      </c>
      <c r="C9635" s="3" t="s">
        <v>11281</v>
      </c>
      <c r="D9635" s="3" t="s">
        <v>14606</v>
      </c>
      <c r="E9635" s="3" t="s">
        <v>19944</v>
      </c>
      <c r="F9635" s="3" t="s">
        <v>19945</v>
      </c>
    </row>
    <row r="9636">
      <c r="A9636" s="3">
        <v>1100.0</v>
      </c>
      <c r="B9636" s="3" t="s">
        <v>19423</v>
      </c>
      <c r="C9636" s="3" t="s">
        <v>11281</v>
      </c>
      <c r="D9636" s="3" t="s">
        <v>14609</v>
      </c>
      <c r="E9636" s="3" t="s">
        <v>19946</v>
      </c>
      <c r="F9636" s="3" t="s">
        <v>19947</v>
      </c>
    </row>
    <row r="9637">
      <c r="A9637" s="3">
        <v>1101.0</v>
      </c>
      <c r="B9637" s="3" t="s">
        <v>19423</v>
      </c>
      <c r="C9637" s="3" t="s">
        <v>11281</v>
      </c>
      <c r="D9637" s="3" t="s">
        <v>14610</v>
      </c>
      <c r="E9637" s="3" t="s">
        <v>14611</v>
      </c>
      <c r="F9637" s="3" t="s">
        <v>14612</v>
      </c>
    </row>
    <row r="9638">
      <c r="A9638" s="3">
        <v>1102.0</v>
      </c>
      <c r="B9638" s="3" t="s">
        <v>19423</v>
      </c>
      <c r="C9638" s="3" t="s">
        <v>11281</v>
      </c>
      <c r="D9638" s="3" t="s">
        <v>14613</v>
      </c>
      <c r="E9638" s="3" t="s">
        <v>14614</v>
      </c>
      <c r="F9638" s="3" t="s">
        <v>14615</v>
      </c>
    </row>
    <row r="9639">
      <c r="A9639" s="3">
        <v>1103.0</v>
      </c>
      <c r="B9639" s="3" t="s">
        <v>19423</v>
      </c>
      <c r="C9639" s="3" t="s">
        <v>11281</v>
      </c>
      <c r="D9639" s="3" t="s">
        <v>14616</v>
      </c>
      <c r="E9639" s="3" t="s">
        <v>14617</v>
      </c>
      <c r="F9639" s="3" t="s">
        <v>8546</v>
      </c>
    </row>
    <row r="9640">
      <c r="A9640" s="3">
        <v>1104.0</v>
      </c>
      <c r="B9640" s="3" t="s">
        <v>19423</v>
      </c>
      <c r="C9640" s="3" t="s">
        <v>11281</v>
      </c>
      <c r="D9640" s="3" t="s">
        <v>14618</v>
      </c>
      <c r="E9640" s="3" t="s">
        <v>14619</v>
      </c>
      <c r="F9640" s="3" t="s">
        <v>14620</v>
      </c>
    </row>
    <row r="9641">
      <c r="A9641" s="3">
        <v>1105.0</v>
      </c>
      <c r="B9641" s="3" t="s">
        <v>19423</v>
      </c>
      <c r="C9641" s="3" t="s">
        <v>11281</v>
      </c>
      <c r="D9641" s="3" t="s">
        <v>14621</v>
      </c>
      <c r="E9641" s="3" t="s">
        <v>14622</v>
      </c>
      <c r="F9641" s="3" t="s">
        <v>8546</v>
      </c>
      <c r="G9641" s="3"/>
      <c r="H9641" s="3" t="s">
        <v>14623</v>
      </c>
      <c r="I9641" s="3" t="s">
        <v>14624</v>
      </c>
      <c r="J9641" s="3" t="s">
        <v>14625</v>
      </c>
      <c r="K9641" s="3" t="s">
        <v>8524</v>
      </c>
    </row>
    <row r="9642">
      <c r="A9642" s="3">
        <v>1106.0</v>
      </c>
      <c r="B9642" s="3" t="s">
        <v>19423</v>
      </c>
      <c r="C9642" s="3" t="s">
        <v>11281</v>
      </c>
      <c r="D9642" s="3" t="s">
        <v>14626</v>
      </c>
      <c r="E9642" s="3" t="s">
        <v>14627</v>
      </c>
      <c r="F9642" s="3" t="s">
        <v>14620</v>
      </c>
    </row>
    <row r="9643">
      <c r="A9643" s="3">
        <v>1107.0</v>
      </c>
      <c r="B9643" s="3" t="s">
        <v>19423</v>
      </c>
      <c r="C9643" s="3" t="s">
        <v>11281</v>
      </c>
      <c r="D9643" s="3" t="s">
        <v>14628</v>
      </c>
      <c r="E9643" s="3" t="s">
        <v>14629</v>
      </c>
      <c r="F9643" s="3" t="s">
        <v>14630</v>
      </c>
    </row>
    <row r="9644">
      <c r="A9644" s="3">
        <v>1108.0</v>
      </c>
      <c r="B9644" s="3" t="s">
        <v>19423</v>
      </c>
      <c r="C9644" s="3" t="s">
        <v>11281</v>
      </c>
      <c r="D9644" s="3" t="s">
        <v>14631</v>
      </c>
      <c r="E9644" s="3" t="s">
        <v>14632</v>
      </c>
      <c r="F9644" s="3" t="s">
        <v>14633</v>
      </c>
    </row>
    <row r="9645">
      <c r="A9645" s="3">
        <v>1109.0</v>
      </c>
      <c r="B9645" s="3" t="s">
        <v>19423</v>
      </c>
      <c r="C9645" s="3" t="s">
        <v>11281</v>
      </c>
      <c r="D9645" s="3" t="s">
        <v>14634</v>
      </c>
      <c r="E9645" s="3" t="s">
        <v>14635</v>
      </c>
      <c r="F9645" s="3" t="s">
        <v>14636</v>
      </c>
    </row>
    <row r="9646">
      <c r="A9646" s="3">
        <v>1110.0</v>
      </c>
      <c r="B9646" s="3" t="s">
        <v>19423</v>
      </c>
      <c r="C9646" s="3" t="s">
        <v>11281</v>
      </c>
      <c r="D9646" s="3" t="s">
        <v>14637</v>
      </c>
      <c r="E9646" s="3" t="s">
        <v>14638</v>
      </c>
      <c r="F9646" s="3" t="s">
        <v>14639</v>
      </c>
    </row>
    <row r="9647">
      <c r="A9647" s="3">
        <v>1111.0</v>
      </c>
      <c r="B9647" s="3" t="s">
        <v>19423</v>
      </c>
      <c r="C9647" s="3" t="s">
        <v>11281</v>
      </c>
      <c r="D9647" s="3" t="s">
        <v>14640</v>
      </c>
      <c r="E9647" s="3" t="s">
        <v>14641</v>
      </c>
      <c r="F9647" s="3" t="s">
        <v>14642</v>
      </c>
      <c r="G9647" s="3"/>
      <c r="H9647" s="3" t="s">
        <v>9686</v>
      </c>
      <c r="I9647" s="3" t="s">
        <v>14451</v>
      </c>
      <c r="J9647" s="3" t="s">
        <v>14643</v>
      </c>
      <c r="K9647" s="3" t="s">
        <v>14644</v>
      </c>
    </row>
    <row r="9648">
      <c r="A9648" s="3">
        <v>1112.0</v>
      </c>
      <c r="B9648" s="3" t="s">
        <v>19423</v>
      </c>
      <c r="C9648" s="3" t="s">
        <v>11281</v>
      </c>
      <c r="D9648" s="3" t="s">
        <v>14645</v>
      </c>
      <c r="E9648" s="3" t="s">
        <v>14646</v>
      </c>
      <c r="F9648" s="3" t="s">
        <v>14647</v>
      </c>
    </row>
    <row r="9649">
      <c r="A9649" s="3">
        <v>1113.0</v>
      </c>
      <c r="B9649" s="3" t="s">
        <v>19423</v>
      </c>
      <c r="C9649" s="3" t="s">
        <v>11281</v>
      </c>
      <c r="D9649" s="3" t="s">
        <v>14648</v>
      </c>
      <c r="E9649" s="3" t="s">
        <v>14649</v>
      </c>
      <c r="F9649" s="3" t="s">
        <v>14650</v>
      </c>
    </row>
    <row r="9650">
      <c r="A9650" s="3">
        <v>1114.0</v>
      </c>
      <c r="B9650" s="3" t="s">
        <v>19423</v>
      </c>
      <c r="C9650" s="3" t="s">
        <v>11281</v>
      </c>
      <c r="D9650" s="3" t="s">
        <v>14651</v>
      </c>
      <c r="E9650" s="3" t="s">
        <v>14652</v>
      </c>
      <c r="F9650" s="3" t="s">
        <v>14653</v>
      </c>
    </row>
    <row r="9651">
      <c r="A9651" s="3">
        <v>1115.0</v>
      </c>
      <c r="B9651" s="3" t="s">
        <v>19423</v>
      </c>
      <c r="C9651" s="3" t="s">
        <v>11281</v>
      </c>
      <c r="D9651" s="3" t="s">
        <v>14654</v>
      </c>
      <c r="E9651" s="3" t="s">
        <v>14655</v>
      </c>
      <c r="F9651" s="3" t="s">
        <v>14656</v>
      </c>
    </row>
    <row r="9652">
      <c r="A9652" s="3">
        <v>1116.0</v>
      </c>
      <c r="B9652" s="3" t="s">
        <v>19423</v>
      </c>
      <c r="C9652" s="3" t="s">
        <v>11281</v>
      </c>
      <c r="D9652" s="3" t="s">
        <v>14657</v>
      </c>
      <c r="E9652" s="3" t="s">
        <v>14658</v>
      </c>
      <c r="F9652" s="3" t="s">
        <v>14659</v>
      </c>
    </row>
    <row r="9653">
      <c r="A9653" s="3">
        <v>1117.0</v>
      </c>
      <c r="B9653" s="3" t="s">
        <v>19423</v>
      </c>
      <c r="C9653" s="3" t="s">
        <v>11281</v>
      </c>
      <c r="D9653" s="3" t="s">
        <v>14660</v>
      </c>
      <c r="E9653" s="3" t="s">
        <v>14661</v>
      </c>
      <c r="F9653" s="3" t="s">
        <v>14662</v>
      </c>
    </row>
    <row r="9654">
      <c r="A9654" s="3">
        <v>1118.0</v>
      </c>
      <c r="B9654" s="3" t="s">
        <v>19423</v>
      </c>
      <c r="C9654" s="3" t="s">
        <v>11281</v>
      </c>
      <c r="D9654" s="3" t="s">
        <v>14663</v>
      </c>
      <c r="E9654" s="3" t="s">
        <v>19948</v>
      </c>
      <c r="F9654" s="3" t="s">
        <v>19949</v>
      </c>
    </row>
    <row r="9655">
      <c r="A9655" s="3">
        <v>1119.0</v>
      </c>
      <c r="B9655" s="3" t="s">
        <v>19423</v>
      </c>
      <c r="C9655" s="3" t="s">
        <v>11281</v>
      </c>
      <c r="D9655" s="3" t="s">
        <v>14666</v>
      </c>
      <c r="E9655" s="3" t="s">
        <v>19950</v>
      </c>
      <c r="F9655" s="3" t="s">
        <v>19951</v>
      </c>
    </row>
    <row r="9656">
      <c r="A9656" s="3">
        <v>1120.0</v>
      </c>
      <c r="B9656" s="3" t="s">
        <v>19423</v>
      </c>
      <c r="C9656" s="3" t="s">
        <v>11281</v>
      </c>
      <c r="D9656" s="3" t="s">
        <v>14669</v>
      </c>
      <c r="E9656" s="3" t="s">
        <v>117</v>
      </c>
      <c r="F9656" s="3" t="s">
        <v>116</v>
      </c>
    </row>
    <row r="9657">
      <c r="A9657" s="3">
        <v>1121.0</v>
      </c>
      <c r="B9657" s="3" t="s">
        <v>19423</v>
      </c>
      <c r="C9657" s="3" t="s">
        <v>11281</v>
      </c>
      <c r="D9657" s="3" t="s">
        <v>14670</v>
      </c>
      <c r="E9657" s="3" t="s">
        <v>14671</v>
      </c>
      <c r="F9657" s="3" t="s">
        <v>14672</v>
      </c>
    </row>
    <row r="9658">
      <c r="A9658" s="3">
        <v>1122.0</v>
      </c>
      <c r="B9658" s="3" t="s">
        <v>19423</v>
      </c>
      <c r="C9658" s="3" t="s">
        <v>11281</v>
      </c>
      <c r="D9658" s="3" t="s">
        <v>14673</v>
      </c>
      <c r="E9658" s="3" t="s">
        <v>14674</v>
      </c>
      <c r="F9658" s="3" t="s">
        <v>14675</v>
      </c>
    </row>
    <row r="9659">
      <c r="A9659" s="3">
        <v>1123.0</v>
      </c>
      <c r="B9659" s="3" t="s">
        <v>19423</v>
      </c>
      <c r="C9659" s="3" t="s">
        <v>11281</v>
      </c>
      <c r="D9659" s="3" t="s">
        <v>14676</v>
      </c>
      <c r="E9659" s="3" t="s">
        <v>2366</v>
      </c>
      <c r="F9659" s="3" t="s">
        <v>2367</v>
      </c>
    </row>
    <row r="9660">
      <c r="A9660" s="3">
        <v>1124.0</v>
      </c>
      <c r="B9660" s="3" t="s">
        <v>19423</v>
      </c>
      <c r="C9660" s="3" t="s">
        <v>11281</v>
      </c>
      <c r="D9660" s="3" t="s">
        <v>14677</v>
      </c>
      <c r="E9660" s="3" t="s">
        <v>14678</v>
      </c>
      <c r="F9660" s="3" t="s">
        <v>14679</v>
      </c>
    </row>
    <row r="9661">
      <c r="A9661" s="3">
        <v>1125.0</v>
      </c>
      <c r="B9661" s="3" t="s">
        <v>19423</v>
      </c>
      <c r="C9661" s="3" t="s">
        <v>11281</v>
      </c>
      <c r="D9661" s="3" t="s">
        <v>14680</v>
      </c>
      <c r="E9661" s="3" t="s">
        <v>14681</v>
      </c>
      <c r="F9661" s="3" t="s">
        <v>14682</v>
      </c>
    </row>
    <row r="9662">
      <c r="A9662" s="3">
        <v>1126.0</v>
      </c>
      <c r="B9662" s="3" t="s">
        <v>19423</v>
      </c>
      <c r="C9662" s="3" t="s">
        <v>11281</v>
      </c>
      <c r="D9662" s="3" t="s">
        <v>14683</v>
      </c>
      <c r="E9662" s="3" t="s">
        <v>14684</v>
      </c>
      <c r="F9662" s="3" t="s">
        <v>14685</v>
      </c>
    </row>
    <row r="9663">
      <c r="A9663" s="3">
        <v>1127.0</v>
      </c>
      <c r="B9663" s="3" t="s">
        <v>19423</v>
      </c>
      <c r="C9663" s="3" t="s">
        <v>11281</v>
      </c>
      <c r="D9663" s="3" t="s">
        <v>14686</v>
      </c>
      <c r="E9663" s="3" t="s">
        <v>14687</v>
      </c>
      <c r="F9663" s="3" t="s">
        <v>14688</v>
      </c>
    </row>
    <row r="9664">
      <c r="A9664" s="3">
        <v>1128.0</v>
      </c>
      <c r="B9664" s="3" t="s">
        <v>19423</v>
      </c>
      <c r="C9664" s="3" t="s">
        <v>11281</v>
      </c>
      <c r="D9664" s="3" t="s">
        <v>14689</v>
      </c>
      <c r="E9664" s="3" t="s">
        <v>14690</v>
      </c>
      <c r="F9664" s="3" t="s">
        <v>14691</v>
      </c>
    </row>
    <row r="9665">
      <c r="A9665" s="3">
        <v>1129.0</v>
      </c>
      <c r="B9665" s="3" t="s">
        <v>19423</v>
      </c>
      <c r="C9665" s="3" t="s">
        <v>11281</v>
      </c>
      <c r="D9665" s="3" t="s">
        <v>14692</v>
      </c>
      <c r="E9665" s="3" t="s">
        <v>14693</v>
      </c>
      <c r="F9665" s="3" t="s">
        <v>14694</v>
      </c>
    </row>
    <row r="9666">
      <c r="A9666" s="3">
        <v>1130.0</v>
      </c>
      <c r="B9666" s="3" t="s">
        <v>19423</v>
      </c>
      <c r="C9666" s="3" t="s">
        <v>11281</v>
      </c>
      <c r="D9666" s="3" t="s">
        <v>14695</v>
      </c>
      <c r="E9666" s="3" t="s">
        <v>14696</v>
      </c>
      <c r="F9666" s="3" t="s">
        <v>14697</v>
      </c>
    </row>
    <row r="9667">
      <c r="A9667" s="3">
        <v>1131.0</v>
      </c>
      <c r="B9667" s="3" t="s">
        <v>19423</v>
      </c>
      <c r="C9667" s="3" t="s">
        <v>11281</v>
      </c>
      <c r="D9667" s="3" t="s">
        <v>14698</v>
      </c>
      <c r="E9667" s="3" t="s">
        <v>14699</v>
      </c>
      <c r="F9667" s="3" t="s">
        <v>14700</v>
      </c>
    </row>
    <row r="9668">
      <c r="A9668" s="3">
        <v>1132.0</v>
      </c>
      <c r="B9668" s="3" t="s">
        <v>19423</v>
      </c>
      <c r="C9668" s="3" t="s">
        <v>11281</v>
      </c>
      <c r="D9668" s="3" t="s">
        <v>14701</v>
      </c>
      <c r="E9668" s="3" t="s">
        <v>10648</v>
      </c>
      <c r="F9668" s="3" t="s">
        <v>10649</v>
      </c>
    </row>
    <row r="9669">
      <c r="A9669" s="3">
        <v>1133.0</v>
      </c>
      <c r="B9669" s="3" t="s">
        <v>19423</v>
      </c>
      <c r="C9669" s="3" t="s">
        <v>11281</v>
      </c>
      <c r="D9669" s="3" t="s">
        <v>14702</v>
      </c>
      <c r="E9669" s="3" t="s">
        <v>14703</v>
      </c>
      <c r="F9669" s="3" t="s">
        <v>14704</v>
      </c>
    </row>
    <row r="9670">
      <c r="A9670" s="3">
        <v>1134.0</v>
      </c>
      <c r="B9670" s="3" t="s">
        <v>19423</v>
      </c>
      <c r="C9670" s="3" t="s">
        <v>11281</v>
      </c>
      <c r="D9670" s="3" t="s">
        <v>14705</v>
      </c>
      <c r="E9670" s="3" t="s">
        <v>14706</v>
      </c>
      <c r="F9670" s="3" t="s">
        <v>14707</v>
      </c>
    </row>
    <row r="9671">
      <c r="A9671" s="3">
        <v>1135.0</v>
      </c>
      <c r="B9671" s="3" t="s">
        <v>19423</v>
      </c>
      <c r="C9671" s="3" t="s">
        <v>11281</v>
      </c>
      <c r="D9671" s="3" t="s">
        <v>14708</v>
      </c>
      <c r="E9671" s="3" t="s">
        <v>14709</v>
      </c>
      <c r="F9671" s="3" t="s">
        <v>14710</v>
      </c>
    </row>
    <row r="9672">
      <c r="A9672" s="3">
        <v>1136.0</v>
      </c>
      <c r="B9672" s="3" t="s">
        <v>19423</v>
      </c>
      <c r="C9672" s="3" t="s">
        <v>11281</v>
      </c>
      <c r="D9672" s="3" t="s">
        <v>14711</v>
      </c>
      <c r="E9672" s="3" t="s">
        <v>14712</v>
      </c>
      <c r="F9672" s="3" t="s">
        <v>14713</v>
      </c>
    </row>
    <row r="9673">
      <c r="A9673" s="3">
        <v>1137.0</v>
      </c>
      <c r="B9673" s="3" t="s">
        <v>19423</v>
      </c>
      <c r="C9673" s="3" t="s">
        <v>11281</v>
      </c>
      <c r="D9673" s="3" t="s">
        <v>14714</v>
      </c>
      <c r="E9673" s="3" t="s">
        <v>14715</v>
      </c>
      <c r="F9673" s="3" t="s">
        <v>14716</v>
      </c>
    </row>
    <row r="9674">
      <c r="A9674" s="3">
        <v>1138.0</v>
      </c>
      <c r="B9674" s="3" t="s">
        <v>19423</v>
      </c>
      <c r="C9674" s="3" t="s">
        <v>11281</v>
      </c>
      <c r="D9674" s="3" t="s">
        <v>14717</v>
      </c>
      <c r="E9674" s="3" t="s">
        <v>14718</v>
      </c>
      <c r="F9674" s="3" t="s">
        <v>14719</v>
      </c>
    </row>
    <row r="9675">
      <c r="A9675" s="3">
        <v>1139.0</v>
      </c>
      <c r="B9675" s="3" t="s">
        <v>19423</v>
      </c>
      <c r="C9675" s="3" t="s">
        <v>11281</v>
      </c>
      <c r="D9675" s="3" t="s">
        <v>14720</v>
      </c>
      <c r="E9675" s="3" t="s">
        <v>4306</v>
      </c>
      <c r="F9675" s="3" t="s">
        <v>4307</v>
      </c>
    </row>
    <row r="9676">
      <c r="A9676" s="3">
        <v>1140.0</v>
      </c>
      <c r="B9676" s="3" t="s">
        <v>19423</v>
      </c>
      <c r="C9676" s="3" t="s">
        <v>11281</v>
      </c>
      <c r="D9676" s="3" t="s">
        <v>14721</v>
      </c>
      <c r="E9676" s="3" t="s">
        <v>14722</v>
      </c>
      <c r="F9676" s="3" t="s">
        <v>14723</v>
      </c>
    </row>
    <row r="9677">
      <c r="A9677" s="3">
        <v>1141.0</v>
      </c>
      <c r="B9677" s="3" t="s">
        <v>19423</v>
      </c>
      <c r="C9677" s="3" t="s">
        <v>11281</v>
      </c>
      <c r="D9677" s="3" t="s">
        <v>14724</v>
      </c>
      <c r="E9677" s="3" t="s">
        <v>14725</v>
      </c>
      <c r="F9677" s="3" t="s">
        <v>14726</v>
      </c>
    </row>
    <row r="9678">
      <c r="A9678" s="3">
        <v>1142.0</v>
      </c>
      <c r="B9678" s="3" t="s">
        <v>19423</v>
      </c>
      <c r="C9678" s="3" t="s">
        <v>11281</v>
      </c>
      <c r="D9678" s="3" t="s">
        <v>14727</v>
      </c>
      <c r="E9678" s="3" t="s">
        <v>14728</v>
      </c>
      <c r="F9678" s="3" t="s">
        <v>14729</v>
      </c>
    </row>
    <row r="9679">
      <c r="A9679" s="3">
        <v>1143.0</v>
      </c>
      <c r="B9679" s="3" t="s">
        <v>19423</v>
      </c>
      <c r="C9679" s="3" t="s">
        <v>11281</v>
      </c>
      <c r="D9679" s="3" t="s">
        <v>14730</v>
      </c>
      <c r="E9679" s="3" t="s">
        <v>14731</v>
      </c>
      <c r="F9679" s="3" t="s">
        <v>14732</v>
      </c>
    </row>
    <row r="9680">
      <c r="A9680" s="3">
        <v>1144.0</v>
      </c>
      <c r="B9680" s="3" t="s">
        <v>19423</v>
      </c>
      <c r="C9680" s="3" t="s">
        <v>11281</v>
      </c>
      <c r="D9680" s="3" t="s">
        <v>10520</v>
      </c>
      <c r="E9680" s="3" t="s">
        <v>14733</v>
      </c>
      <c r="F9680" s="3" t="s">
        <v>14734</v>
      </c>
    </row>
    <row r="9681">
      <c r="A9681" s="3">
        <v>1145.0</v>
      </c>
      <c r="B9681" s="3" t="s">
        <v>19423</v>
      </c>
      <c r="C9681" s="3" t="s">
        <v>11281</v>
      </c>
      <c r="D9681" s="3" t="s">
        <v>14735</v>
      </c>
      <c r="E9681" s="3" t="s">
        <v>14736</v>
      </c>
      <c r="F9681" s="3" t="s">
        <v>14737</v>
      </c>
    </row>
    <row r="9682">
      <c r="A9682" s="3">
        <v>1146.0</v>
      </c>
      <c r="B9682" s="3" t="s">
        <v>19423</v>
      </c>
      <c r="C9682" s="3" t="s">
        <v>11281</v>
      </c>
      <c r="D9682" s="3" t="s">
        <v>14738</v>
      </c>
      <c r="E9682" s="3" t="s">
        <v>8139</v>
      </c>
      <c r="F9682" s="3" t="s">
        <v>8138</v>
      </c>
    </row>
    <row r="9683">
      <c r="A9683" s="3">
        <v>1147.0</v>
      </c>
      <c r="B9683" s="3" t="s">
        <v>19423</v>
      </c>
      <c r="C9683" s="3" t="s">
        <v>11281</v>
      </c>
      <c r="D9683" s="3" t="s">
        <v>14739</v>
      </c>
      <c r="E9683" s="3" t="s">
        <v>14740</v>
      </c>
      <c r="F9683" s="3" t="s">
        <v>14741</v>
      </c>
    </row>
    <row r="9684">
      <c r="A9684" s="3">
        <v>1148.0</v>
      </c>
      <c r="B9684" s="3" t="s">
        <v>19423</v>
      </c>
      <c r="C9684" s="3" t="s">
        <v>11281</v>
      </c>
      <c r="D9684" s="3" t="s">
        <v>14742</v>
      </c>
      <c r="E9684" s="3" t="s">
        <v>14743</v>
      </c>
      <c r="F9684" s="3" t="s">
        <v>14744</v>
      </c>
    </row>
    <row r="9685">
      <c r="A9685" s="3">
        <v>1149.0</v>
      </c>
      <c r="B9685" s="3" t="s">
        <v>19423</v>
      </c>
      <c r="C9685" s="3" t="s">
        <v>11281</v>
      </c>
      <c r="D9685" s="3" t="s">
        <v>14745</v>
      </c>
      <c r="E9685" s="3" t="s">
        <v>14746</v>
      </c>
      <c r="F9685" s="3" t="s">
        <v>14747</v>
      </c>
    </row>
    <row r="9686">
      <c r="A9686" s="3">
        <v>1150.0</v>
      </c>
      <c r="B9686" s="3" t="s">
        <v>19423</v>
      </c>
      <c r="C9686" s="3" t="s">
        <v>11281</v>
      </c>
      <c r="D9686" s="3" t="s">
        <v>14748</v>
      </c>
      <c r="E9686" s="3" t="s">
        <v>14749</v>
      </c>
      <c r="F9686" s="3" t="s">
        <v>14750</v>
      </c>
    </row>
    <row r="9687">
      <c r="A9687" s="3">
        <v>1151.0</v>
      </c>
      <c r="B9687" s="3" t="s">
        <v>19423</v>
      </c>
      <c r="C9687" s="3" t="s">
        <v>11281</v>
      </c>
      <c r="D9687" s="3" t="s">
        <v>14751</v>
      </c>
      <c r="E9687" s="3" t="s">
        <v>14752</v>
      </c>
      <c r="F9687" s="3" t="s">
        <v>14753</v>
      </c>
    </row>
    <row r="9688">
      <c r="A9688" s="3">
        <v>1152.0</v>
      </c>
      <c r="B9688" s="3" t="s">
        <v>19423</v>
      </c>
      <c r="C9688" s="3" t="s">
        <v>11281</v>
      </c>
      <c r="D9688" s="3" t="s">
        <v>14754</v>
      </c>
      <c r="E9688" s="3" t="s">
        <v>14755</v>
      </c>
      <c r="F9688" s="3" t="s">
        <v>14756</v>
      </c>
    </row>
    <row r="9689">
      <c r="A9689" s="3">
        <v>1153.0</v>
      </c>
      <c r="B9689" s="3" t="s">
        <v>19423</v>
      </c>
      <c r="C9689" s="3" t="s">
        <v>11281</v>
      </c>
      <c r="D9689" s="3" t="s">
        <v>14757</v>
      </c>
      <c r="E9689" s="3" t="s">
        <v>14758</v>
      </c>
      <c r="F9689" s="3" t="s">
        <v>14759</v>
      </c>
    </row>
    <row r="9690">
      <c r="A9690" s="3">
        <v>1154.0</v>
      </c>
      <c r="B9690" s="3" t="s">
        <v>19423</v>
      </c>
      <c r="C9690" s="3" t="s">
        <v>11281</v>
      </c>
      <c r="D9690" s="3" t="s">
        <v>14760</v>
      </c>
      <c r="E9690" s="3" t="s">
        <v>19952</v>
      </c>
      <c r="F9690" s="3" t="s">
        <v>19953</v>
      </c>
    </row>
    <row r="9691">
      <c r="A9691" s="3">
        <v>1155.0</v>
      </c>
      <c r="B9691" s="3" t="s">
        <v>19423</v>
      </c>
      <c r="C9691" s="3" t="s">
        <v>11281</v>
      </c>
      <c r="D9691" s="3" t="s">
        <v>14763</v>
      </c>
      <c r="E9691" s="3" t="s">
        <v>19954</v>
      </c>
      <c r="F9691" s="3" t="s">
        <v>19955</v>
      </c>
    </row>
    <row r="9692">
      <c r="A9692" s="3">
        <v>1156.0</v>
      </c>
      <c r="B9692" s="3" t="s">
        <v>19423</v>
      </c>
      <c r="C9692" s="3" t="s">
        <v>11281</v>
      </c>
      <c r="D9692" s="3" t="s">
        <v>14766</v>
      </c>
      <c r="E9692" s="3" t="s">
        <v>19956</v>
      </c>
      <c r="F9692" s="3" t="s">
        <v>19957</v>
      </c>
    </row>
    <row r="9693">
      <c r="A9693" s="3">
        <v>1157.0</v>
      </c>
      <c r="B9693" s="3" t="s">
        <v>19423</v>
      </c>
      <c r="C9693" s="3" t="s">
        <v>11281</v>
      </c>
      <c r="D9693" s="3" t="s">
        <v>14769</v>
      </c>
      <c r="E9693" s="3" t="s">
        <v>19958</v>
      </c>
      <c r="F9693" s="3" t="s">
        <v>19959</v>
      </c>
    </row>
    <row r="9694">
      <c r="A9694" s="3">
        <v>1158.0</v>
      </c>
      <c r="B9694" s="3" t="s">
        <v>19423</v>
      </c>
      <c r="C9694" s="3" t="s">
        <v>11281</v>
      </c>
      <c r="D9694" s="3" t="s">
        <v>14772</v>
      </c>
      <c r="E9694" s="3" t="s">
        <v>19960</v>
      </c>
      <c r="F9694" s="3" t="s">
        <v>19961</v>
      </c>
    </row>
    <row r="9695">
      <c r="A9695" s="3">
        <v>1159.0</v>
      </c>
      <c r="B9695" s="3" t="s">
        <v>19423</v>
      </c>
      <c r="C9695" s="3" t="s">
        <v>11281</v>
      </c>
      <c r="D9695" s="3" t="s">
        <v>14775</v>
      </c>
      <c r="E9695" s="3" t="s">
        <v>19962</v>
      </c>
      <c r="F9695" s="3" t="s">
        <v>19963</v>
      </c>
    </row>
    <row r="9696">
      <c r="A9696" s="3">
        <v>1160.0</v>
      </c>
      <c r="B9696" s="3" t="s">
        <v>19423</v>
      </c>
      <c r="C9696" s="3" t="s">
        <v>11281</v>
      </c>
      <c r="D9696" s="3" t="s">
        <v>14778</v>
      </c>
      <c r="E9696" s="3" t="s">
        <v>19964</v>
      </c>
      <c r="F9696" s="3" t="s">
        <v>19965</v>
      </c>
    </row>
    <row r="9697">
      <c r="A9697" s="3">
        <v>1161.0</v>
      </c>
      <c r="B9697" s="3" t="s">
        <v>19423</v>
      </c>
      <c r="C9697" s="3" t="s">
        <v>11281</v>
      </c>
      <c r="D9697" s="3" t="s">
        <v>14781</v>
      </c>
      <c r="E9697" s="3" t="s">
        <v>14782</v>
      </c>
      <c r="F9697" s="3" t="s">
        <v>14783</v>
      </c>
    </row>
    <row r="9698">
      <c r="A9698" s="3">
        <v>1162.0</v>
      </c>
      <c r="B9698" s="3" t="s">
        <v>19423</v>
      </c>
      <c r="C9698" s="3" t="s">
        <v>11281</v>
      </c>
      <c r="D9698" s="3" t="s">
        <v>14784</v>
      </c>
      <c r="E9698" s="3" t="s">
        <v>14785</v>
      </c>
      <c r="F9698" s="3" t="s">
        <v>14786</v>
      </c>
    </row>
    <row r="9699">
      <c r="A9699" s="3">
        <v>1163.0</v>
      </c>
      <c r="B9699" s="3" t="s">
        <v>19423</v>
      </c>
      <c r="C9699" s="3" t="s">
        <v>11281</v>
      </c>
      <c r="D9699" s="3" t="s">
        <v>14787</v>
      </c>
      <c r="E9699" s="3" t="s">
        <v>14788</v>
      </c>
      <c r="F9699" s="3" t="s">
        <v>14789</v>
      </c>
    </row>
    <row r="9700">
      <c r="A9700" s="3">
        <v>1164.0</v>
      </c>
      <c r="B9700" s="3" t="s">
        <v>19423</v>
      </c>
      <c r="C9700" s="3" t="s">
        <v>11281</v>
      </c>
      <c r="D9700" s="3" t="s">
        <v>14790</v>
      </c>
      <c r="E9700" s="3" t="s">
        <v>14791</v>
      </c>
      <c r="F9700" s="3" t="s">
        <v>14792</v>
      </c>
    </row>
    <row r="9701">
      <c r="A9701" s="3">
        <v>1165.0</v>
      </c>
      <c r="B9701" s="3" t="s">
        <v>19423</v>
      </c>
      <c r="C9701" s="3" t="s">
        <v>11281</v>
      </c>
      <c r="D9701" s="3" t="s">
        <v>14793</v>
      </c>
      <c r="E9701" s="3" t="s">
        <v>14794</v>
      </c>
      <c r="F9701" s="3" t="s">
        <v>14795</v>
      </c>
    </row>
    <row r="9702">
      <c r="A9702" s="3">
        <v>1166.0</v>
      </c>
      <c r="B9702" s="3" t="s">
        <v>19423</v>
      </c>
      <c r="C9702" s="3" t="s">
        <v>11281</v>
      </c>
      <c r="D9702" s="3" t="s">
        <v>14796</v>
      </c>
      <c r="E9702" s="3" t="s">
        <v>19966</v>
      </c>
      <c r="F9702" s="3" t="s">
        <v>19967</v>
      </c>
    </row>
    <row r="9703">
      <c r="A9703" s="3">
        <v>1167.0</v>
      </c>
      <c r="B9703" s="3" t="s">
        <v>19423</v>
      </c>
      <c r="C9703" s="3" t="s">
        <v>11281</v>
      </c>
      <c r="D9703" s="3" t="s">
        <v>14799</v>
      </c>
      <c r="E9703" s="3" t="s">
        <v>19968</v>
      </c>
      <c r="F9703" s="3" t="s">
        <v>19969</v>
      </c>
    </row>
    <row r="9704">
      <c r="A9704" s="3">
        <v>1168.0</v>
      </c>
      <c r="B9704" s="3" t="s">
        <v>19423</v>
      </c>
      <c r="C9704" s="3" t="s">
        <v>11281</v>
      </c>
      <c r="D9704" s="3" t="s">
        <v>14802</v>
      </c>
      <c r="E9704" s="3" t="s">
        <v>14803</v>
      </c>
      <c r="F9704" s="3" t="s">
        <v>14804</v>
      </c>
    </row>
    <row r="9705">
      <c r="A9705" s="3">
        <v>1169.0</v>
      </c>
      <c r="B9705" s="3" t="s">
        <v>19423</v>
      </c>
      <c r="C9705" s="3" t="s">
        <v>11281</v>
      </c>
      <c r="D9705" s="3" t="s">
        <v>14805</v>
      </c>
      <c r="E9705" s="3" t="s">
        <v>14806</v>
      </c>
      <c r="F9705" s="3" t="s">
        <v>14807</v>
      </c>
    </row>
    <row r="9706">
      <c r="A9706" s="3">
        <v>1170.0</v>
      </c>
      <c r="B9706" s="3" t="s">
        <v>19423</v>
      </c>
      <c r="C9706" s="3" t="s">
        <v>11281</v>
      </c>
      <c r="D9706" s="3" t="s">
        <v>14808</v>
      </c>
      <c r="E9706" s="3" t="s">
        <v>14809</v>
      </c>
      <c r="F9706" s="3" t="s">
        <v>14810</v>
      </c>
      <c r="G9706" s="3"/>
      <c r="H9706" s="3" t="s">
        <v>14811</v>
      </c>
      <c r="I9706" s="3" t="s">
        <v>14812</v>
      </c>
      <c r="J9706" s="3" t="s">
        <v>14813</v>
      </c>
      <c r="K9706" s="3" t="s">
        <v>14814</v>
      </c>
      <c r="L9706" s="3" t="s">
        <v>14815</v>
      </c>
      <c r="M9706" s="3" t="s">
        <v>14816</v>
      </c>
      <c r="N9706" s="3" t="s">
        <v>14815</v>
      </c>
    </row>
    <row r="9707">
      <c r="A9707" s="3">
        <v>1171.0</v>
      </c>
      <c r="B9707" s="3" t="s">
        <v>19423</v>
      </c>
      <c r="C9707" s="3" t="s">
        <v>11281</v>
      </c>
      <c r="D9707" s="3" t="s">
        <v>14817</v>
      </c>
      <c r="E9707" s="3" t="s">
        <v>14818</v>
      </c>
      <c r="F9707" s="3" t="s">
        <v>14819</v>
      </c>
    </row>
    <row r="9708">
      <c r="A9708" s="3">
        <v>1172.0</v>
      </c>
      <c r="B9708" s="3" t="s">
        <v>19423</v>
      </c>
      <c r="C9708" s="3" t="s">
        <v>11281</v>
      </c>
      <c r="D9708" s="3" t="s">
        <v>14820</v>
      </c>
      <c r="E9708" s="3" t="s">
        <v>14821</v>
      </c>
      <c r="F9708" s="3" t="s">
        <v>14822</v>
      </c>
    </row>
    <row r="9709">
      <c r="A9709" s="3">
        <v>1173.0</v>
      </c>
      <c r="B9709" s="3" t="s">
        <v>19423</v>
      </c>
      <c r="C9709" s="3" t="s">
        <v>11281</v>
      </c>
      <c r="D9709" s="3" t="s">
        <v>14823</v>
      </c>
      <c r="E9709" s="3" t="s">
        <v>14824</v>
      </c>
      <c r="F9709" s="3" t="s">
        <v>14825</v>
      </c>
    </row>
    <row r="9710">
      <c r="A9710" s="3">
        <v>1174.0</v>
      </c>
      <c r="B9710" s="3" t="s">
        <v>19423</v>
      </c>
      <c r="C9710" s="3" t="s">
        <v>11281</v>
      </c>
      <c r="D9710" s="3" t="s">
        <v>14826</v>
      </c>
      <c r="E9710" s="3" t="s">
        <v>14827</v>
      </c>
      <c r="F9710" s="3" t="s">
        <v>14828</v>
      </c>
    </row>
    <row r="9711">
      <c r="A9711" s="3">
        <v>1175.0</v>
      </c>
      <c r="B9711" s="3" t="s">
        <v>19423</v>
      </c>
      <c r="C9711" s="3" t="s">
        <v>11281</v>
      </c>
      <c r="D9711" s="3" t="s">
        <v>14829</v>
      </c>
      <c r="E9711" s="3" t="s">
        <v>14830</v>
      </c>
      <c r="F9711" s="3" t="s">
        <v>14831</v>
      </c>
    </row>
    <row r="9712">
      <c r="A9712" s="3">
        <v>1176.0</v>
      </c>
      <c r="B9712" s="3" t="s">
        <v>19423</v>
      </c>
      <c r="C9712" s="3" t="s">
        <v>11281</v>
      </c>
      <c r="D9712" s="3" t="s">
        <v>14832</v>
      </c>
      <c r="E9712" s="3" t="s">
        <v>14833</v>
      </c>
      <c r="F9712" s="3" t="s">
        <v>14834</v>
      </c>
    </row>
    <row r="9713">
      <c r="A9713" s="3">
        <v>1177.0</v>
      </c>
      <c r="B9713" s="3" t="s">
        <v>19423</v>
      </c>
      <c r="C9713" s="3" t="s">
        <v>11281</v>
      </c>
      <c r="D9713" s="3" t="s">
        <v>2324</v>
      </c>
      <c r="E9713" s="3" t="s">
        <v>7112</v>
      </c>
      <c r="F9713" s="3" t="s">
        <v>2322</v>
      </c>
    </row>
    <row r="9714">
      <c r="A9714" s="3">
        <v>1178.0</v>
      </c>
      <c r="B9714" s="3" t="s">
        <v>19423</v>
      </c>
      <c r="C9714" s="3" t="s">
        <v>11281</v>
      </c>
      <c r="D9714" s="3" t="s">
        <v>14835</v>
      </c>
      <c r="E9714" s="3" t="s">
        <v>14836</v>
      </c>
      <c r="F9714" s="3" t="s">
        <v>14837</v>
      </c>
    </row>
    <row r="9715">
      <c r="A9715" s="3">
        <v>1179.0</v>
      </c>
      <c r="B9715" s="3" t="s">
        <v>19423</v>
      </c>
      <c r="C9715" s="3" t="s">
        <v>11281</v>
      </c>
      <c r="D9715" s="3" t="s">
        <v>14838</v>
      </c>
      <c r="E9715" s="3" t="s">
        <v>14839</v>
      </c>
      <c r="F9715" s="3" t="s">
        <v>14840</v>
      </c>
    </row>
    <row r="9716">
      <c r="A9716" s="3">
        <v>1180.0</v>
      </c>
      <c r="B9716" s="3" t="s">
        <v>19423</v>
      </c>
      <c r="C9716" s="3" t="s">
        <v>11281</v>
      </c>
      <c r="D9716" s="3" t="s">
        <v>14841</v>
      </c>
      <c r="E9716" s="3" t="s">
        <v>14842</v>
      </c>
      <c r="F9716" s="3" t="s">
        <v>14843</v>
      </c>
    </row>
    <row r="9717">
      <c r="A9717" s="3">
        <v>1181.0</v>
      </c>
      <c r="B9717" s="3" t="s">
        <v>19423</v>
      </c>
      <c r="C9717" s="3" t="s">
        <v>11281</v>
      </c>
      <c r="D9717" s="3" t="s">
        <v>14844</v>
      </c>
      <c r="E9717" s="3" t="s">
        <v>14845</v>
      </c>
      <c r="F9717" s="3" t="s">
        <v>14846</v>
      </c>
    </row>
    <row r="9718">
      <c r="A9718" s="3">
        <v>1182.0</v>
      </c>
      <c r="B9718" s="3" t="s">
        <v>19423</v>
      </c>
      <c r="C9718" s="3" t="s">
        <v>11281</v>
      </c>
      <c r="D9718" s="3" t="s">
        <v>14847</v>
      </c>
      <c r="E9718" s="3" t="s">
        <v>14848</v>
      </c>
      <c r="F9718" s="3" t="s">
        <v>14849</v>
      </c>
    </row>
    <row r="9719">
      <c r="A9719" s="3">
        <v>1183.0</v>
      </c>
      <c r="B9719" s="3" t="s">
        <v>19423</v>
      </c>
      <c r="C9719" s="3" t="s">
        <v>11281</v>
      </c>
      <c r="D9719" s="3" t="s">
        <v>14850</v>
      </c>
      <c r="E9719" s="3" t="s">
        <v>14851</v>
      </c>
      <c r="F9719" s="3" t="s">
        <v>14852</v>
      </c>
    </row>
    <row r="9720">
      <c r="A9720" s="3">
        <v>1184.0</v>
      </c>
      <c r="B9720" s="3" t="s">
        <v>19423</v>
      </c>
      <c r="C9720" s="3" t="s">
        <v>11281</v>
      </c>
      <c r="D9720" s="3" t="s">
        <v>14853</v>
      </c>
      <c r="E9720" s="3" t="s">
        <v>14854</v>
      </c>
      <c r="F9720" s="3" t="s">
        <v>14855</v>
      </c>
    </row>
    <row r="9721">
      <c r="A9721" s="3">
        <v>1185.0</v>
      </c>
      <c r="B9721" s="3" t="s">
        <v>19423</v>
      </c>
      <c r="C9721" s="3" t="s">
        <v>11281</v>
      </c>
      <c r="D9721" s="3" t="s">
        <v>14856</v>
      </c>
      <c r="E9721" s="3" t="s">
        <v>14857</v>
      </c>
      <c r="F9721" s="3" t="s">
        <v>14858</v>
      </c>
    </row>
    <row r="9722">
      <c r="A9722" s="3">
        <v>1186.0</v>
      </c>
      <c r="B9722" s="3" t="s">
        <v>19423</v>
      </c>
      <c r="C9722" s="3" t="s">
        <v>11281</v>
      </c>
      <c r="D9722" s="3" t="s">
        <v>14859</v>
      </c>
      <c r="E9722" s="3" t="s">
        <v>4317</v>
      </c>
      <c r="F9722" s="3" t="s">
        <v>4318</v>
      </c>
    </row>
    <row r="9723">
      <c r="A9723" s="3">
        <v>1187.0</v>
      </c>
      <c r="B9723" s="3" t="s">
        <v>19423</v>
      </c>
      <c r="C9723" s="3" t="s">
        <v>11281</v>
      </c>
      <c r="D9723" s="3" t="s">
        <v>14860</v>
      </c>
      <c r="E9723" s="3" t="s">
        <v>19970</v>
      </c>
      <c r="F9723" s="3" t="s">
        <v>19971</v>
      </c>
    </row>
    <row r="9724">
      <c r="A9724" s="3">
        <v>1188.0</v>
      </c>
      <c r="B9724" s="3" t="s">
        <v>19423</v>
      </c>
      <c r="C9724" s="3" t="s">
        <v>11281</v>
      </c>
      <c r="D9724" s="3" t="s">
        <v>14863</v>
      </c>
      <c r="E9724" s="3" t="s">
        <v>19972</v>
      </c>
      <c r="F9724" s="3" t="s">
        <v>19973</v>
      </c>
    </row>
    <row r="9725">
      <c r="A9725" s="3">
        <v>1189.0</v>
      </c>
      <c r="B9725" s="3" t="s">
        <v>19423</v>
      </c>
      <c r="C9725" s="3" t="s">
        <v>11281</v>
      </c>
      <c r="D9725" s="3" t="s">
        <v>14866</v>
      </c>
      <c r="E9725" s="3" t="s">
        <v>14867</v>
      </c>
      <c r="F9725" s="3" t="s">
        <v>14866</v>
      </c>
    </row>
    <row r="9726">
      <c r="A9726" s="3">
        <v>1190.0</v>
      </c>
      <c r="B9726" s="3" t="s">
        <v>19423</v>
      </c>
      <c r="C9726" s="3" t="s">
        <v>11281</v>
      </c>
      <c r="D9726" s="3" t="s">
        <v>14868</v>
      </c>
      <c r="E9726" s="3" t="s">
        <v>14869</v>
      </c>
      <c r="F9726" s="3" t="s">
        <v>14868</v>
      </c>
    </row>
    <row r="9727">
      <c r="A9727" s="3">
        <v>1191.0</v>
      </c>
      <c r="B9727" s="3" t="s">
        <v>19423</v>
      </c>
      <c r="C9727" s="3" t="s">
        <v>11281</v>
      </c>
      <c r="D9727" s="3" t="s">
        <v>14870</v>
      </c>
      <c r="E9727" s="3" t="s">
        <v>14871</v>
      </c>
      <c r="F9727" s="3" t="s">
        <v>14870</v>
      </c>
    </row>
    <row r="9728">
      <c r="A9728" s="3">
        <v>1192.0</v>
      </c>
      <c r="B9728" s="3" t="s">
        <v>19423</v>
      </c>
      <c r="C9728" s="3" t="s">
        <v>11281</v>
      </c>
      <c r="D9728" s="3" t="s">
        <v>14872</v>
      </c>
      <c r="E9728" s="3" t="s">
        <v>14873</v>
      </c>
      <c r="F9728" s="3" t="s">
        <v>14872</v>
      </c>
    </row>
    <row r="9729">
      <c r="A9729" s="3">
        <v>1193.0</v>
      </c>
      <c r="B9729" s="3" t="s">
        <v>19423</v>
      </c>
      <c r="C9729" s="3" t="s">
        <v>11281</v>
      </c>
      <c r="D9729" s="3" t="s">
        <v>14874</v>
      </c>
      <c r="E9729" s="3" t="s">
        <v>14875</v>
      </c>
      <c r="F9729" s="3" t="s">
        <v>14874</v>
      </c>
    </row>
    <row r="9730">
      <c r="A9730" s="3">
        <v>1194.0</v>
      </c>
      <c r="B9730" s="3" t="s">
        <v>19423</v>
      </c>
      <c r="C9730" s="3" t="s">
        <v>11281</v>
      </c>
      <c r="D9730" s="3" t="s">
        <v>14876</v>
      </c>
      <c r="E9730" s="3" t="s">
        <v>14877</v>
      </c>
      <c r="F9730" s="3" t="s">
        <v>14876</v>
      </c>
    </row>
    <row r="9731">
      <c r="A9731" s="3">
        <v>1195.0</v>
      </c>
      <c r="B9731" s="3" t="s">
        <v>19423</v>
      </c>
      <c r="C9731" s="3" t="s">
        <v>11281</v>
      </c>
      <c r="D9731" s="3" t="s">
        <v>14878</v>
      </c>
      <c r="E9731" s="3" t="s">
        <v>14879</v>
      </c>
      <c r="F9731" s="3" t="s">
        <v>14878</v>
      </c>
    </row>
    <row r="9732">
      <c r="A9732" s="3">
        <v>1196.0</v>
      </c>
      <c r="B9732" s="3" t="s">
        <v>19423</v>
      </c>
      <c r="C9732" s="3" t="s">
        <v>11281</v>
      </c>
      <c r="D9732" s="3" t="s">
        <v>14880</v>
      </c>
      <c r="E9732" s="3" t="s">
        <v>14881</v>
      </c>
      <c r="F9732" s="3" t="s">
        <v>14880</v>
      </c>
    </row>
    <row r="9733">
      <c r="A9733" s="3">
        <v>1197.0</v>
      </c>
      <c r="B9733" s="3" t="s">
        <v>19423</v>
      </c>
      <c r="C9733" s="3" t="s">
        <v>11281</v>
      </c>
      <c r="D9733" s="3" t="s">
        <v>14882</v>
      </c>
      <c r="E9733" s="3" t="s">
        <v>14883</v>
      </c>
      <c r="F9733" s="3" t="s">
        <v>14882</v>
      </c>
    </row>
    <row r="9734">
      <c r="A9734" s="3">
        <v>1198.0</v>
      </c>
      <c r="B9734" s="3" t="s">
        <v>19423</v>
      </c>
      <c r="C9734" s="3" t="s">
        <v>11281</v>
      </c>
      <c r="D9734" s="3" t="s">
        <v>14884</v>
      </c>
      <c r="E9734" s="3" t="s">
        <v>14885</v>
      </c>
      <c r="F9734" s="3" t="s">
        <v>14884</v>
      </c>
      <c r="G9734" s="3"/>
      <c r="H9734" s="3" t="s">
        <v>9653</v>
      </c>
      <c r="I9734" s="3" t="s">
        <v>14886</v>
      </c>
      <c r="J9734" s="3" t="s">
        <v>14887</v>
      </c>
      <c r="K9734" s="3" t="s">
        <v>14888</v>
      </c>
      <c r="L9734" s="3" t="s">
        <v>14889</v>
      </c>
      <c r="M9734" s="3" t="s">
        <v>14890</v>
      </c>
      <c r="N9734" s="3" t="s">
        <v>14891</v>
      </c>
      <c r="O9734" s="3" t="s">
        <v>14892</v>
      </c>
      <c r="P9734" s="3" t="s">
        <v>9653</v>
      </c>
    </row>
    <row r="9735">
      <c r="A9735" s="3">
        <v>1199.0</v>
      </c>
      <c r="B9735" s="3" t="s">
        <v>19423</v>
      </c>
      <c r="C9735" s="3" t="s">
        <v>11281</v>
      </c>
      <c r="D9735" s="3" t="s">
        <v>14893</v>
      </c>
      <c r="E9735" s="3" t="s">
        <v>14894</v>
      </c>
      <c r="F9735" s="3" t="s">
        <v>14893</v>
      </c>
    </row>
    <row r="9736">
      <c r="A9736" s="3">
        <v>1200.0</v>
      </c>
      <c r="B9736" s="3" t="s">
        <v>19423</v>
      </c>
      <c r="C9736" s="3" t="s">
        <v>11281</v>
      </c>
      <c r="D9736" s="3" t="s">
        <v>14895</v>
      </c>
      <c r="E9736" s="3" t="s">
        <v>14896</v>
      </c>
      <c r="F9736" s="3" t="s">
        <v>14895</v>
      </c>
    </row>
    <row r="9737">
      <c r="A9737" s="3">
        <v>1201.0</v>
      </c>
      <c r="B9737" s="3" t="s">
        <v>19423</v>
      </c>
      <c r="C9737" s="3" t="s">
        <v>11281</v>
      </c>
      <c r="D9737" s="3" t="s">
        <v>14897</v>
      </c>
      <c r="E9737" s="3" t="s">
        <v>14898</v>
      </c>
      <c r="F9737" s="3" t="s">
        <v>14897</v>
      </c>
    </row>
    <row r="9738">
      <c r="A9738" s="3">
        <v>1202.0</v>
      </c>
      <c r="B9738" s="3" t="s">
        <v>19423</v>
      </c>
      <c r="C9738" s="3" t="s">
        <v>11281</v>
      </c>
      <c r="D9738" s="3" t="s">
        <v>14899</v>
      </c>
      <c r="E9738" s="3" t="s">
        <v>14900</v>
      </c>
      <c r="F9738" s="3" t="s">
        <v>14899</v>
      </c>
    </row>
    <row r="9739">
      <c r="A9739" s="3">
        <v>1203.0</v>
      </c>
      <c r="B9739" s="3" t="s">
        <v>19423</v>
      </c>
      <c r="C9739" s="3" t="s">
        <v>11281</v>
      </c>
      <c r="D9739" s="3" t="s">
        <v>14901</v>
      </c>
      <c r="E9739" s="3" t="s">
        <v>14902</v>
      </c>
      <c r="F9739" s="3" t="s">
        <v>14901</v>
      </c>
    </row>
    <row r="9740">
      <c r="A9740" s="3">
        <v>1204.0</v>
      </c>
      <c r="B9740" s="3" t="s">
        <v>19423</v>
      </c>
      <c r="C9740" s="3" t="s">
        <v>11281</v>
      </c>
      <c r="D9740" s="3" t="s">
        <v>14903</v>
      </c>
      <c r="E9740" s="3" t="s">
        <v>14904</v>
      </c>
      <c r="F9740" s="3" t="s">
        <v>14903</v>
      </c>
    </row>
    <row r="9741">
      <c r="A9741" s="3">
        <v>1205.0</v>
      </c>
      <c r="B9741" s="3" t="s">
        <v>19423</v>
      </c>
      <c r="C9741" s="3" t="s">
        <v>11281</v>
      </c>
      <c r="D9741" s="3" t="s">
        <v>14905</v>
      </c>
      <c r="E9741" s="3" t="s">
        <v>14906</v>
      </c>
      <c r="F9741" s="3" t="s">
        <v>14907</v>
      </c>
    </row>
    <row r="9742">
      <c r="A9742" s="3">
        <v>1206.0</v>
      </c>
      <c r="B9742" s="3" t="s">
        <v>19423</v>
      </c>
      <c r="C9742" s="3" t="s">
        <v>11281</v>
      </c>
      <c r="D9742" s="3" t="s">
        <v>14908</v>
      </c>
      <c r="E9742" s="3" t="s">
        <v>14909</v>
      </c>
      <c r="F9742" s="3" t="s">
        <v>14910</v>
      </c>
    </row>
    <row r="9743">
      <c r="A9743" s="3">
        <v>1207.0</v>
      </c>
      <c r="B9743" s="3" t="s">
        <v>19423</v>
      </c>
      <c r="C9743" s="3" t="s">
        <v>11281</v>
      </c>
      <c r="D9743" s="3" t="s">
        <v>14911</v>
      </c>
      <c r="E9743" s="3" t="s">
        <v>14912</v>
      </c>
      <c r="F9743" s="3" t="s">
        <v>14913</v>
      </c>
      <c r="G9743" s="3"/>
      <c r="H9743" s="3" t="s">
        <v>14914</v>
      </c>
      <c r="I9743" s="3" t="s">
        <v>14915</v>
      </c>
      <c r="J9743" s="3" t="s">
        <v>14916</v>
      </c>
      <c r="K9743" s="3" t="s">
        <v>14917</v>
      </c>
      <c r="L9743" s="3" t="s">
        <v>14918</v>
      </c>
      <c r="M9743" s="3" t="s">
        <v>13098</v>
      </c>
      <c r="N9743" s="3" t="s">
        <v>14917</v>
      </c>
      <c r="O9743" s="3" t="s">
        <v>14919</v>
      </c>
      <c r="P9743" s="3" t="s">
        <v>14920</v>
      </c>
      <c r="Q9743" s="3" t="s">
        <v>14921</v>
      </c>
      <c r="R9743" s="3" t="s">
        <v>14914</v>
      </c>
    </row>
    <row r="9744">
      <c r="A9744" s="3">
        <v>1208.0</v>
      </c>
      <c r="B9744" s="3" t="s">
        <v>19423</v>
      </c>
      <c r="C9744" s="3" t="s">
        <v>11281</v>
      </c>
      <c r="D9744" s="3" t="s">
        <v>14922</v>
      </c>
      <c r="E9744" s="3" t="s">
        <v>14923</v>
      </c>
      <c r="F9744" s="3" t="s">
        <v>14924</v>
      </c>
    </row>
    <row r="9745">
      <c r="A9745" s="3">
        <v>1209.0</v>
      </c>
      <c r="B9745" s="3" t="s">
        <v>19423</v>
      </c>
      <c r="C9745" s="3" t="s">
        <v>11281</v>
      </c>
      <c r="D9745" s="3" t="s">
        <v>14925</v>
      </c>
      <c r="E9745" s="3" t="s">
        <v>14926</v>
      </c>
      <c r="F9745" s="3" t="s">
        <v>14927</v>
      </c>
    </row>
    <row r="9746">
      <c r="A9746" s="3">
        <v>1210.0</v>
      </c>
      <c r="B9746" s="3" t="s">
        <v>19423</v>
      </c>
      <c r="C9746" s="3" t="s">
        <v>11281</v>
      </c>
      <c r="D9746" s="3" t="s">
        <v>14928</v>
      </c>
      <c r="E9746" s="3" t="s">
        <v>14929</v>
      </c>
      <c r="F9746" s="3" t="s">
        <v>14930</v>
      </c>
    </row>
    <row r="9747">
      <c r="A9747" s="3">
        <v>1211.0</v>
      </c>
      <c r="B9747" s="3" t="s">
        <v>19423</v>
      </c>
      <c r="C9747" s="3" t="s">
        <v>11281</v>
      </c>
      <c r="D9747" s="3" t="s">
        <v>14931</v>
      </c>
      <c r="E9747" s="3" t="s">
        <v>14932</v>
      </c>
      <c r="F9747" s="3" t="s">
        <v>14933</v>
      </c>
    </row>
    <row r="9748">
      <c r="A9748" s="3">
        <v>1212.0</v>
      </c>
      <c r="B9748" s="3" t="s">
        <v>19423</v>
      </c>
      <c r="C9748" s="3" t="s">
        <v>11281</v>
      </c>
      <c r="D9748" s="3" t="s">
        <v>14934</v>
      </c>
      <c r="E9748" s="3" t="s">
        <v>14935</v>
      </c>
      <c r="F9748" s="3" t="s">
        <v>14934</v>
      </c>
    </row>
    <row r="9749">
      <c r="A9749" s="3">
        <v>1213.0</v>
      </c>
      <c r="B9749" s="3" t="s">
        <v>19423</v>
      </c>
      <c r="C9749" s="3" t="s">
        <v>11281</v>
      </c>
      <c r="D9749" s="3" t="s">
        <v>14936</v>
      </c>
      <c r="E9749" s="3" t="s">
        <v>14937</v>
      </c>
      <c r="F9749" s="3" t="s">
        <v>14936</v>
      </c>
    </row>
    <row r="9750">
      <c r="A9750" s="3">
        <v>1214.0</v>
      </c>
      <c r="B9750" s="3" t="s">
        <v>19423</v>
      </c>
      <c r="C9750" s="3" t="s">
        <v>11281</v>
      </c>
      <c r="D9750" s="3" t="s">
        <v>14938</v>
      </c>
      <c r="E9750" s="3" t="s">
        <v>14939</v>
      </c>
      <c r="F9750" s="3" t="s">
        <v>14938</v>
      </c>
    </row>
    <row r="9751">
      <c r="A9751" s="3">
        <v>1215.0</v>
      </c>
      <c r="B9751" s="3" t="s">
        <v>19423</v>
      </c>
      <c r="C9751" s="3" t="s">
        <v>11281</v>
      </c>
      <c r="D9751" s="3" t="s">
        <v>14940</v>
      </c>
      <c r="E9751" s="3" t="s">
        <v>14941</v>
      </c>
      <c r="F9751" s="3" t="s">
        <v>14940</v>
      </c>
    </row>
    <row r="9752">
      <c r="A9752" s="3">
        <v>1216.0</v>
      </c>
      <c r="B9752" s="3" t="s">
        <v>19423</v>
      </c>
      <c r="C9752" s="3" t="s">
        <v>11281</v>
      </c>
      <c r="D9752" s="3" t="s">
        <v>14942</v>
      </c>
      <c r="E9752" s="3" t="s">
        <v>14943</v>
      </c>
      <c r="F9752" s="3" t="s">
        <v>14942</v>
      </c>
    </row>
    <row r="9753">
      <c r="A9753" s="3">
        <v>1217.0</v>
      </c>
      <c r="B9753" s="3" t="s">
        <v>19423</v>
      </c>
      <c r="C9753" s="3" t="s">
        <v>11281</v>
      </c>
      <c r="D9753" s="3" t="s">
        <v>14944</v>
      </c>
      <c r="E9753" s="3" t="s">
        <v>14945</v>
      </c>
      <c r="F9753" s="3" t="s">
        <v>14944</v>
      </c>
    </row>
    <row r="9754">
      <c r="A9754" s="3">
        <v>1218.0</v>
      </c>
      <c r="B9754" s="3" t="s">
        <v>19423</v>
      </c>
      <c r="C9754" s="3" t="s">
        <v>11281</v>
      </c>
      <c r="D9754" s="3" t="s">
        <v>14946</v>
      </c>
      <c r="E9754" s="3" t="s">
        <v>14947</v>
      </c>
      <c r="F9754" s="3" t="s">
        <v>14946</v>
      </c>
    </row>
    <row r="9755">
      <c r="A9755" s="3">
        <v>1219.0</v>
      </c>
      <c r="B9755" s="3" t="s">
        <v>19423</v>
      </c>
      <c r="C9755" s="3" t="s">
        <v>11281</v>
      </c>
      <c r="D9755" s="3" t="s">
        <v>2406</v>
      </c>
      <c r="E9755" s="3" t="s">
        <v>7116</v>
      </c>
      <c r="F9755" s="3" t="s">
        <v>2406</v>
      </c>
    </row>
    <row r="9756">
      <c r="A9756" s="3">
        <v>1220.0</v>
      </c>
      <c r="B9756" s="3" t="s">
        <v>19423</v>
      </c>
      <c r="C9756" s="3" t="s">
        <v>11281</v>
      </c>
      <c r="D9756" s="3" t="s">
        <v>14948</v>
      </c>
      <c r="E9756" s="3" t="s">
        <v>14949</v>
      </c>
      <c r="F9756" s="3" t="s">
        <v>14948</v>
      </c>
    </row>
    <row r="9757">
      <c r="A9757" s="3">
        <v>1221.0</v>
      </c>
      <c r="B9757" s="3" t="s">
        <v>19423</v>
      </c>
      <c r="C9757" s="3" t="s">
        <v>11281</v>
      </c>
      <c r="D9757" s="3" t="s">
        <v>14950</v>
      </c>
      <c r="E9757" s="3" t="s">
        <v>14951</v>
      </c>
      <c r="F9757" s="3" t="s">
        <v>14950</v>
      </c>
      <c r="G9757" s="3"/>
      <c r="H9757" s="3" t="s">
        <v>14952</v>
      </c>
      <c r="I9757" s="3" t="s">
        <v>14953</v>
      </c>
      <c r="J9757" s="3" t="s">
        <v>14954</v>
      </c>
      <c r="K9757" s="3" t="s">
        <v>14955</v>
      </c>
      <c r="L9757" s="3" t="s">
        <v>14956</v>
      </c>
      <c r="M9757" s="3" t="s">
        <v>14957</v>
      </c>
      <c r="N9757" s="3" t="s">
        <v>14958</v>
      </c>
      <c r="O9757" s="3" t="s">
        <v>14956</v>
      </c>
      <c r="P9757" s="3" t="s">
        <v>14959</v>
      </c>
    </row>
    <row r="9758">
      <c r="A9758" s="3">
        <v>1222.0</v>
      </c>
      <c r="B9758" s="3" t="s">
        <v>19423</v>
      </c>
      <c r="C9758" s="3" t="s">
        <v>11281</v>
      </c>
      <c r="D9758" s="3" t="s">
        <v>14960</v>
      </c>
      <c r="E9758" s="3" t="s">
        <v>14961</v>
      </c>
      <c r="F9758" s="3" t="s">
        <v>14960</v>
      </c>
    </row>
    <row r="9759">
      <c r="A9759" s="3">
        <v>1223.0</v>
      </c>
      <c r="B9759" s="3" t="s">
        <v>19423</v>
      </c>
      <c r="C9759" s="3" t="s">
        <v>11281</v>
      </c>
      <c r="D9759" s="3" t="s">
        <v>14962</v>
      </c>
      <c r="E9759" s="3" t="s">
        <v>14963</v>
      </c>
      <c r="F9759" s="3" t="s">
        <v>14962</v>
      </c>
    </row>
    <row r="9760">
      <c r="A9760" s="3">
        <v>1224.0</v>
      </c>
      <c r="B9760" s="3" t="s">
        <v>19423</v>
      </c>
      <c r="C9760" s="3" t="s">
        <v>11281</v>
      </c>
      <c r="D9760" s="3" t="s">
        <v>14964</v>
      </c>
      <c r="E9760" s="3" t="s">
        <v>14965</v>
      </c>
      <c r="F9760" s="3" t="s">
        <v>14964</v>
      </c>
    </row>
    <row r="9761">
      <c r="A9761" s="3">
        <v>1225.0</v>
      </c>
      <c r="B9761" s="3" t="s">
        <v>19423</v>
      </c>
      <c r="C9761" s="3" t="s">
        <v>11281</v>
      </c>
      <c r="D9761" s="3" t="s">
        <v>2415</v>
      </c>
      <c r="E9761" s="3" t="s">
        <v>7118</v>
      </c>
      <c r="F9761" s="3" t="s">
        <v>2415</v>
      </c>
    </row>
    <row r="9762">
      <c r="A9762" s="3">
        <v>1226.0</v>
      </c>
      <c r="B9762" s="3" t="s">
        <v>19423</v>
      </c>
      <c r="C9762" s="3" t="s">
        <v>11281</v>
      </c>
      <c r="D9762" s="3" t="s">
        <v>7131</v>
      </c>
      <c r="E9762" s="3" t="s">
        <v>2455</v>
      </c>
      <c r="F9762" s="3" t="s">
        <v>2456</v>
      </c>
    </row>
    <row r="9763">
      <c r="A9763" s="3">
        <v>1227.0</v>
      </c>
      <c r="B9763" s="3" t="s">
        <v>19423</v>
      </c>
      <c r="C9763" s="3" t="s">
        <v>11281</v>
      </c>
      <c r="D9763" s="3" t="s">
        <v>14966</v>
      </c>
      <c r="E9763" s="3" t="s">
        <v>14967</v>
      </c>
      <c r="F9763" s="3" t="s">
        <v>14968</v>
      </c>
    </row>
    <row r="9764">
      <c r="A9764" s="3">
        <v>1228.0</v>
      </c>
      <c r="B9764" s="3" t="s">
        <v>19423</v>
      </c>
      <c r="C9764" s="3" t="s">
        <v>11281</v>
      </c>
      <c r="D9764" s="3" t="s">
        <v>14969</v>
      </c>
      <c r="E9764" s="3" t="s">
        <v>14970</v>
      </c>
      <c r="F9764" s="3" t="s">
        <v>14971</v>
      </c>
      <c r="G9764" s="3"/>
      <c r="H9764" s="3" t="s">
        <v>14972</v>
      </c>
      <c r="I9764" s="3" t="s">
        <v>14973</v>
      </c>
    </row>
    <row r="9765">
      <c r="A9765" s="3">
        <v>1229.0</v>
      </c>
      <c r="B9765" s="3" t="s">
        <v>19423</v>
      </c>
      <c r="C9765" s="3" t="s">
        <v>11281</v>
      </c>
      <c r="D9765" s="3" t="s">
        <v>14974</v>
      </c>
      <c r="E9765" s="3" t="s">
        <v>14975</v>
      </c>
      <c r="F9765" s="3" t="s">
        <v>14976</v>
      </c>
    </row>
    <row r="9766">
      <c r="A9766" s="3">
        <v>1230.0</v>
      </c>
      <c r="B9766" s="3" t="s">
        <v>19423</v>
      </c>
      <c r="C9766" s="3" t="s">
        <v>11281</v>
      </c>
      <c r="D9766" s="3" t="s">
        <v>14977</v>
      </c>
      <c r="E9766" s="3" t="s">
        <v>14978</v>
      </c>
      <c r="F9766" s="3" t="s">
        <v>14979</v>
      </c>
    </row>
    <row r="9767">
      <c r="A9767" s="3">
        <v>1231.0</v>
      </c>
      <c r="B9767" s="3" t="s">
        <v>19423</v>
      </c>
      <c r="C9767" s="3" t="s">
        <v>11281</v>
      </c>
      <c r="D9767" s="3" t="s">
        <v>14980</v>
      </c>
      <c r="E9767" s="3" t="s">
        <v>14981</v>
      </c>
      <c r="F9767" s="3" t="s">
        <v>14982</v>
      </c>
    </row>
    <row r="9768">
      <c r="A9768" s="3">
        <v>1232.0</v>
      </c>
      <c r="B9768" s="3" t="s">
        <v>19423</v>
      </c>
      <c r="C9768" s="3" t="s">
        <v>11281</v>
      </c>
      <c r="D9768" s="3" t="s">
        <v>7132</v>
      </c>
      <c r="E9768" s="3" t="s">
        <v>2464</v>
      </c>
      <c r="F9768" s="3" t="s">
        <v>2465</v>
      </c>
    </row>
    <row r="9769">
      <c r="A9769" s="3">
        <v>1233.0</v>
      </c>
      <c r="B9769" s="3" t="s">
        <v>19423</v>
      </c>
      <c r="C9769" s="3" t="s">
        <v>11281</v>
      </c>
      <c r="D9769" s="3" t="s">
        <v>14983</v>
      </c>
      <c r="E9769" s="3" t="s">
        <v>14984</v>
      </c>
      <c r="F9769" s="3" t="s">
        <v>14985</v>
      </c>
    </row>
    <row r="9770">
      <c r="A9770" s="3">
        <v>1234.0</v>
      </c>
      <c r="B9770" s="3" t="s">
        <v>19423</v>
      </c>
      <c r="C9770" s="3" t="s">
        <v>11281</v>
      </c>
      <c r="D9770" s="3" t="s">
        <v>14986</v>
      </c>
      <c r="E9770" s="3" t="s">
        <v>14987</v>
      </c>
      <c r="F9770" s="3" t="s">
        <v>14988</v>
      </c>
    </row>
    <row r="9771">
      <c r="A9771" s="3">
        <v>1235.0</v>
      </c>
      <c r="B9771" s="3" t="s">
        <v>19423</v>
      </c>
      <c r="C9771" s="3" t="s">
        <v>11281</v>
      </c>
      <c r="D9771" s="3" t="s">
        <v>14989</v>
      </c>
      <c r="E9771" s="3" t="s">
        <v>14990</v>
      </c>
      <c r="F9771" s="3" t="s">
        <v>14991</v>
      </c>
    </row>
    <row r="9772">
      <c r="A9772" s="3">
        <v>1236.0</v>
      </c>
      <c r="B9772" s="3" t="s">
        <v>19423</v>
      </c>
      <c r="C9772" s="3" t="s">
        <v>11281</v>
      </c>
      <c r="D9772" s="3" t="s">
        <v>14992</v>
      </c>
      <c r="E9772" s="3" t="s">
        <v>14993</v>
      </c>
      <c r="F9772" s="3" t="s">
        <v>14994</v>
      </c>
    </row>
    <row r="9773">
      <c r="A9773" s="3">
        <v>1237.0</v>
      </c>
      <c r="B9773" s="3" t="s">
        <v>19423</v>
      </c>
      <c r="C9773" s="3" t="s">
        <v>11281</v>
      </c>
      <c r="D9773" s="3" t="s">
        <v>14995</v>
      </c>
      <c r="E9773" s="3" t="s">
        <v>14996</v>
      </c>
      <c r="F9773" s="3" t="s">
        <v>14997</v>
      </c>
    </row>
    <row r="9774">
      <c r="A9774" s="3">
        <v>1238.0</v>
      </c>
      <c r="B9774" s="3" t="s">
        <v>19423</v>
      </c>
      <c r="C9774" s="3" t="s">
        <v>11281</v>
      </c>
      <c r="D9774" s="3" t="s">
        <v>14998</v>
      </c>
      <c r="E9774" s="3" t="s">
        <v>14999</v>
      </c>
      <c r="F9774" s="3" t="s">
        <v>15000</v>
      </c>
    </row>
    <row r="9775">
      <c r="A9775" s="3">
        <v>1239.0</v>
      </c>
      <c r="B9775" s="3" t="s">
        <v>19423</v>
      </c>
      <c r="C9775" s="3" t="s">
        <v>11281</v>
      </c>
      <c r="D9775" s="3" t="s">
        <v>15001</v>
      </c>
      <c r="E9775" s="3" t="s">
        <v>15002</v>
      </c>
      <c r="F9775" s="3" t="s">
        <v>15003</v>
      </c>
    </row>
    <row r="9776">
      <c r="A9776" s="3">
        <v>1240.0</v>
      </c>
      <c r="B9776" s="3" t="s">
        <v>19423</v>
      </c>
      <c r="C9776" s="3" t="s">
        <v>11281</v>
      </c>
      <c r="D9776" s="3" t="s">
        <v>15004</v>
      </c>
      <c r="E9776" s="3" t="s">
        <v>15005</v>
      </c>
      <c r="F9776" s="3" t="s">
        <v>15006</v>
      </c>
    </row>
    <row r="9777">
      <c r="A9777" s="3">
        <v>1241.0</v>
      </c>
      <c r="B9777" s="3" t="s">
        <v>19423</v>
      </c>
      <c r="C9777" s="3" t="s">
        <v>11281</v>
      </c>
      <c r="D9777" s="3" t="s">
        <v>15007</v>
      </c>
      <c r="E9777" s="3" t="s">
        <v>15008</v>
      </c>
      <c r="F9777" s="3" t="s">
        <v>15009</v>
      </c>
    </row>
    <row r="9778">
      <c r="A9778" s="3">
        <v>1242.0</v>
      </c>
      <c r="B9778" s="3" t="s">
        <v>19423</v>
      </c>
      <c r="C9778" s="3" t="s">
        <v>11281</v>
      </c>
      <c r="D9778" s="3" t="s">
        <v>15010</v>
      </c>
      <c r="E9778" s="3" t="s">
        <v>19974</v>
      </c>
      <c r="F9778" s="3" t="s">
        <v>19975</v>
      </c>
    </row>
    <row r="9779">
      <c r="A9779" s="3">
        <v>1243.0</v>
      </c>
      <c r="B9779" s="3" t="s">
        <v>19423</v>
      </c>
      <c r="C9779" s="3" t="s">
        <v>11281</v>
      </c>
      <c r="D9779" s="3" t="s">
        <v>15013</v>
      </c>
      <c r="E9779" s="3" t="s">
        <v>19976</v>
      </c>
      <c r="F9779" s="3" t="s">
        <v>19977</v>
      </c>
    </row>
    <row r="9780">
      <c r="A9780" s="3">
        <v>1244.0</v>
      </c>
      <c r="B9780" s="3" t="s">
        <v>19423</v>
      </c>
      <c r="C9780" s="3" t="s">
        <v>11281</v>
      </c>
      <c r="D9780" s="3" t="s">
        <v>15016</v>
      </c>
      <c r="E9780" s="3" t="s">
        <v>19978</v>
      </c>
      <c r="F9780" s="3" t="s">
        <v>19979</v>
      </c>
      <c r="G9780" s="3"/>
      <c r="H9780" s="3" t="s">
        <v>15019</v>
      </c>
      <c r="I9780" s="3" t="s">
        <v>15020</v>
      </c>
    </row>
    <row r="9781">
      <c r="A9781" s="3">
        <v>1245.0</v>
      </c>
      <c r="B9781" s="3" t="s">
        <v>19423</v>
      </c>
      <c r="C9781" s="3" t="s">
        <v>11281</v>
      </c>
      <c r="D9781" s="3" t="s">
        <v>15021</v>
      </c>
      <c r="E9781" s="3" t="s">
        <v>19980</v>
      </c>
      <c r="F9781" s="3" t="s">
        <v>19981</v>
      </c>
    </row>
    <row r="9782">
      <c r="A9782" s="3">
        <v>1246.0</v>
      </c>
      <c r="B9782" s="3" t="s">
        <v>19423</v>
      </c>
      <c r="C9782" s="3" t="s">
        <v>11281</v>
      </c>
      <c r="D9782" s="3" t="s">
        <v>15024</v>
      </c>
      <c r="E9782" s="3" t="s">
        <v>19982</v>
      </c>
      <c r="F9782" s="3" t="s">
        <v>19983</v>
      </c>
    </row>
    <row r="9783">
      <c r="A9783" s="3">
        <v>1247.0</v>
      </c>
      <c r="B9783" s="3" t="s">
        <v>19423</v>
      </c>
      <c r="C9783" s="3" t="s">
        <v>11281</v>
      </c>
      <c r="D9783" s="3" t="s">
        <v>15027</v>
      </c>
      <c r="E9783" s="3" t="s">
        <v>19984</v>
      </c>
      <c r="F9783" s="3" t="s">
        <v>19985</v>
      </c>
    </row>
    <row r="9784">
      <c r="A9784" s="3">
        <v>1248.0</v>
      </c>
      <c r="B9784" s="3" t="s">
        <v>19423</v>
      </c>
      <c r="C9784" s="3" t="s">
        <v>11281</v>
      </c>
      <c r="D9784" s="3" t="s">
        <v>15030</v>
      </c>
      <c r="E9784" s="3" t="s">
        <v>19986</v>
      </c>
      <c r="F9784" s="3" t="s">
        <v>19987</v>
      </c>
    </row>
    <row r="9785">
      <c r="A9785" s="3">
        <v>1249.0</v>
      </c>
      <c r="B9785" s="3" t="s">
        <v>19423</v>
      </c>
      <c r="C9785" s="3" t="s">
        <v>11281</v>
      </c>
      <c r="D9785" s="3" t="s">
        <v>15033</v>
      </c>
      <c r="E9785" s="3" t="s">
        <v>15034</v>
      </c>
      <c r="F9785" s="3" t="s">
        <v>15033</v>
      </c>
      <c r="G9785" s="3"/>
      <c r="H9785" s="3" t="s">
        <v>15035</v>
      </c>
      <c r="I9785" s="3" t="s">
        <v>14006</v>
      </c>
      <c r="J9785" s="3" t="s">
        <v>15036</v>
      </c>
      <c r="K9785" s="3" t="s">
        <v>14006</v>
      </c>
      <c r="L9785" s="3" t="s">
        <v>2138</v>
      </c>
      <c r="M9785" s="3" t="s">
        <v>15037</v>
      </c>
      <c r="N9785" s="3" t="s">
        <v>15038</v>
      </c>
      <c r="O9785" s="3" t="s">
        <v>15039</v>
      </c>
      <c r="P9785" s="3" t="s">
        <v>15040</v>
      </c>
      <c r="Q9785" s="3" t="s">
        <v>15041</v>
      </c>
      <c r="R9785" s="3" t="s">
        <v>14006</v>
      </c>
      <c r="S9785" s="3" t="s">
        <v>15035</v>
      </c>
      <c r="T9785" s="3" t="s">
        <v>2138</v>
      </c>
      <c r="U9785" s="3" t="s">
        <v>15042</v>
      </c>
      <c r="V9785" s="3" t="s">
        <v>15043</v>
      </c>
      <c r="W9785" s="3" t="s">
        <v>13151</v>
      </c>
      <c r="X9785" s="3" t="s">
        <v>15044</v>
      </c>
      <c r="Y9785" s="3" t="s">
        <v>15045</v>
      </c>
      <c r="Z9785" s="3" t="s">
        <v>15046</v>
      </c>
      <c r="AA9785" s="3" t="s">
        <v>15047</v>
      </c>
      <c r="AB9785" s="3" t="s">
        <v>1621</v>
      </c>
      <c r="AC9785" s="3" t="s">
        <v>14006</v>
      </c>
      <c r="AD9785" s="3" t="s">
        <v>11251</v>
      </c>
      <c r="AE9785" s="3" t="s">
        <v>2681</v>
      </c>
      <c r="AF9785" s="3" t="s">
        <v>15048</v>
      </c>
      <c r="AG9785" s="3" t="s">
        <v>14006</v>
      </c>
      <c r="AH9785" s="3" t="s">
        <v>2681</v>
      </c>
      <c r="AI9785" s="3" t="s">
        <v>14005</v>
      </c>
      <c r="AJ9785" s="3" t="s">
        <v>14006</v>
      </c>
      <c r="AK9785" s="3" t="s">
        <v>14007</v>
      </c>
      <c r="AL9785" s="3" t="s">
        <v>15049</v>
      </c>
      <c r="AM9785" s="3" t="s">
        <v>6926</v>
      </c>
      <c r="AN9785" s="3" t="s">
        <v>9917</v>
      </c>
      <c r="AO9785" s="3" t="s">
        <v>1621</v>
      </c>
      <c r="AP9785" s="3" t="s">
        <v>5753</v>
      </c>
    </row>
    <row r="9786">
      <c r="A9786" s="3">
        <v>1250.0</v>
      </c>
      <c r="B9786" s="3" t="s">
        <v>19423</v>
      </c>
      <c r="C9786" s="3" t="s">
        <v>11281</v>
      </c>
      <c r="D9786" s="3" t="s">
        <v>8900</v>
      </c>
      <c r="E9786" s="3" t="s">
        <v>8899</v>
      </c>
      <c r="F9786" s="3" t="s">
        <v>8900</v>
      </c>
      <c r="G9786" s="3"/>
      <c r="H9786" s="3" t="s">
        <v>10476</v>
      </c>
      <c r="I9786" s="3" t="s">
        <v>10477</v>
      </c>
      <c r="J9786" s="3" t="s">
        <v>10478</v>
      </c>
      <c r="K9786" s="3" t="s">
        <v>8900</v>
      </c>
      <c r="L9786" s="3" t="s">
        <v>10477</v>
      </c>
      <c r="M9786" s="3" t="s">
        <v>10479</v>
      </c>
      <c r="N9786" s="3" t="s">
        <v>10478</v>
      </c>
      <c r="O9786" s="3" t="s">
        <v>10477</v>
      </c>
      <c r="P9786" s="3" t="s">
        <v>15050</v>
      </c>
    </row>
    <row r="9787">
      <c r="A9787" s="3">
        <v>1251.0</v>
      </c>
      <c r="B9787" s="3" t="s">
        <v>19423</v>
      </c>
      <c r="C9787" s="3" t="s">
        <v>11281</v>
      </c>
      <c r="D9787" s="3" t="s">
        <v>15051</v>
      </c>
      <c r="E9787" s="3" t="s">
        <v>15052</v>
      </c>
      <c r="F9787" s="3" t="s">
        <v>15051</v>
      </c>
    </row>
    <row r="9788">
      <c r="A9788" s="3">
        <v>1252.0</v>
      </c>
      <c r="B9788" s="3" t="s">
        <v>19423</v>
      </c>
      <c r="C9788" s="3" t="s">
        <v>11281</v>
      </c>
      <c r="D9788" s="3" t="s">
        <v>15053</v>
      </c>
      <c r="E9788" s="3" t="s">
        <v>15054</v>
      </c>
      <c r="F9788" s="3" t="s">
        <v>15053</v>
      </c>
    </row>
    <row r="9789">
      <c r="A9789" s="3">
        <v>1253.0</v>
      </c>
      <c r="B9789" s="3" t="s">
        <v>19423</v>
      </c>
      <c r="C9789" s="3" t="s">
        <v>11281</v>
      </c>
      <c r="D9789" s="3" t="s">
        <v>15055</v>
      </c>
      <c r="E9789" s="3" t="s">
        <v>15056</v>
      </c>
      <c r="F9789" s="3" t="s">
        <v>15055</v>
      </c>
    </row>
    <row r="9790">
      <c r="A9790" s="3">
        <v>1254.0</v>
      </c>
      <c r="B9790" s="3" t="s">
        <v>19423</v>
      </c>
      <c r="C9790" s="3" t="s">
        <v>11281</v>
      </c>
      <c r="D9790" s="3" t="s">
        <v>15057</v>
      </c>
      <c r="E9790" s="3" t="s">
        <v>15058</v>
      </c>
      <c r="F9790" s="3" t="s">
        <v>15057</v>
      </c>
    </row>
    <row r="9791">
      <c r="A9791" s="3">
        <v>1255.0</v>
      </c>
      <c r="B9791" s="3" t="s">
        <v>19423</v>
      </c>
      <c r="C9791" s="3" t="s">
        <v>11281</v>
      </c>
      <c r="D9791" s="3" t="s">
        <v>15059</v>
      </c>
      <c r="E9791" s="3" t="s">
        <v>15060</v>
      </c>
      <c r="F9791" s="3" t="s">
        <v>15059</v>
      </c>
    </row>
    <row r="9792">
      <c r="A9792" s="3">
        <v>1256.0</v>
      </c>
      <c r="B9792" s="3" t="s">
        <v>19423</v>
      </c>
      <c r="C9792" s="3" t="s">
        <v>11281</v>
      </c>
      <c r="D9792" s="3" t="s">
        <v>15061</v>
      </c>
      <c r="E9792" s="3" t="s">
        <v>15062</v>
      </c>
      <c r="F9792" s="3" t="s">
        <v>15061</v>
      </c>
    </row>
    <row r="9793">
      <c r="A9793" s="3">
        <v>1257.0</v>
      </c>
      <c r="B9793" s="3" t="s">
        <v>19423</v>
      </c>
      <c r="C9793" s="3" t="s">
        <v>11281</v>
      </c>
      <c r="D9793" s="3" t="s">
        <v>15063</v>
      </c>
      <c r="E9793" s="3" t="s">
        <v>15064</v>
      </c>
      <c r="F9793" s="3" t="s">
        <v>15063</v>
      </c>
    </row>
    <row r="9794">
      <c r="A9794" s="3">
        <v>1258.0</v>
      </c>
      <c r="B9794" s="3" t="s">
        <v>19423</v>
      </c>
      <c r="C9794" s="3" t="s">
        <v>11281</v>
      </c>
      <c r="D9794" s="3" t="s">
        <v>15065</v>
      </c>
      <c r="E9794" s="3" t="s">
        <v>15066</v>
      </c>
      <c r="F9794" s="3" t="s">
        <v>15065</v>
      </c>
    </row>
    <row r="9795">
      <c r="A9795" s="3">
        <v>1259.0</v>
      </c>
      <c r="B9795" s="3" t="s">
        <v>19423</v>
      </c>
      <c r="C9795" s="3" t="s">
        <v>11281</v>
      </c>
      <c r="D9795" s="3" t="s">
        <v>15067</v>
      </c>
      <c r="E9795" s="3" t="s">
        <v>15068</v>
      </c>
      <c r="F9795" s="3" t="s">
        <v>15067</v>
      </c>
    </row>
    <row r="9796">
      <c r="A9796" s="3">
        <v>1260.0</v>
      </c>
      <c r="B9796" s="3" t="s">
        <v>19423</v>
      </c>
      <c r="C9796" s="3" t="s">
        <v>11281</v>
      </c>
      <c r="D9796" s="3" t="s">
        <v>15069</v>
      </c>
      <c r="E9796" s="3" t="s">
        <v>15070</v>
      </c>
      <c r="F9796" s="3" t="s">
        <v>15069</v>
      </c>
      <c r="G9796" s="3"/>
      <c r="H9796" s="3" t="s">
        <v>15071</v>
      </c>
      <c r="I9796" s="3" t="s">
        <v>15072</v>
      </c>
    </row>
    <row r="9797">
      <c r="A9797" s="3">
        <v>1261.0</v>
      </c>
      <c r="B9797" s="3" t="s">
        <v>19423</v>
      </c>
      <c r="C9797" s="3" t="s">
        <v>11281</v>
      </c>
      <c r="D9797" s="3" t="s">
        <v>10649</v>
      </c>
      <c r="E9797" s="3" t="s">
        <v>10648</v>
      </c>
      <c r="F9797" s="3" t="s">
        <v>10649</v>
      </c>
    </row>
    <row r="9798">
      <c r="A9798" s="3">
        <v>1262.0</v>
      </c>
      <c r="B9798" s="3" t="s">
        <v>19423</v>
      </c>
      <c r="C9798" s="3" t="s">
        <v>11281</v>
      </c>
      <c r="D9798" s="3" t="s">
        <v>14719</v>
      </c>
      <c r="E9798" s="3" t="s">
        <v>14718</v>
      </c>
      <c r="F9798" s="3" t="s">
        <v>14719</v>
      </c>
    </row>
    <row r="9799">
      <c r="A9799" s="3">
        <v>1263.0</v>
      </c>
      <c r="B9799" s="3" t="s">
        <v>19423</v>
      </c>
      <c r="C9799" s="3" t="s">
        <v>11281</v>
      </c>
      <c r="D9799" s="3" t="s">
        <v>15073</v>
      </c>
      <c r="E9799" s="3" t="s">
        <v>19988</v>
      </c>
      <c r="F9799" s="3" t="s">
        <v>19989</v>
      </c>
    </row>
    <row r="9800">
      <c r="A9800" s="3">
        <v>1264.0</v>
      </c>
      <c r="B9800" s="3" t="s">
        <v>19423</v>
      </c>
      <c r="C9800" s="3" t="s">
        <v>11281</v>
      </c>
      <c r="D9800" s="3" t="s">
        <v>15076</v>
      </c>
      <c r="E9800" s="3" t="s">
        <v>19990</v>
      </c>
      <c r="F9800" s="3" t="s">
        <v>19991</v>
      </c>
    </row>
    <row r="9801">
      <c r="A9801" s="3">
        <v>1265.0</v>
      </c>
      <c r="B9801" s="3" t="s">
        <v>19423</v>
      </c>
      <c r="C9801" s="3" t="s">
        <v>11281</v>
      </c>
      <c r="D9801" s="3" t="s">
        <v>15079</v>
      </c>
      <c r="E9801" s="3" t="s">
        <v>19992</v>
      </c>
      <c r="F9801" s="3" t="s">
        <v>19993</v>
      </c>
    </row>
    <row r="9802">
      <c r="A9802" s="3">
        <v>1266.0</v>
      </c>
      <c r="B9802" s="3" t="s">
        <v>19423</v>
      </c>
      <c r="C9802" s="3" t="s">
        <v>11281</v>
      </c>
      <c r="D9802" s="3" t="s">
        <v>15082</v>
      </c>
      <c r="E9802" s="3" t="s">
        <v>19994</v>
      </c>
      <c r="F9802" s="3" t="s">
        <v>19995</v>
      </c>
    </row>
    <row r="9803">
      <c r="A9803" s="3">
        <v>1267.0</v>
      </c>
      <c r="B9803" s="3" t="s">
        <v>19423</v>
      </c>
      <c r="C9803" s="3" t="s">
        <v>11281</v>
      </c>
      <c r="D9803" s="3" t="s">
        <v>15085</v>
      </c>
      <c r="E9803" s="3" t="s">
        <v>19996</v>
      </c>
      <c r="F9803" s="3" t="s">
        <v>19997</v>
      </c>
    </row>
    <row r="9804">
      <c r="A9804" s="3">
        <v>1268.0</v>
      </c>
      <c r="B9804" s="3" t="s">
        <v>19423</v>
      </c>
      <c r="C9804" s="3" t="s">
        <v>11281</v>
      </c>
      <c r="D9804" s="3" t="s">
        <v>15088</v>
      </c>
      <c r="E9804" s="3" t="s">
        <v>19998</v>
      </c>
      <c r="F9804" s="3" t="s">
        <v>19999</v>
      </c>
    </row>
    <row r="9805">
      <c r="A9805" s="3">
        <v>1269.0</v>
      </c>
      <c r="B9805" s="3" t="s">
        <v>19423</v>
      </c>
      <c r="C9805" s="3" t="s">
        <v>11281</v>
      </c>
      <c r="D9805" s="3" t="s">
        <v>15091</v>
      </c>
      <c r="E9805" s="3" t="s">
        <v>20000</v>
      </c>
      <c r="F9805" s="3" t="s">
        <v>20001</v>
      </c>
    </row>
    <row r="9806">
      <c r="A9806" s="3">
        <v>1270.0</v>
      </c>
      <c r="B9806" s="3" t="s">
        <v>19423</v>
      </c>
      <c r="C9806" s="3" t="s">
        <v>11281</v>
      </c>
      <c r="D9806" s="3" t="s">
        <v>15094</v>
      </c>
      <c r="E9806" s="3" t="s">
        <v>15095</v>
      </c>
      <c r="F9806" s="3" t="s">
        <v>969</v>
      </c>
    </row>
    <row r="9807">
      <c r="A9807" s="3">
        <v>1271.0</v>
      </c>
      <c r="B9807" s="3" t="s">
        <v>19423</v>
      </c>
      <c r="C9807" s="3" t="s">
        <v>11281</v>
      </c>
      <c r="D9807" s="3" t="s">
        <v>15096</v>
      </c>
      <c r="E9807" s="3" t="s">
        <v>15097</v>
      </c>
      <c r="F9807" s="3" t="s">
        <v>13314</v>
      </c>
    </row>
    <row r="9808">
      <c r="A9808" s="3">
        <v>1272.0</v>
      </c>
      <c r="B9808" s="3" t="s">
        <v>19423</v>
      </c>
      <c r="C9808" s="3" t="s">
        <v>11281</v>
      </c>
      <c r="D9808" s="3" t="s">
        <v>15098</v>
      </c>
      <c r="E9808" s="3" t="s">
        <v>15099</v>
      </c>
      <c r="F9808" s="3" t="s">
        <v>1079</v>
      </c>
    </row>
    <row r="9809">
      <c r="A9809" s="3">
        <v>1273.0</v>
      </c>
      <c r="B9809" s="3" t="s">
        <v>19423</v>
      </c>
      <c r="C9809" s="3" t="s">
        <v>11281</v>
      </c>
      <c r="D9809" s="3" t="s">
        <v>15100</v>
      </c>
      <c r="E9809" s="3" t="s">
        <v>15101</v>
      </c>
      <c r="F9809" s="3" t="s">
        <v>13405</v>
      </c>
    </row>
    <row r="9810">
      <c r="A9810" s="3">
        <v>1274.0</v>
      </c>
      <c r="B9810" s="3" t="s">
        <v>19423</v>
      </c>
      <c r="C9810" s="3" t="s">
        <v>11281</v>
      </c>
      <c r="D9810" s="3" t="s">
        <v>15102</v>
      </c>
      <c r="E9810" s="3" t="s">
        <v>15103</v>
      </c>
      <c r="F9810" s="3" t="s">
        <v>15104</v>
      </c>
    </row>
    <row r="9811">
      <c r="A9811" s="3">
        <v>1275.0</v>
      </c>
      <c r="B9811" s="3" t="s">
        <v>19423</v>
      </c>
      <c r="C9811" s="3" t="s">
        <v>11281</v>
      </c>
      <c r="D9811" s="3" t="s">
        <v>15105</v>
      </c>
      <c r="E9811" s="3" t="s">
        <v>15106</v>
      </c>
      <c r="F9811" s="3" t="s">
        <v>15107</v>
      </c>
    </row>
    <row r="9812">
      <c r="A9812" s="3">
        <v>1276.0</v>
      </c>
      <c r="B9812" s="3" t="s">
        <v>19423</v>
      </c>
      <c r="C9812" s="3" t="s">
        <v>11281</v>
      </c>
      <c r="D9812" s="3" t="s">
        <v>15108</v>
      </c>
      <c r="E9812" s="3" t="s">
        <v>15109</v>
      </c>
      <c r="F9812" s="3" t="s">
        <v>13414</v>
      </c>
      <c r="G9812" s="3"/>
      <c r="H9812" s="3" t="s">
        <v>15110</v>
      </c>
      <c r="I9812" s="3" t="s">
        <v>15111</v>
      </c>
      <c r="J9812" s="3" t="s">
        <v>15112</v>
      </c>
      <c r="K9812" s="3" t="s">
        <v>15113</v>
      </c>
      <c r="L9812" s="3" t="s">
        <v>15114</v>
      </c>
      <c r="M9812" s="3" t="s">
        <v>15115</v>
      </c>
    </row>
    <row r="9813">
      <c r="A9813" s="3">
        <v>1277.0</v>
      </c>
      <c r="B9813" s="3" t="s">
        <v>19423</v>
      </c>
      <c r="C9813" s="3" t="s">
        <v>11281</v>
      </c>
      <c r="D9813" s="3" t="s">
        <v>15116</v>
      </c>
      <c r="E9813" s="3" t="s">
        <v>15117</v>
      </c>
      <c r="F9813" s="3" t="s">
        <v>13423</v>
      </c>
    </row>
    <row r="9814">
      <c r="A9814" s="3">
        <v>1278.0</v>
      </c>
      <c r="B9814" s="3" t="s">
        <v>19423</v>
      </c>
      <c r="C9814" s="3" t="s">
        <v>11281</v>
      </c>
      <c r="D9814" s="3" t="s">
        <v>15118</v>
      </c>
      <c r="E9814" s="3" t="s">
        <v>15119</v>
      </c>
      <c r="F9814" s="3" t="s">
        <v>13426</v>
      </c>
    </row>
    <row r="9815">
      <c r="A9815" s="3">
        <v>1279.0</v>
      </c>
      <c r="B9815" s="3" t="s">
        <v>19423</v>
      </c>
      <c r="C9815" s="3" t="s">
        <v>11281</v>
      </c>
      <c r="D9815" s="3" t="s">
        <v>15120</v>
      </c>
      <c r="E9815" s="3" t="s">
        <v>15121</v>
      </c>
      <c r="F9815" s="3" t="s">
        <v>13429</v>
      </c>
    </row>
    <row r="9816">
      <c r="A9816" s="3">
        <v>1280.0</v>
      </c>
      <c r="B9816" s="3" t="s">
        <v>19423</v>
      </c>
      <c r="C9816" s="3" t="s">
        <v>11281</v>
      </c>
      <c r="D9816" s="3" t="s">
        <v>15122</v>
      </c>
      <c r="E9816" s="3" t="s">
        <v>15123</v>
      </c>
      <c r="F9816" s="3" t="s">
        <v>1094</v>
      </c>
    </row>
    <row r="9817">
      <c r="A9817" s="3">
        <v>1281.0</v>
      </c>
      <c r="B9817" s="3" t="s">
        <v>19423</v>
      </c>
      <c r="C9817" s="3" t="s">
        <v>11281</v>
      </c>
      <c r="D9817" s="3" t="s">
        <v>15124</v>
      </c>
      <c r="E9817" s="3" t="s">
        <v>15125</v>
      </c>
      <c r="F9817" s="3" t="s">
        <v>1140</v>
      </c>
    </row>
    <row r="9818">
      <c r="A9818" s="3">
        <v>1282.0</v>
      </c>
      <c r="B9818" s="3" t="s">
        <v>19423</v>
      </c>
      <c r="C9818" s="3" t="s">
        <v>11281</v>
      </c>
      <c r="D9818" s="3" t="s">
        <v>15126</v>
      </c>
      <c r="E9818" s="3" t="s">
        <v>15127</v>
      </c>
      <c r="F9818" s="3" t="s">
        <v>8085</v>
      </c>
    </row>
    <row r="9819">
      <c r="A9819" s="3">
        <v>1283.0</v>
      </c>
      <c r="B9819" s="3" t="s">
        <v>19423</v>
      </c>
      <c r="C9819" s="3" t="s">
        <v>11281</v>
      </c>
      <c r="D9819" s="3" t="s">
        <v>15128</v>
      </c>
      <c r="E9819" s="3" t="s">
        <v>15129</v>
      </c>
      <c r="F9819" s="3" t="s">
        <v>15130</v>
      </c>
    </row>
    <row r="9820">
      <c r="A9820" s="3">
        <v>1284.0</v>
      </c>
      <c r="B9820" s="3" t="s">
        <v>19423</v>
      </c>
      <c r="C9820" s="3" t="s">
        <v>11281</v>
      </c>
      <c r="D9820" s="3" t="s">
        <v>15131</v>
      </c>
      <c r="E9820" s="3" t="s">
        <v>15132</v>
      </c>
      <c r="F9820" s="3" t="s">
        <v>15133</v>
      </c>
    </row>
    <row r="9821">
      <c r="A9821" s="3">
        <v>1285.0</v>
      </c>
      <c r="B9821" s="3" t="s">
        <v>19423</v>
      </c>
      <c r="C9821" s="3" t="s">
        <v>11281</v>
      </c>
      <c r="D9821" s="3" t="s">
        <v>15134</v>
      </c>
      <c r="E9821" s="3" t="s">
        <v>15135</v>
      </c>
      <c r="F9821" s="3" t="s">
        <v>15136</v>
      </c>
    </row>
    <row r="9822">
      <c r="A9822" s="3">
        <v>1286.0</v>
      </c>
      <c r="B9822" s="3" t="s">
        <v>19423</v>
      </c>
      <c r="C9822" s="3" t="s">
        <v>11281</v>
      </c>
      <c r="D9822" s="3" t="s">
        <v>15137</v>
      </c>
      <c r="E9822" s="3" t="s">
        <v>15138</v>
      </c>
      <c r="F9822" s="3" t="s">
        <v>15139</v>
      </c>
    </row>
    <row r="9823">
      <c r="A9823" s="3">
        <v>1287.0</v>
      </c>
      <c r="B9823" s="3" t="s">
        <v>19423</v>
      </c>
      <c r="C9823" s="3" t="s">
        <v>11281</v>
      </c>
      <c r="D9823" s="3" t="s">
        <v>15140</v>
      </c>
      <c r="E9823" s="3" t="s">
        <v>15141</v>
      </c>
      <c r="F9823" s="3" t="s">
        <v>1149</v>
      </c>
    </row>
    <row r="9824">
      <c r="A9824" s="3">
        <v>1288.0</v>
      </c>
      <c r="B9824" s="3" t="s">
        <v>19423</v>
      </c>
      <c r="C9824" s="3" t="s">
        <v>11281</v>
      </c>
      <c r="D9824" s="3" t="s">
        <v>15142</v>
      </c>
      <c r="E9824" s="3" t="s">
        <v>15143</v>
      </c>
      <c r="F9824" s="3" t="s">
        <v>15144</v>
      </c>
    </row>
    <row r="9825">
      <c r="A9825" s="3">
        <v>1289.0</v>
      </c>
      <c r="B9825" s="3" t="s">
        <v>19423</v>
      </c>
      <c r="C9825" s="3" t="s">
        <v>11281</v>
      </c>
      <c r="D9825" s="3" t="s">
        <v>15145</v>
      </c>
      <c r="E9825" s="3" t="s">
        <v>15146</v>
      </c>
      <c r="F9825" s="3" t="s">
        <v>15147</v>
      </c>
    </row>
    <row r="9826">
      <c r="A9826" s="3">
        <v>1290.0</v>
      </c>
      <c r="B9826" s="3" t="s">
        <v>19423</v>
      </c>
      <c r="C9826" s="3" t="s">
        <v>11281</v>
      </c>
      <c r="D9826" s="3" t="s">
        <v>15148</v>
      </c>
      <c r="E9826" s="3" t="s">
        <v>15149</v>
      </c>
      <c r="F9826" s="3" t="s">
        <v>15150</v>
      </c>
    </row>
    <row r="9827">
      <c r="A9827" s="3">
        <v>1291.0</v>
      </c>
      <c r="B9827" s="3" t="s">
        <v>19423</v>
      </c>
      <c r="C9827" s="3" t="s">
        <v>11281</v>
      </c>
      <c r="D9827" s="3" t="s">
        <v>15151</v>
      </c>
      <c r="E9827" s="3" t="s">
        <v>15152</v>
      </c>
      <c r="F9827" s="3" t="s">
        <v>15153</v>
      </c>
    </row>
    <row r="9828">
      <c r="A9828" s="3">
        <v>1292.0</v>
      </c>
      <c r="B9828" s="3" t="s">
        <v>19423</v>
      </c>
      <c r="C9828" s="3" t="s">
        <v>11281</v>
      </c>
      <c r="D9828" s="3" t="s">
        <v>15154</v>
      </c>
      <c r="E9828" s="3" t="s">
        <v>15155</v>
      </c>
      <c r="F9828" s="3" t="s">
        <v>15156</v>
      </c>
    </row>
    <row r="9829">
      <c r="A9829" s="3">
        <v>1293.0</v>
      </c>
      <c r="B9829" s="3" t="s">
        <v>19423</v>
      </c>
      <c r="C9829" s="3" t="s">
        <v>11281</v>
      </c>
      <c r="D9829" s="3" t="s">
        <v>15157</v>
      </c>
      <c r="E9829" s="3" t="s">
        <v>15158</v>
      </c>
      <c r="F9829" s="3" t="s">
        <v>15159</v>
      </c>
    </row>
    <row r="9830">
      <c r="A9830" s="3">
        <v>1294.0</v>
      </c>
      <c r="B9830" s="3" t="s">
        <v>19423</v>
      </c>
      <c r="C9830" s="3" t="s">
        <v>11281</v>
      </c>
      <c r="D9830" s="3" t="s">
        <v>15160</v>
      </c>
      <c r="E9830" s="3" t="s">
        <v>15161</v>
      </c>
      <c r="F9830" s="3" t="s">
        <v>15162</v>
      </c>
    </row>
    <row r="9831">
      <c r="A9831" s="3">
        <v>1295.0</v>
      </c>
      <c r="B9831" s="3" t="s">
        <v>19423</v>
      </c>
      <c r="C9831" s="3" t="s">
        <v>11281</v>
      </c>
      <c r="D9831" s="3" t="s">
        <v>15163</v>
      </c>
      <c r="E9831" s="3" t="s">
        <v>15164</v>
      </c>
      <c r="F9831" s="3" t="s">
        <v>15165</v>
      </c>
    </row>
    <row r="9832">
      <c r="A9832" s="3">
        <v>1296.0</v>
      </c>
      <c r="B9832" s="3" t="s">
        <v>19423</v>
      </c>
      <c r="C9832" s="3" t="s">
        <v>11281</v>
      </c>
      <c r="D9832" s="3" t="s">
        <v>15166</v>
      </c>
      <c r="E9832" s="3" t="s">
        <v>15167</v>
      </c>
      <c r="F9832" s="3" t="s">
        <v>15168</v>
      </c>
    </row>
    <row r="9833">
      <c r="A9833" s="3">
        <v>1297.0</v>
      </c>
      <c r="B9833" s="3" t="s">
        <v>19423</v>
      </c>
      <c r="C9833" s="3" t="s">
        <v>11281</v>
      </c>
      <c r="D9833" s="3" t="s">
        <v>15169</v>
      </c>
      <c r="E9833" s="3" t="s">
        <v>15170</v>
      </c>
      <c r="F9833" s="3" t="s">
        <v>15171</v>
      </c>
    </row>
    <row r="9834">
      <c r="A9834" s="3">
        <v>1298.0</v>
      </c>
      <c r="B9834" s="3" t="s">
        <v>19423</v>
      </c>
      <c r="C9834" s="3" t="s">
        <v>11281</v>
      </c>
      <c r="D9834" s="3" t="s">
        <v>15172</v>
      </c>
      <c r="E9834" s="3" t="s">
        <v>15173</v>
      </c>
      <c r="F9834" s="3" t="s">
        <v>15174</v>
      </c>
    </row>
    <row r="9835">
      <c r="A9835" s="3">
        <v>1299.0</v>
      </c>
      <c r="B9835" s="3" t="s">
        <v>19423</v>
      </c>
      <c r="C9835" s="3" t="s">
        <v>11281</v>
      </c>
      <c r="D9835" s="3" t="s">
        <v>15175</v>
      </c>
      <c r="E9835" s="3" t="s">
        <v>15176</v>
      </c>
      <c r="F9835" s="3" t="s">
        <v>8223</v>
      </c>
    </row>
    <row r="9836">
      <c r="A9836" s="3">
        <v>1300.0</v>
      </c>
      <c r="B9836" s="3" t="s">
        <v>19423</v>
      </c>
      <c r="C9836" s="3" t="s">
        <v>11281</v>
      </c>
      <c r="D9836" s="3" t="s">
        <v>15177</v>
      </c>
      <c r="E9836" s="3" t="s">
        <v>15178</v>
      </c>
      <c r="F9836" s="3" t="s">
        <v>13856</v>
      </c>
    </row>
    <row r="9837">
      <c r="A9837" s="3">
        <v>1301.0</v>
      </c>
      <c r="B9837" s="3" t="s">
        <v>19423</v>
      </c>
      <c r="C9837" s="3" t="s">
        <v>11281</v>
      </c>
      <c r="D9837" s="3" t="s">
        <v>15179</v>
      </c>
      <c r="E9837" s="3" t="s">
        <v>15180</v>
      </c>
      <c r="F9837" s="3" t="s">
        <v>13859</v>
      </c>
    </row>
    <row r="9838">
      <c r="A9838" s="3">
        <v>1302.0</v>
      </c>
      <c r="B9838" s="3" t="s">
        <v>19423</v>
      </c>
      <c r="C9838" s="3" t="s">
        <v>11281</v>
      </c>
      <c r="D9838" s="3" t="s">
        <v>15181</v>
      </c>
      <c r="E9838" s="3" t="s">
        <v>15182</v>
      </c>
      <c r="F9838" s="3" t="s">
        <v>15183</v>
      </c>
    </row>
    <row r="9839">
      <c r="A9839" s="3">
        <v>1303.0</v>
      </c>
      <c r="B9839" s="3" t="s">
        <v>19423</v>
      </c>
      <c r="C9839" s="3" t="s">
        <v>11281</v>
      </c>
      <c r="D9839" s="3" t="s">
        <v>15184</v>
      </c>
      <c r="E9839" s="3" t="s">
        <v>15185</v>
      </c>
      <c r="F9839" s="3" t="s">
        <v>15186</v>
      </c>
      <c r="G9839" s="3"/>
      <c r="H9839" s="3" t="s">
        <v>15187</v>
      </c>
      <c r="I9839" s="3" t="s">
        <v>15188</v>
      </c>
      <c r="J9839" s="3" t="s">
        <v>15189</v>
      </c>
      <c r="K9839" s="3" t="s">
        <v>15190</v>
      </c>
    </row>
    <row r="9840">
      <c r="A9840" s="3">
        <v>1304.0</v>
      </c>
      <c r="B9840" s="3" t="s">
        <v>19423</v>
      </c>
      <c r="C9840" s="3" t="s">
        <v>11281</v>
      </c>
      <c r="D9840" s="3" t="s">
        <v>15191</v>
      </c>
      <c r="E9840" s="3" t="s">
        <v>15192</v>
      </c>
      <c r="F9840" s="3" t="s">
        <v>15193</v>
      </c>
    </row>
    <row r="9841">
      <c r="A9841" s="3">
        <v>1305.0</v>
      </c>
      <c r="B9841" s="3" t="s">
        <v>19423</v>
      </c>
      <c r="C9841" s="3" t="s">
        <v>11281</v>
      </c>
      <c r="D9841" s="3" t="s">
        <v>15194</v>
      </c>
      <c r="E9841" s="3" t="s">
        <v>15195</v>
      </c>
      <c r="F9841" s="3" t="s">
        <v>13887</v>
      </c>
    </row>
    <row r="9842">
      <c r="A9842" s="3">
        <v>1306.0</v>
      </c>
      <c r="B9842" s="3" t="s">
        <v>19423</v>
      </c>
      <c r="C9842" s="3" t="s">
        <v>11281</v>
      </c>
      <c r="D9842" s="3" t="s">
        <v>15196</v>
      </c>
      <c r="E9842" s="3" t="s">
        <v>15197</v>
      </c>
      <c r="F9842" s="3" t="s">
        <v>15198</v>
      </c>
    </row>
    <row r="9843">
      <c r="A9843" s="3">
        <v>1307.0</v>
      </c>
      <c r="B9843" s="3" t="s">
        <v>19423</v>
      </c>
      <c r="C9843" s="3" t="s">
        <v>11281</v>
      </c>
      <c r="D9843" s="3" t="s">
        <v>15199</v>
      </c>
      <c r="E9843" s="3" t="s">
        <v>15200</v>
      </c>
      <c r="F9843" s="3" t="s">
        <v>15201</v>
      </c>
    </row>
    <row r="9844">
      <c r="A9844" s="3">
        <v>1308.0</v>
      </c>
      <c r="B9844" s="3" t="s">
        <v>19423</v>
      </c>
      <c r="C9844" s="3" t="s">
        <v>11281</v>
      </c>
      <c r="D9844" s="3" t="s">
        <v>15202</v>
      </c>
      <c r="E9844" s="3" t="s">
        <v>15203</v>
      </c>
      <c r="F9844" s="3" t="s">
        <v>15204</v>
      </c>
    </row>
    <row r="9845">
      <c r="A9845" s="3">
        <v>1309.0</v>
      </c>
      <c r="B9845" s="3" t="s">
        <v>19423</v>
      </c>
      <c r="C9845" s="3" t="s">
        <v>11281</v>
      </c>
      <c r="D9845" s="3" t="s">
        <v>15205</v>
      </c>
      <c r="E9845" s="3" t="s">
        <v>15206</v>
      </c>
      <c r="F9845" s="3" t="s">
        <v>15207</v>
      </c>
    </row>
    <row r="9846">
      <c r="A9846" s="3">
        <v>1310.0</v>
      </c>
      <c r="B9846" s="3" t="s">
        <v>19423</v>
      </c>
      <c r="C9846" s="3" t="s">
        <v>11281</v>
      </c>
      <c r="D9846" s="3" t="s">
        <v>15208</v>
      </c>
      <c r="E9846" s="3" t="s">
        <v>15209</v>
      </c>
      <c r="F9846" s="3" t="s">
        <v>15210</v>
      </c>
    </row>
    <row r="9847">
      <c r="A9847" s="3">
        <v>1311.0</v>
      </c>
      <c r="B9847" s="3" t="s">
        <v>19423</v>
      </c>
      <c r="C9847" s="3" t="s">
        <v>11281</v>
      </c>
      <c r="D9847" s="3" t="s">
        <v>15211</v>
      </c>
      <c r="E9847" s="3" t="s">
        <v>15212</v>
      </c>
      <c r="F9847" s="3" t="s">
        <v>15213</v>
      </c>
    </row>
    <row r="9848">
      <c r="A9848" s="3">
        <v>1312.0</v>
      </c>
      <c r="B9848" s="3" t="s">
        <v>19423</v>
      </c>
      <c r="C9848" s="3" t="s">
        <v>11281</v>
      </c>
      <c r="D9848" s="3" t="s">
        <v>15214</v>
      </c>
      <c r="E9848" s="3" t="s">
        <v>15215</v>
      </c>
      <c r="F9848" s="3" t="s">
        <v>15216</v>
      </c>
    </row>
    <row r="9849">
      <c r="A9849" s="3">
        <v>1313.0</v>
      </c>
      <c r="B9849" s="3" t="s">
        <v>19423</v>
      </c>
      <c r="C9849" s="3" t="s">
        <v>11281</v>
      </c>
      <c r="D9849" s="3" t="s">
        <v>15217</v>
      </c>
      <c r="E9849" s="3" t="s">
        <v>15218</v>
      </c>
      <c r="F9849" s="3" t="s">
        <v>1346</v>
      </c>
    </row>
    <row r="9850">
      <c r="A9850" s="3">
        <v>1314.0</v>
      </c>
      <c r="B9850" s="3" t="s">
        <v>19423</v>
      </c>
      <c r="C9850" s="3" t="s">
        <v>11281</v>
      </c>
      <c r="D9850" s="3" t="s">
        <v>15219</v>
      </c>
      <c r="E9850" s="3" t="s">
        <v>15220</v>
      </c>
      <c r="F9850" s="3" t="s">
        <v>13987</v>
      </c>
    </row>
    <row r="9851">
      <c r="A9851" s="3">
        <v>1315.0</v>
      </c>
      <c r="B9851" s="3" t="s">
        <v>19423</v>
      </c>
      <c r="C9851" s="3" t="s">
        <v>11281</v>
      </c>
      <c r="D9851" s="3" t="s">
        <v>15221</v>
      </c>
      <c r="E9851" s="3" t="s">
        <v>15222</v>
      </c>
      <c r="F9851" s="3" t="s">
        <v>13996</v>
      </c>
    </row>
    <row r="9852">
      <c r="A9852" s="3">
        <v>1316.0</v>
      </c>
      <c r="B9852" s="3" t="s">
        <v>19423</v>
      </c>
      <c r="C9852" s="3" t="s">
        <v>11281</v>
      </c>
      <c r="D9852" s="3" t="s">
        <v>15223</v>
      </c>
      <c r="E9852" s="3" t="s">
        <v>15224</v>
      </c>
      <c r="F9852" s="3" t="s">
        <v>14010</v>
      </c>
    </row>
    <row r="9853">
      <c r="A9853" s="3">
        <v>1317.0</v>
      </c>
      <c r="B9853" s="3" t="s">
        <v>19423</v>
      </c>
      <c r="C9853" s="3" t="s">
        <v>11281</v>
      </c>
      <c r="D9853" s="3" t="s">
        <v>15225</v>
      </c>
      <c r="E9853" s="3" t="s">
        <v>15226</v>
      </c>
      <c r="F9853" s="3" t="s">
        <v>14013</v>
      </c>
    </row>
    <row r="9854">
      <c r="A9854" s="3">
        <v>1318.0</v>
      </c>
      <c r="B9854" s="3" t="s">
        <v>19423</v>
      </c>
      <c r="C9854" s="3" t="s">
        <v>11281</v>
      </c>
      <c r="D9854" s="3" t="s">
        <v>15227</v>
      </c>
      <c r="E9854" s="3" t="s">
        <v>15228</v>
      </c>
      <c r="F9854" s="3" t="s">
        <v>14016</v>
      </c>
    </row>
    <row r="9855">
      <c r="A9855" s="3">
        <v>1319.0</v>
      </c>
      <c r="B9855" s="3" t="s">
        <v>19423</v>
      </c>
      <c r="C9855" s="3" t="s">
        <v>11281</v>
      </c>
      <c r="D9855" s="3" t="s">
        <v>15229</v>
      </c>
      <c r="E9855" s="3" t="s">
        <v>15230</v>
      </c>
      <c r="F9855" s="3" t="s">
        <v>1355</v>
      </c>
    </row>
    <row r="9856">
      <c r="A9856" s="3">
        <v>1320.0</v>
      </c>
      <c r="B9856" s="3" t="s">
        <v>19423</v>
      </c>
      <c r="C9856" s="3" t="s">
        <v>11281</v>
      </c>
      <c r="D9856" s="3" t="s">
        <v>15231</v>
      </c>
      <c r="E9856" s="3" t="s">
        <v>15232</v>
      </c>
      <c r="F9856" s="3" t="s">
        <v>5395</v>
      </c>
    </row>
    <row r="9857">
      <c r="A9857" s="3">
        <v>1321.0</v>
      </c>
      <c r="B9857" s="3" t="s">
        <v>19423</v>
      </c>
      <c r="C9857" s="3" t="s">
        <v>11281</v>
      </c>
      <c r="D9857" s="3" t="s">
        <v>15233</v>
      </c>
      <c r="E9857" s="3" t="s">
        <v>15234</v>
      </c>
      <c r="F9857" s="3" t="s">
        <v>5404</v>
      </c>
    </row>
    <row r="9858">
      <c r="A9858" s="3">
        <v>1322.0</v>
      </c>
      <c r="B9858" s="3" t="s">
        <v>19423</v>
      </c>
      <c r="C9858" s="3" t="s">
        <v>11281</v>
      </c>
      <c r="D9858" s="3" t="s">
        <v>15235</v>
      </c>
      <c r="E9858" s="3" t="s">
        <v>20002</v>
      </c>
      <c r="F9858" s="3" t="s">
        <v>20003</v>
      </c>
    </row>
    <row r="9859">
      <c r="A9859" s="3">
        <v>1323.0</v>
      </c>
      <c r="B9859" s="3" t="s">
        <v>19423</v>
      </c>
      <c r="C9859" s="3" t="s">
        <v>11281</v>
      </c>
      <c r="D9859" s="3" t="s">
        <v>15238</v>
      </c>
      <c r="E9859" s="3" t="s">
        <v>20004</v>
      </c>
      <c r="F9859" s="3" t="s">
        <v>20005</v>
      </c>
    </row>
    <row r="9860">
      <c r="A9860" s="3">
        <v>1324.0</v>
      </c>
      <c r="B9860" s="3" t="s">
        <v>19423</v>
      </c>
      <c r="C9860" s="3" t="s">
        <v>11281</v>
      </c>
      <c r="D9860" s="3" t="s">
        <v>15241</v>
      </c>
      <c r="E9860" s="3" t="s">
        <v>15242</v>
      </c>
      <c r="F9860" s="3" t="s">
        <v>5409</v>
      </c>
    </row>
    <row r="9861">
      <c r="A9861" s="3">
        <v>1325.0</v>
      </c>
      <c r="B9861" s="3" t="s">
        <v>19423</v>
      </c>
      <c r="C9861" s="3" t="s">
        <v>11281</v>
      </c>
      <c r="D9861" s="3" t="s">
        <v>15243</v>
      </c>
      <c r="E9861" s="3" t="s">
        <v>14415</v>
      </c>
      <c r="F9861" s="3" t="s">
        <v>8875</v>
      </c>
    </row>
    <row r="9862">
      <c r="A9862" s="3">
        <v>1326.0</v>
      </c>
      <c r="B9862" s="3" t="s">
        <v>19423</v>
      </c>
      <c r="C9862" s="3" t="s">
        <v>11281</v>
      </c>
      <c r="D9862" s="3" t="s">
        <v>15244</v>
      </c>
      <c r="E9862" s="3" t="s">
        <v>14419</v>
      </c>
      <c r="F9862" s="3" t="s">
        <v>14420</v>
      </c>
    </row>
    <row r="9863">
      <c r="A9863" s="3">
        <v>1327.0</v>
      </c>
      <c r="B9863" s="3" t="s">
        <v>19423</v>
      </c>
      <c r="C9863" s="3" t="s">
        <v>11281</v>
      </c>
      <c r="D9863" s="3" t="s">
        <v>15245</v>
      </c>
      <c r="E9863" s="3" t="s">
        <v>15246</v>
      </c>
      <c r="F9863" s="3" t="s">
        <v>15247</v>
      </c>
    </row>
    <row r="9864">
      <c r="A9864" s="3">
        <v>1328.0</v>
      </c>
      <c r="B9864" s="3" t="s">
        <v>19423</v>
      </c>
      <c r="C9864" s="3" t="s">
        <v>11281</v>
      </c>
      <c r="D9864" s="3" t="s">
        <v>15248</v>
      </c>
      <c r="E9864" s="3" t="s">
        <v>15249</v>
      </c>
      <c r="F9864" s="3" t="s">
        <v>14420</v>
      </c>
    </row>
    <row r="9865">
      <c r="A9865" s="3">
        <v>1329.0</v>
      </c>
      <c r="B9865" s="3" t="s">
        <v>19423</v>
      </c>
      <c r="C9865" s="3" t="s">
        <v>11281</v>
      </c>
      <c r="D9865" s="3" t="s">
        <v>15250</v>
      </c>
      <c r="E9865" s="3" t="s">
        <v>15251</v>
      </c>
      <c r="F9865" s="3" t="s">
        <v>15252</v>
      </c>
    </row>
    <row r="9866">
      <c r="A9866" s="3">
        <v>1330.0</v>
      </c>
      <c r="B9866" s="3" t="s">
        <v>19423</v>
      </c>
      <c r="C9866" s="3" t="s">
        <v>11281</v>
      </c>
      <c r="D9866" s="3" t="s">
        <v>15253</v>
      </c>
      <c r="E9866" s="3" t="s">
        <v>15254</v>
      </c>
      <c r="F9866" s="3" t="s">
        <v>15255</v>
      </c>
    </row>
    <row r="9867">
      <c r="A9867" s="3">
        <v>1331.0</v>
      </c>
      <c r="B9867" s="3" t="s">
        <v>19423</v>
      </c>
      <c r="C9867" s="3" t="s">
        <v>11281</v>
      </c>
      <c r="D9867" s="3" t="s">
        <v>15256</v>
      </c>
      <c r="E9867" s="3" t="s">
        <v>14433</v>
      </c>
      <c r="F9867" s="3" t="s">
        <v>11105</v>
      </c>
    </row>
    <row r="9868">
      <c r="A9868" s="3">
        <v>1332.0</v>
      </c>
      <c r="B9868" s="3" t="s">
        <v>19423</v>
      </c>
      <c r="C9868" s="3" t="s">
        <v>11281</v>
      </c>
      <c r="D9868" s="3" t="s">
        <v>15257</v>
      </c>
      <c r="E9868" s="3" t="s">
        <v>14468</v>
      </c>
      <c r="F9868" s="3" t="s">
        <v>14469</v>
      </c>
    </row>
    <row r="9869">
      <c r="A9869" s="3">
        <v>1333.0</v>
      </c>
      <c r="B9869" s="3" t="s">
        <v>19423</v>
      </c>
      <c r="C9869" s="3" t="s">
        <v>11281</v>
      </c>
      <c r="D9869" s="3" t="s">
        <v>15258</v>
      </c>
      <c r="E9869" s="3" t="s">
        <v>15259</v>
      </c>
      <c r="F9869" s="3" t="s">
        <v>15260</v>
      </c>
    </row>
    <row r="9870">
      <c r="A9870" s="3">
        <v>1334.0</v>
      </c>
      <c r="B9870" s="3" t="s">
        <v>19423</v>
      </c>
      <c r="C9870" s="3" t="s">
        <v>11281</v>
      </c>
      <c r="D9870" s="3" t="s">
        <v>15261</v>
      </c>
      <c r="E9870" s="3" t="s">
        <v>15262</v>
      </c>
      <c r="F9870" s="3" t="s">
        <v>5438</v>
      </c>
    </row>
    <row r="9871">
      <c r="A9871" s="3">
        <v>1335.0</v>
      </c>
      <c r="B9871" s="3" t="s">
        <v>19423</v>
      </c>
      <c r="C9871" s="3" t="s">
        <v>11281</v>
      </c>
      <c r="D9871" s="3" t="s">
        <v>15263</v>
      </c>
      <c r="E9871" s="3" t="s">
        <v>15264</v>
      </c>
      <c r="F9871" s="3" t="s">
        <v>15265</v>
      </c>
    </row>
    <row r="9872">
      <c r="A9872" s="3">
        <v>1336.0</v>
      </c>
      <c r="B9872" s="3" t="s">
        <v>19423</v>
      </c>
      <c r="C9872" s="3" t="s">
        <v>11281</v>
      </c>
      <c r="D9872" s="3" t="s">
        <v>15266</v>
      </c>
      <c r="E9872" s="3" t="s">
        <v>15267</v>
      </c>
      <c r="F9872" s="3" t="s">
        <v>15268</v>
      </c>
    </row>
    <row r="9873">
      <c r="A9873" s="3">
        <v>1337.0</v>
      </c>
      <c r="B9873" s="3" t="s">
        <v>19423</v>
      </c>
      <c r="C9873" s="3" t="s">
        <v>11281</v>
      </c>
      <c r="D9873" s="3" t="s">
        <v>15269</v>
      </c>
      <c r="E9873" s="3" t="s">
        <v>15270</v>
      </c>
      <c r="F9873" s="3" t="s">
        <v>8613</v>
      </c>
    </row>
    <row r="9874">
      <c r="A9874" s="3">
        <v>1338.0</v>
      </c>
      <c r="B9874" s="3" t="s">
        <v>19423</v>
      </c>
      <c r="C9874" s="3" t="s">
        <v>11281</v>
      </c>
      <c r="D9874" s="3" t="s">
        <v>15271</v>
      </c>
      <c r="E9874" s="3" t="s">
        <v>15272</v>
      </c>
      <c r="F9874" s="3" t="s">
        <v>15273</v>
      </c>
    </row>
    <row r="9875">
      <c r="A9875" s="3">
        <v>1339.0</v>
      </c>
      <c r="B9875" s="3" t="s">
        <v>19423</v>
      </c>
      <c r="C9875" s="3" t="s">
        <v>11281</v>
      </c>
      <c r="D9875" s="3" t="s">
        <v>15274</v>
      </c>
      <c r="E9875" s="3" t="s">
        <v>15275</v>
      </c>
      <c r="F9875" s="3" t="s">
        <v>15276</v>
      </c>
    </row>
    <row r="9876">
      <c r="A9876" s="3">
        <v>1340.0</v>
      </c>
      <c r="B9876" s="3" t="s">
        <v>19423</v>
      </c>
      <c r="C9876" s="3" t="s">
        <v>11281</v>
      </c>
      <c r="D9876" s="3" t="s">
        <v>15277</v>
      </c>
      <c r="E9876" s="3" t="s">
        <v>15278</v>
      </c>
      <c r="F9876" s="3" t="s">
        <v>5447</v>
      </c>
    </row>
    <row r="9877">
      <c r="A9877" s="3">
        <v>1341.0</v>
      </c>
      <c r="B9877" s="3" t="s">
        <v>19423</v>
      </c>
      <c r="C9877" s="3" t="s">
        <v>11281</v>
      </c>
      <c r="D9877" s="3" t="s">
        <v>15279</v>
      </c>
      <c r="E9877" s="3" t="s">
        <v>15280</v>
      </c>
      <c r="F9877" s="3" t="s">
        <v>14277</v>
      </c>
      <c r="G9877" s="3"/>
      <c r="H9877" s="3" t="s">
        <v>15281</v>
      </c>
      <c r="I9877" s="3" t="s">
        <v>15282</v>
      </c>
      <c r="J9877" s="3" t="s">
        <v>15281</v>
      </c>
      <c r="K9877" s="3" t="s">
        <v>2138</v>
      </c>
      <c r="L9877" s="3" t="s">
        <v>14006</v>
      </c>
      <c r="M9877" s="3" t="s">
        <v>13774</v>
      </c>
      <c r="N9877" s="3" t="s">
        <v>15283</v>
      </c>
      <c r="O9877" s="3" t="s">
        <v>15281</v>
      </c>
      <c r="P9877" s="3" t="s">
        <v>12873</v>
      </c>
      <c r="Q9877" s="3" t="s">
        <v>15281</v>
      </c>
      <c r="R9877" s="3" t="s">
        <v>15282</v>
      </c>
      <c r="S9877" s="3" t="s">
        <v>15284</v>
      </c>
      <c r="T9877" s="3" t="s">
        <v>15285</v>
      </c>
      <c r="U9877" s="3" t="s">
        <v>15281</v>
      </c>
      <c r="V9877" s="3" t="s">
        <v>15281</v>
      </c>
      <c r="W9877" s="3" t="s">
        <v>15281</v>
      </c>
    </row>
    <row r="9878">
      <c r="A9878" s="3">
        <v>1342.0</v>
      </c>
      <c r="B9878" s="3" t="s">
        <v>19423</v>
      </c>
      <c r="C9878" s="3" t="s">
        <v>11281</v>
      </c>
      <c r="D9878" s="3" t="s">
        <v>15286</v>
      </c>
      <c r="E9878" s="3" t="s">
        <v>15287</v>
      </c>
      <c r="F9878" s="3" t="s">
        <v>14280</v>
      </c>
    </row>
    <row r="9879">
      <c r="A9879" s="3">
        <v>1343.0</v>
      </c>
      <c r="B9879" s="3" t="s">
        <v>19423</v>
      </c>
      <c r="C9879" s="3" t="s">
        <v>11281</v>
      </c>
      <c r="D9879" s="3" t="s">
        <v>15288</v>
      </c>
      <c r="E9879" s="3" t="s">
        <v>15289</v>
      </c>
      <c r="F9879" s="3" t="s">
        <v>14283</v>
      </c>
    </row>
    <row r="9880">
      <c r="A9880" s="3">
        <v>1344.0</v>
      </c>
      <c r="B9880" s="3" t="s">
        <v>19423</v>
      </c>
      <c r="C9880" s="3" t="s">
        <v>11281</v>
      </c>
      <c r="D9880" s="3" t="s">
        <v>15290</v>
      </c>
      <c r="E9880" s="3" t="s">
        <v>15291</v>
      </c>
      <c r="F9880" s="3" t="s">
        <v>14286</v>
      </c>
    </row>
    <row r="9881">
      <c r="A9881" s="3">
        <v>1345.0</v>
      </c>
      <c r="B9881" s="3" t="s">
        <v>19423</v>
      </c>
      <c r="C9881" s="3" t="s">
        <v>11281</v>
      </c>
      <c r="D9881" s="3" t="s">
        <v>15292</v>
      </c>
      <c r="E9881" s="3" t="s">
        <v>15293</v>
      </c>
      <c r="F9881" s="3" t="s">
        <v>15294</v>
      </c>
    </row>
    <row r="9882">
      <c r="A9882" s="3">
        <v>1346.0</v>
      </c>
      <c r="B9882" s="3" t="s">
        <v>19423</v>
      </c>
      <c r="C9882" s="3" t="s">
        <v>11281</v>
      </c>
      <c r="D9882" s="3" t="s">
        <v>15295</v>
      </c>
      <c r="E9882" s="3" t="s">
        <v>15296</v>
      </c>
      <c r="F9882" s="3" t="s">
        <v>15297</v>
      </c>
    </row>
    <row r="9883">
      <c r="A9883" s="3">
        <v>1347.0</v>
      </c>
      <c r="B9883" s="3" t="s">
        <v>19423</v>
      </c>
      <c r="C9883" s="3" t="s">
        <v>11281</v>
      </c>
      <c r="D9883" s="3" t="s">
        <v>15298</v>
      </c>
      <c r="E9883" s="3" t="s">
        <v>15299</v>
      </c>
      <c r="F9883" s="3" t="s">
        <v>15300</v>
      </c>
    </row>
    <row r="9884">
      <c r="A9884" s="3">
        <v>1348.0</v>
      </c>
      <c r="B9884" s="3" t="s">
        <v>19423</v>
      </c>
      <c r="C9884" s="3" t="s">
        <v>11281</v>
      </c>
      <c r="D9884" s="3" t="s">
        <v>15301</v>
      </c>
      <c r="E9884" s="3" t="s">
        <v>15302</v>
      </c>
      <c r="F9884" s="3" t="s">
        <v>14374</v>
      </c>
    </row>
    <row r="9885">
      <c r="A9885" s="3">
        <v>1349.0</v>
      </c>
      <c r="B9885" s="3" t="s">
        <v>19423</v>
      </c>
      <c r="C9885" s="3" t="s">
        <v>11281</v>
      </c>
      <c r="D9885" s="3" t="s">
        <v>15303</v>
      </c>
      <c r="E9885" s="3" t="s">
        <v>15304</v>
      </c>
      <c r="F9885" s="3" t="s">
        <v>14383</v>
      </c>
    </row>
    <row r="9886">
      <c r="A9886" s="3">
        <v>1350.0</v>
      </c>
      <c r="B9886" s="3" t="s">
        <v>19423</v>
      </c>
      <c r="C9886" s="3" t="s">
        <v>11281</v>
      </c>
      <c r="D9886" s="3" t="s">
        <v>15305</v>
      </c>
      <c r="E9886" s="3" t="s">
        <v>15306</v>
      </c>
      <c r="F9886" s="3" t="s">
        <v>14386</v>
      </c>
      <c r="G9886" s="3"/>
      <c r="H9886" s="3" t="s">
        <v>15307</v>
      </c>
      <c r="I9886" s="3" t="s">
        <v>3647</v>
      </c>
      <c r="J9886" s="3" t="s">
        <v>15308</v>
      </c>
      <c r="K9886" s="3" t="s">
        <v>15309</v>
      </c>
      <c r="L9886" s="3" t="s">
        <v>15310</v>
      </c>
      <c r="M9886" s="3" t="s">
        <v>15311</v>
      </c>
      <c r="N9886" s="3" t="s">
        <v>15312</v>
      </c>
      <c r="O9886" s="3" t="s">
        <v>15313</v>
      </c>
      <c r="P9886" s="3" t="s">
        <v>15309</v>
      </c>
    </row>
    <row r="9887">
      <c r="A9887" s="3">
        <v>1351.0</v>
      </c>
      <c r="B9887" s="3" t="s">
        <v>19423</v>
      </c>
      <c r="C9887" s="3" t="s">
        <v>11281</v>
      </c>
      <c r="D9887" s="3" t="s">
        <v>15314</v>
      </c>
      <c r="E9887" s="3" t="s">
        <v>15315</v>
      </c>
      <c r="F9887" s="3" t="s">
        <v>14392</v>
      </c>
    </row>
    <row r="9888">
      <c r="A9888" s="3">
        <v>1352.0</v>
      </c>
      <c r="B9888" s="3" t="s">
        <v>19423</v>
      </c>
      <c r="C9888" s="3" t="s">
        <v>11281</v>
      </c>
      <c r="D9888" s="3" t="s">
        <v>15316</v>
      </c>
      <c r="E9888" s="3" t="s">
        <v>15317</v>
      </c>
      <c r="F9888" s="3" t="s">
        <v>14395</v>
      </c>
    </row>
    <row r="9889">
      <c r="A9889" s="3">
        <v>1353.0</v>
      </c>
      <c r="B9889" s="3" t="s">
        <v>19423</v>
      </c>
      <c r="C9889" s="3" t="s">
        <v>11281</v>
      </c>
      <c r="D9889" s="3" t="s">
        <v>15318</v>
      </c>
      <c r="E9889" s="3" t="s">
        <v>15319</v>
      </c>
      <c r="F9889" s="3" t="s">
        <v>14398</v>
      </c>
    </row>
    <row r="9890">
      <c r="A9890" s="3">
        <v>1354.0</v>
      </c>
      <c r="B9890" s="3" t="s">
        <v>19423</v>
      </c>
      <c r="C9890" s="3" t="s">
        <v>11281</v>
      </c>
      <c r="D9890" s="3" t="s">
        <v>15320</v>
      </c>
      <c r="E9890" s="3" t="s">
        <v>15321</v>
      </c>
      <c r="F9890" s="3" t="s">
        <v>14401</v>
      </c>
    </row>
    <row r="9891">
      <c r="A9891" s="3">
        <v>1355.0</v>
      </c>
      <c r="B9891" s="3" t="s">
        <v>19423</v>
      </c>
      <c r="C9891" s="3" t="s">
        <v>11281</v>
      </c>
      <c r="D9891" s="3" t="s">
        <v>15322</v>
      </c>
      <c r="E9891" s="3" t="s">
        <v>15323</v>
      </c>
      <c r="F9891" s="3" t="s">
        <v>15324</v>
      </c>
    </row>
    <row r="9892">
      <c r="A9892" s="3">
        <v>1356.0</v>
      </c>
      <c r="B9892" s="3" t="s">
        <v>19423</v>
      </c>
      <c r="C9892" s="3" t="s">
        <v>11281</v>
      </c>
      <c r="D9892" s="3" t="s">
        <v>15325</v>
      </c>
      <c r="E9892" s="3" t="s">
        <v>15326</v>
      </c>
      <c r="F9892" s="3" t="s">
        <v>2213</v>
      </c>
    </row>
    <row r="9893">
      <c r="A9893" s="3">
        <v>1357.0</v>
      </c>
      <c r="B9893" s="3" t="s">
        <v>19423</v>
      </c>
      <c r="C9893" s="3" t="s">
        <v>11281</v>
      </c>
      <c r="D9893" s="3" t="s">
        <v>15327</v>
      </c>
      <c r="E9893" s="3" t="s">
        <v>15328</v>
      </c>
      <c r="F9893" s="3" t="s">
        <v>2222</v>
      </c>
    </row>
    <row r="9894">
      <c r="A9894" s="3">
        <v>1358.0</v>
      </c>
      <c r="B9894" s="3" t="s">
        <v>19423</v>
      </c>
      <c r="C9894" s="3" t="s">
        <v>11281</v>
      </c>
      <c r="D9894" s="3" t="s">
        <v>5377</v>
      </c>
      <c r="E9894" s="3" t="s">
        <v>5376</v>
      </c>
      <c r="F9894" s="3" t="s">
        <v>5377</v>
      </c>
    </row>
    <row r="9895">
      <c r="A9895" s="3">
        <v>1359.0</v>
      </c>
      <c r="B9895" s="3" t="s">
        <v>19423</v>
      </c>
      <c r="C9895" s="3" t="s">
        <v>11281</v>
      </c>
      <c r="D9895" s="3" t="s">
        <v>1205</v>
      </c>
      <c r="E9895" s="3" t="s">
        <v>1204</v>
      </c>
      <c r="F9895" s="3" t="s">
        <v>1205</v>
      </c>
    </row>
    <row r="9896">
      <c r="A9896" s="3">
        <v>1360.0</v>
      </c>
      <c r="B9896" s="3" t="s">
        <v>19423</v>
      </c>
      <c r="C9896" s="3" t="s">
        <v>11281</v>
      </c>
      <c r="D9896" s="3" t="s">
        <v>127</v>
      </c>
      <c r="E9896" s="3" t="s">
        <v>1048</v>
      </c>
      <c r="F9896" s="3" t="s">
        <v>127</v>
      </c>
    </row>
    <row r="9897">
      <c r="A9897" s="3">
        <v>1361.0</v>
      </c>
      <c r="B9897" s="3" t="s">
        <v>19423</v>
      </c>
      <c r="C9897" s="3" t="s">
        <v>11281</v>
      </c>
      <c r="D9897" s="3" t="s">
        <v>15329</v>
      </c>
      <c r="E9897" s="3" t="s">
        <v>15330</v>
      </c>
      <c r="F9897" s="3" t="s">
        <v>15329</v>
      </c>
    </row>
    <row r="9898">
      <c r="A9898" s="3">
        <v>1362.0</v>
      </c>
      <c r="B9898" s="3" t="s">
        <v>19423</v>
      </c>
      <c r="C9898" s="3" t="s">
        <v>11281</v>
      </c>
      <c r="D9898" s="3" t="s">
        <v>2540</v>
      </c>
      <c r="E9898" s="3" t="s">
        <v>2541</v>
      </c>
      <c r="F9898" s="3" t="s">
        <v>2540</v>
      </c>
      <c r="G9898" s="3"/>
      <c r="H9898" s="3" t="s">
        <v>2540</v>
      </c>
      <c r="I9898" s="3" t="s">
        <v>2544</v>
      </c>
    </row>
    <row r="9899">
      <c r="A9899" s="3">
        <v>1363.0</v>
      </c>
      <c r="B9899" s="3" t="s">
        <v>19423</v>
      </c>
      <c r="C9899" s="3" t="s">
        <v>11281</v>
      </c>
      <c r="D9899" s="3" t="s">
        <v>15331</v>
      </c>
      <c r="E9899" s="3" t="s">
        <v>2763</v>
      </c>
      <c r="F9899" s="3" t="s">
        <v>2764</v>
      </c>
    </row>
    <row r="9900">
      <c r="A9900" s="3">
        <v>1364.0</v>
      </c>
      <c r="B9900" s="3" t="s">
        <v>19423</v>
      </c>
      <c r="C9900" s="3" t="s">
        <v>11281</v>
      </c>
      <c r="D9900" s="3" t="s">
        <v>15332</v>
      </c>
      <c r="E9900" s="3" t="s">
        <v>2772</v>
      </c>
      <c r="F9900" s="3" t="s">
        <v>2773</v>
      </c>
    </row>
    <row r="9901">
      <c r="A9901" s="3">
        <v>1365.0</v>
      </c>
      <c r="B9901" s="3" t="s">
        <v>19423</v>
      </c>
      <c r="C9901" s="3" t="s">
        <v>11281</v>
      </c>
      <c r="D9901" s="3" t="s">
        <v>15333</v>
      </c>
      <c r="E9901" s="3" t="s">
        <v>15334</v>
      </c>
      <c r="F9901" s="3" t="s">
        <v>15335</v>
      </c>
    </row>
    <row r="9902">
      <c r="A9902" s="3">
        <v>1366.0</v>
      </c>
      <c r="B9902" s="3" t="s">
        <v>19423</v>
      </c>
      <c r="C9902" s="3" t="s">
        <v>11281</v>
      </c>
      <c r="D9902" s="3" t="s">
        <v>15336</v>
      </c>
      <c r="E9902" s="3" t="s">
        <v>15337</v>
      </c>
      <c r="F9902" s="3" t="s">
        <v>15338</v>
      </c>
    </row>
    <row r="9903">
      <c r="A9903" s="3">
        <v>1367.0</v>
      </c>
      <c r="B9903" s="3" t="s">
        <v>19423</v>
      </c>
      <c r="C9903" s="3" t="s">
        <v>11281</v>
      </c>
      <c r="D9903" s="3" t="s">
        <v>15339</v>
      </c>
      <c r="E9903" s="3" t="s">
        <v>15340</v>
      </c>
      <c r="F9903" s="3" t="s">
        <v>15341</v>
      </c>
      <c r="G9903" s="3"/>
      <c r="H9903" s="3" t="s">
        <v>15342</v>
      </c>
    </row>
    <row r="9904">
      <c r="A9904" s="3">
        <v>1368.0</v>
      </c>
      <c r="B9904" s="3" t="s">
        <v>19423</v>
      </c>
      <c r="C9904" s="3" t="s">
        <v>11281</v>
      </c>
      <c r="D9904" s="3" t="s">
        <v>9250</v>
      </c>
      <c r="E9904" s="3" t="s">
        <v>15343</v>
      </c>
      <c r="F9904" s="3" t="s">
        <v>15344</v>
      </c>
      <c r="G9904" s="3"/>
      <c r="H9904" s="3" t="s">
        <v>15345</v>
      </c>
      <c r="I9904" s="3" t="s">
        <v>15346</v>
      </c>
      <c r="J9904" s="3" t="s">
        <v>15347</v>
      </c>
      <c r="K9904" s="3" t="s">
        <v>9249</v>
      </c>
      <c r="L9904" s="3" t="s">
        <v>9250</v>
      </c>
      <c r="M9904" s="3" t="s">
        <v>9251</v>
      </c>
      <c r="N9904" s="3" t="s">
        <v>15348</v>
      </c>
    </row>
    <row r="9905">
      <c r="A9905" s="3">
        <v>1369.0</v>
      </c>
      <c r="B9905" s="3" t="s">
        <v>19423</v>
      </c>
      <c r="C9905" s="3" t="s">
        <v>11281</v>
      </c>
      <c r="D9905" s="3" t="s">
        <v>15349</v>
      </c>
      <c r="E9905" s="3" t="s">
        <v>15350</v>
      </c>
      <c r="F9905" s="3" t="s">
        <v>15351</v>
      </c>
    </row>
    <row r="9906">
      <c r="A9906" s="3">
        <v>1370.0</v>
      </c>
      <c r="B9906" s="3" t="s">
        <v>19423</v>
      </c>
      <c r="C9906" s="3" t="s">
        <v>11281</v>
      </c>
      <c r="D9906" s="3" t="s">
        <v>15352</v>
      </c>
      <c r="E9906" s="3" t="s">
        <v>15353</v>
      </c>
      <c r="F9906" s="3" t="s">
        <v>15354</v>
      </c>
    </row>
    <row r="9907">
      <c r="A9907" s="3">
        <v>1371.0</v>
      </c>
      <c r="B9907" s="3" t="s">
        <v>19423</v>
      </c>
      <c r="C9907" s="3" t="s">
        <v>11281</v>
      </c>
      <c r="D9907" s="3" t="s">
        <v>15355</v>
      </c>
      <c r="E9907" s="3" t="s">
        <v>15356</v>
      </c>
      <c r="F9907" s="3" t="s">
        <v>2764</v>
      </c>
      <c r="G9907" s="3"/>
      <c r="H9907" s="3" t="s">
        <v>1382</v>
      </c>
      <c r="I9907" s="3" t="s">
        <v>1383</v>
      </c>
    </row>
    <row r="9908">
      <c r="A9908" s="3">
        <v>1372.0</v>
      </c>
      <c r="B9908" s="3" t="s">
        <v>19423</v>
      </c>
      <c r="C9908" s="3" t="s">
        <v>11281</v>
      </c>
      <c r="D9908" s="3" t="s">
        <v>15357</v>
      </c>
      <c r="E9908" s="3" t="s">
        <v>15358</v>
      </c>
      <c r="F9908" s="3" t="s">
        <v>2773</v>
      </c>
    </row>
    <row r="9909">
      <c r="A9909" s="3">
        <v>1373.0</v>
      </c>
      <c r="B9909" s="3" t="s">
        <v>19423</v>
      </c>
      <c r="C9909" s="3" t="s">
        <v>11281</v>
      </c>
      <c r="D9909" s="3" t="s">
        <v>7167</v>
      </c>
      <c r="E9909" s="3" t="s">
        <v>7168</v>
      </c>
      <c r="F9909" s="3" t="s">
        <v>7167</v>
      </c>
      <c r="G9909" s="3"/>
      <c r="H9909" s="3" t="s">
        <v>7170</v>
      </c>
      <c r="I9909" s="3" t="s">
        <v>7171</v>
      </c>
      <c r="J9909" s="3" t="s">
        <v>7167</v>
      </c>
    </row>
    <row r="9910">
      <c r="A9910" s="3">
        <v>1374.0</v>
      </c>
      <c r="B9910" s="3" t="s">
        <v>19423</v>
      </c>
      <c r="C9910" s="3" t="s">
        <v>11281</v>
      </c>
      <c r="D9910" s="3" t="s">
        <v>15359</v>
      </c>
      <c r="E9910" s="3" t="s">
        <v>15360</v>
      </c>
      <c r="F9910" s="3" t="s">
        <v>15359</v>
      </c>
    </row>
    <row r="9911">
      <c r="A9911" s="3">
        <v>1375.0</v>
      </c>
      <c r="B9911" s="3" t="s">
        <v>19423</v>
      </c>
      <c r="C9911" s="3" t="s">
        <v>11281</v>
      </c>
      <c r="D9911" s="3" t="s">
        <v>7172</v>
      </c>
      <c r="E9911" s="3" t="s">
        <v>15361</v>
      </c>
      <c r="F9911" s="3" t="s">
        <v>7172</v>
      </c>
    </row>
    <row r="9912">
      <c r="A9912" s="3">
        <v>1376.0</v>
      </c>
      <c r="B9912" s="3" t="s">
        <v>19423</v>
      </c>
      <c r="C9912" s="3" t="s">
        <v>11281</v>
      </c>
      <c r="D9912" s="3" t="s">
        <v>2695</v>
      </c>
      <c r="E9912" s="3" t="s">
        <v>7173</v>
      </c>
      <c r="F9912" s="3" t="s">
        <v>2695</v>
      </c>
    </row>
    <row r="9913">
      <c r="A9913" s="3">
        <v>1377.0</v>
      </c>
      <c r="B9913" s="3" t="s">
        <v>19423</v>
      </c>
      <c r="C9913" s="3" t="s">
        <v>11281</v>
      </c>
      <c r="D9913" s="3" t="s">
        <v>15362</v>
      </c>
      <c r="E9913" s="3" t="s">
        <v>15363</v>
      </c>
      <c r="F9913" s="3" t="s">
        <v>15362</v>
      </c>
    </row>
    <row r="9914">
      <c r="A9914" s="3">
        <v>1378.0</v>
      </c>
      <c r="B9914" s="3" t="s">
        <v>19423</v>
      </c>
      <c r="C9914" s="3" t="s">
        <v>11281</v>
      </c>
      <c r="D9914" s="3" t="s">
        <v>15364</v>
      </c>
      <c r="E9914" s="3" t="s">
        <v>15365</v>
      </c>
      <c r="F9914" s="3" t="s">
        <v>15364</v>
      </c>
    </row>
    <row r="9915">
      <c r="A9915" s="3">
        <v>1379.0</v>
      </c>
      <c r="B9915" s="3" t="s">
        <v>19423</v>
      </c>
      <c r="C9915" s="3" t="s">
        <v>11281</v>
      </c>
      <c r="D9915" s="3" t="s">
        <v>15366</v>
      </c>
      <c r="E9915" s="3" t="s">
        <v>15367</v>
      </c>
      <c r="F9915" s="3" t="s">
        <v>15366</v>
      </c>
    </row>
    <row r="9916">
      <c r="A9916" s="3">
        <v>1380.0</v>
      </c>
      <c r="B9916" s="3" t="s">
        <v>19423</v>
      </c>
      <c r="C9916" s="3" t="s">
        <v>11281</v>
      </c>
      <c r="D9916" s="3" t="s">
        <v>15368</v>
      </c>
      <c r="E9916" s="3" t="s">
        <v>15369</v>
      </c>
      <c r="F9916" s="3" t="s">
        <v>15368</v>
      </c>
    </row>
    <row r="9917">
      <c r="A9917" s="3">
        <v>1381.0</v>
      </c>
      <c r="B9917" s="3" t="s">
        <v>19423</v>
      </c>
      <c r="C9917" s="3" t="s">
        <v>11281</v>
      </c>
      <c r="D9917" s="3" t="s">
        <v>15370</v>
      </c>
      <c r="E9917" s="3" t="s">
        <v>15371</v>
      </c>
      <c r="F9917" s="3" t="s">
        <v>15370</v>
      </c>
    </row>
    <row r="9918">
      <c r="A9918" s="3">
        <v>1382.0</v>
      </c>
      <c r="B9918" s="3" t="s">
        <v>19423</v>
      </c>
      <c r="C9918" s="3" t="s">
        <v>11281</v>
      </c>
      <c r="D9918" s="3" t="s">
        <v>2713</v>
      </c>
      <c r="E9918" s="3" t="s">
        <v>7175</v>
      </c>
      <c r="F9918" s="3" t="s">
        <v>2713</v>
      </c>
    </row>
    <row r="9919">
      <c r="A9919" s="3">
        <v>1383.0</v>
      </c>
      <c r="B9919" s="3" t="s">
        <v>19423</v>
      </c>
      <c r="C9919" s="3" t="s">
        <v>11281</v>
      </c>
      <c r="D9919" s="3" t="s">
        <v>15372</v>
      </c>
      <c r="E9919" s="3" t="s">
        <v>15373</v>
      </c>
      <c r="F9919" s="3" t="s">
        <v>15372</v>
      </c>
    </row>
    <row r="9920">
      <c r="A9920" s="3">
        <v>1384.0</v>
      </c>
      <c r="B9920" s="3" t="s">
        <v>19423</v>
      </c>
      <c r="C9920" s="3" t="s">
        <v>11281</v>
      </c>
      <c r="D9920" s="3" t="s">
        <v>15374</v>
      </c>
      <c r="E9920" s="3" t="s">
        <v>15375</v>
      </c>
      <c r="F9920" s="3" t="s">
        <v>15374</v>
      </c>
    </row>
    <row r="9921">
      <c r="A9921" s="3">
        <v>1385.0</v>
      </c>
      <c r="B9921" s="3" t="s">
        <v>19423</v>
      </c>
      <c r="C9921" s="3" t="s">
        <v>11281</v>
      </c>
      <c r="D9921" s="3" t="s">
        <v>2644</v>
      </c>
      <c r="E9921" s="3" t="s">
        <v>2643</v>
      </c>
      <c r="F9921" s="3" t="s">
        <v>2644</v>
      </c>
      <c r="G9921" s="3"/>
      <c r="H9921" s="3" t="s">
        <v>2660</v>
      </c>
      <c r="I9921" s="3" t="s">
        <v>2661</v>
      </c>
      <c r="J9921" s="3" t="s">
        <v>2660</v>
      </c>
      <c r="K9921" s="3" t="s">
        <v>2662</v>
      </c>
      <c r="L9921" s="3" t="s">
        <v>2663</v>
      </c>
      <c r="M9921" s="3" t="s">
        <v>2660</v>
      </c>
    </row>
    <row r="9922">
      <c r="A9922" s="3">
        <v>1386.0</v>
      </c>
      <c r="B9922" s="3" t="s">
        <v>19423</v>
      </c>
      <c r="C9922" s="3" t="s">
        <v>11281</v>
      </c>
      <c r="D9922" s="3" t="s">
        <v>15376</v>
      </c>
      <c r="E9922" s="3" t="s">
        <v>15377</v>
      </c>
      <c r="F9922" s="3" t="s">
        <v>15376</v>
      </c>
    </row>
    <row r="9923">
      <c r="A9923" s="3">
        <v>1387.0</v>
      </c>
      <c r="B9923" s="3" t="s">
        <v>19423</v>
      </c>
      <c r="C9923" s="3" t="s">
        <v>11281</v>
      </c>
      <c r="D9923" s="3" t="s">
        <v>2653</v>
      </c>
      <c r="E9923" s="3" t="s">
        <v>2652</v>
      </c>
      <c r="F9923" s="3" t="s">
        <v>2653</v>
      </c>
    </row>
    <row r="9924">
      <c r="A9924" s="3">
        <v>1388.0</v>
      </c>
      <c r="B9924" s="3" t="s">
        <v>19423</v>
      </c>
      <c r="C9924" s="3" t="s">
        <v>11281</v>
      </c>
      <c r="D9924" s="3" t="s">
        <v>15378</v>
      </c>
      <c r="E9924" s="3" t="s">
        <v>15379</v>
      </c>
      <c r="F9924" s="3" t="s">
        <v>15378</v>
      </c>
    </row>
    <row r="9925">
      <c r="A9925" s="3">
        <v>1389.0</v>
      </c>
      <c r="B9925" s="3" t="s">
        <v>19423</v>
      </c>
      <c r="C9925" s="3" t="s">
        <v>11281</v>
      </c>
      <c r="D9925" s="3" t="s">
        <v>15380</v>
      </c>
      <c r="E9925" s="3" t="s">
        <v>15381</v>
      </c>
      <c r="F9925" s="3" t="s">
        <v>15380</v>
      </c>
    </row>
    <row r="9926">
      <c r="A9926" s="3">
        <v>1390.0</v>
      </c>
      <c r="B9926" s="3" t="s">
        <v>19423</v>
      </c>
      <c r="C9926" s="3" t="s">
        <v>11281</v>
      </c>
      <c r="D9926" s="3" t="s">
        <v>15382</v>
      </c>
      <c r="E9926" s="3" t="s">
        <v>15383</v>
      </c>
      <c r="F9926" s="3" t="s">
        <v>15382</v>
      </c>
    </row>
    <row r="9927">
      <c r="A9927" s="3">
        <v>1391.0</v>
      </c>
      <c r="B9927" s="3" t="s">
        <v>19423</v>
      </c>
      <c r="C9927" s="3" t="s">
        <v>11281</v>
      </c>
      <c r="D9927" s="3" t="s">
        <v>15384</v>
      </c>
      <c r="E9927" s="3" t="s">
        <v>15385</v>
      </c>
      <c r="F9927" s="3" t="s">
        <v>15384</v>
      </c>
    </row>
    <row r="9928">
      <c r="A9928" s="3">
        <v>1392.0</v>
      </c>
      <c r="B9928" s="3" t="s">
        <v>19423</v>
      </c>
      <c r="C9928" s="3" t="s">
        <v>11281</v>
      </c>
      <c r="D9928" s="3" t="s">
        <v>15386</v>
      </c>
      <c r="E9928" s="3" t="s">
        <v>15387</v>
      </c>
      <c r="F9928" s="3" t="s">
        <v>15386</v>
      </c>
    </row>
    <row r="9929">
      <c r="A9929" s="3">
        <v>1393.0</v>
      </c>
      <c r="B9929" s="3" t="s">
        <v>19423</v>
      </c>
      <c r="C9929" s="3" t="s">
        <v>11281</v>
      </c>
      <c r="D9929" s="3" t="s">
        <v>15388</v>
      </c>
      <c r="E9929" s="3" t="s">
        <v>15389</v>
      </c>
      <c r="F9929" s="3" t="s">
        <v>15388</v>
      </c>
    </row>
    <row r="9930">
      <c r="A9930" s="3">
        <v>1394.0</v>
      </c>
      <c r="B9930" s="3" t="s">
        <v>19423</v>
      </c>
      <c r="C9930" s="3" t="s">
        <v>11281</v>
      </c>
      <c r="D9930" s="3" t="s">
        <v>15390</v>
      </c>
      <c r="E9930" s="3" t="s">
        <v>15391</v>
      </c>
      <c r="F9930" s="3" t="s">
        <v>15390</v>
      </c>
    </row>
    <row r="9931">
      <c r="A9931" s="3">
        <v>1395.0</v>
      </c>
      <c r="B9931" s="3" t="s">
        <v>19423</v>
      </c>
      <c r="C9931" s="3" t="s">
        <v>11281</v>
      </c>
      <c r="D9931" s="3" t="s">
        <v>15392</v>
      </c>
      <c r="E9931" s="3" t="s">
        <v>15393</v>
      </c>
      <c r="F9931" s="3" t="s">
        <v>15392</v>
      </c>
    </row>
    <row r="9932">
      <c r="A9932" s="3">
        <v>1396.0</v>
      </c>
      <c r="B9932" s="3" t="s">
        <v>19423</v>
      </c>
      <c r="C9932" s="3" t="s">
        <v>11281</v>
      </c>
      <c r="D9932" s="3" t="s">
        <v>15394</v>
      </c>
      <c r="E9932" s="3" t="s">
        <v>15395</v>
      </c>
      <c r="F9932" s="3" t="s">
        <v>15394</v>
      </c>
    </row>
    <row r="9933">
      <c r="A9933" s="3">
        <v>1397.0</v>
      </c>
      <c r="B9933" s="3" t="s">
        <v>19423</v>
      </c>
      <c r="C9933" s="3" t="s">
        <v>11281</v>
      </c>
      <c r="D9933" s="3" t="s">
        <v>2723</v>
      </c>
      <c r="E9933" s="3" t="s">
        <v>2722</v>
      </c>
      <c r="F9933" s="3" t="s">
        <v>2723</v>
      </c>
    </row>
    <row r="9934">
      <c r="A9934" s="3">
        <v>1398.0</v>
      </c>
      <c r="B9934" s="3" t="s">
        <v>19423</v>
      </c>
      <c r="C9934" s="3" t="s">
        <v>11281</v>
      </c>
      <c r="D9934" s="3" t="s">
        <v>2732</v>
      </c>
      <c r="E9934" s="3" t="s">
        <v>2731</v>
      </c>
      <c r="F9934" s="3" t="s">
        <v>2732</v>
      </c>
    </row>
    <row r="9935">
      <c r="A9935" s="3">
        <v>1399.0</v>
      </c>
      <c r="B9935" s="3" t="s">
        <v>19423</v>
      </c>
      <c r="C9935" s="3" t="s">
        <v>11281</v>
      </c>
      <c r="D9935" s="3" t="s">
        <v>15396</v>
      </c>
      <c r="E9935" s="3" t="s">
        <v>15397</v>
      </c>
      <c r="F9935" s="3" t="s">
        <v>15396</v>
      </c>
    </row>
    <row r="9936">
      <c r="A9936" s="3">
        <v>1400.0</v>
      </c>
      <c r="B9936" s="3" t="s">
        <v>19423</v>
      </c>
      <c r="C9936" s="3" t="s">
        <v>11281</v>
      </c>
      <c r="D9936" s="3" t="s">
        <v>15398</v>
      </c>
      <c r="E9936" s="3" t="s">
        <v>15399</v>
      </c>
      <c r="F9936" s="3" t="s">
        <v>15398</v>
      </c>
    </row>
    <row r="9937">
      <c r="A9937" s="3">
        <v>1401.0</v>
      </c>
      <c r="B9937" s="3" t="s">
        <v>19423</v>
      </c>
      <c r="C9937" s="3" t="s">
        <v>11281</v>
      </c>
      <c r="D9937" s="3" t="s">
        <v>15400</v>
      </c>
      <c r="E9937" s="3" t="s">
        <v>15401</v>
      </c>
      <c r="F9937" s="3" t="s">
        <v>15400</v>
      </c>
    </row>
    <row r="9938">
      <c r="A9938" s="3">
        <v>1402.0</v>
      </c>
      <c r="B9938" s="3" t="s">
        <v>19423</v>
      </c>
      <c r="C9938" s="3" t="s">
        <v>11281</v>
      </c>
      <c r="D9938" s="3" t="s">
        <v>15402</v>
      </c>
      <c r="E9938" s="3" t="s">
        <v>15403</v>
      </c>
      <c r="F9938" s="3" t="s">
        <v>15402</v>
      </c>
    </row>
    <row r="9939">
      <c r="A9939" s="3">
        <v>1403.0</v>
      </c>
      <c r="B9939" s="3" t="s">
        <v>19423</v>
      </c>
      <c r="C9939" s="3" t="s">
        <v>11281</v>
      </c>
      <c r="D9939" s="3" t="s">
        <v>15404</v>
      </c>
      <c r="E9939" s="3" t="s">
        <v>20006</v>
      </c>
      <c r="F9939" s="3" t="s">
        <v>20007</v>
      </c>
    </row>
    <row r="9940">
      <c r="A9940" s="3">
        <v>1404.0</v>
      </c>
      <c r="B9940" s="3" t="s">
        <v>19423</v>
      </c>
      <c r="C9940" s="3" t="s">
        <v>11281</v>
      </c>
      <c r="D9940" s="3" t="s">
        <v>15407</v>
      </c>
      <c r="E9940" s="3" t="s">
        <v>20008</v>
      </c>
      <c r="F9940" s="3" t="s">
        <v>20009</v>
      </c>
    </row>
    <row r="9941">
      <c r="A9941" s="3">
        <v>1405.0</v>
      </c>
      <c r="B9941" s="3" t="s">
        <v>19423</v>
      </c>
      <c r="C9941" s="3" t="s">
        <v>11281</v>
      </c>
      <c r="D9941" s="3" t="s">
        <v>15410</v>
      </c>
      <c r="E9941" s="3" t="s">
        <v>20010</v>
      </c>
      <c r="F9941" s="3" t="s">
        <v>20011</v>
      </c>
    </row>
    <row r="9942">
      <c r="A9942" s="3">
        <v>1406.0</v>
      </c>
      <c r="B9942" s="3" t="s">
        <v>19423</v>
      </c>
      <c r="C9942" s="3" t="s">
        <v>11281</v>
      </c>
      <c r="D9942" s="3" t="s">
        <v>15413</v>
      </c>
      <c r="E9942" s="3" t="s">
        <v>20012</v>
      </c>
      <c r="F9942" s="3" t="s">
        <v>20013</v>
      </c>
    </row>
    <row r="9943">
      <c r="A9943" s="3">
        <v>1407.0</v>
      </c>
      <c r="B9943" s="3" t="s">
        <v>19423</v>
      </c>
      <c r="C9943" s="3" t="s">
        <v>11281</v>
      </c>
      <c r="D9943" s="3" t="s">
        <v>15416</v>
      </c>
      <c r="E9943" s="3" t="s">
        <v>20014</v>
      </c>
      <c r="F9943" s="3" t="s">
        <v>20015</v>
      </c>
    </row>
    <row r="9944">
      <c r="A9944" s="3">
        <v>1408.0</v>
      </c>
      <c r="B9944" s="3" t="s">
        <v>19423</v>
      </c>
      <c r="C9944" s="3" t="s">
        <v>11281</v>
      </c>
      <c r="D9944" s="3" t="s">
        <v>15419</v>
      </c>
      <c r="E9944" s="3" t="s">
        <v>20016</v>
      </c>
      <c r="F9944" s="3" t="s">
        <v>20017</v>
      </c>
    </row>
    <row r="9945">
      <c r="A9945" s="3">
        <v>1409.0</v>
      </c>
      <c r="B9945" s="3" t="s">
        <v>19423</v>
      </c>
      <c r="C9945" s="3" t="s">
        <v>11281</v>
      </c>
      <c r="D9945" s="3" t="s">
        <v>15422</v>
      </c>
      <c r="E9945" s="3" t="s">
        <v>20018</v>
      </c>
      <c r="F9945" s="3" t="s">
        <v>20019</v>
      </c>
    </row>
    <row r="9946">
      <c r="A9946" s="3">
        <v>1410.0</v>
      </c>
      <c r="B9946" s="3" t="s">
        <v>19423</v>
      </c>
      <c r="C9946" s="3" t="s">
        <v>11281</v>
      </c>
      <c r="D9946" s="3" t="s">
        <v>15425</v>
      </c>
      <c r="E9946" s="3" t="s">
        <v>15426</v>
      </c>
      <c r="F9946" s="3" t="s">
        <v>15425</v>
      </c>
    </row>
    <row r="9947">
      <c r="A9947" s="3">
        <v>1411.0</v>
      </c>
      <c r="B9947" s="3" t="s">
        <v>19423</v>
      </c>
      <c r="C9947" s="3" t="s">
        <v>11281</v>
      </c>
      <c r="D9947" s="3" t="s">
        <v>15427</v>
      </c>
      <c r="E9947" s="3" t="s">
        <v>20020</v>
      </c>
      <c r="F9947" s="3" t="s">
        <v>20021</v>
      </c>
    </row>
    <row r="9948">
      <c r="A9948" s="3">
        <v>1412.0</v>
      </c>
      <c r="B9948" s="3" t="s">
        <v>19423</v>
      </c>
      <c r="C9948" s="3" t="s">
        <v>11281</v>
      </c>
      <c r="D9948" s="3" t="s">
        <v>15430</v>
      </c>
      <c r="E9948" s="3" t="s">
        <v>20022</v>
      </c>
      <c r="F9948" s="3" t="s">
        <v>20023</v>
      </c>
    </row>
    <row r="9949">
      <c r="A9949" s="3">
        <v>1413.0</v>
      </c>
      <c r="B9949" s="3" t="s">
        <v>19423</v>
      </c>
      <c r="C9949" s="3" t="s">
        <v>11281</v>
      </c>
      <c r="D9949" s="3" t="s">
        <v>2578</v>
      </c>
      <c r="E9949" s="3" t="s">
        <v>2577</v>
      </c>
      <c r="F9949" s="3" t="s">
        <v>2578</v>
      </c>
    </row>
    <row r="9950">
      <c r="A9950" s="3">
        <v>1414.0</v>
      </c>
      <c r="B9950" s="3" t="s">
        <v>19423</v>
      </c>
      <c r="C9950" s="3" t="s">
        <v>11281</v>
      </c>
      <c r="D9950" s="3" t="s">
        <v>2562</v>
      </c>
      <c r="E9950" s="3" t="s">
        <v>2561</v>
      </c>
      <c r="F9950" s="3" t="s">
        <v>2562</v>
      </c>
    </row>
    <row r="9951">
      <c r="A9951" s="3">
        <v>1415.0</v>
      </c>
      <c r="B9951" s="3" t="s">
        <v>19423</v>
      </c>
      <c r="C9951" s="3" t="s">
        <v>11281</v>
      </c>
      <c r="D9951" s="3" t="s">
        <v>15433</v>
      </c>
      <c r="E9951" s="3" t="s">
        <v>15434</v>
      </c>
      <c r="F9951" s="3" t="s">
        <v>15433</v>
      </c>
      <c r="G9951" s="3"/>
      <c r="H9951" s="3" t="s">
        <v>15435</v>
      </c>
      <c r="I9951" s="3" t="s">
        <v>15436</v>
      </c>
    </row>
    <row r="9952">
      <c r="A9952" s="3">
        <v>1416.0</v>
      </c>
      <c r="B9952" s="3" t="s">
        <v>19423</v>
      </c>
      <c r="C9952" s="3" t="s">
        <v>11281</v>
      </c>
      <c r="D9952" s="3" t="s">
        <v>15437</v>
      </c>
      <c r="E9952" s="3" t="s">
        <v>15438</v>
      </c>
      <c r="F9952" s="3" t="s">
        <v>15437</v>
      </c>
    </row>
    <row r="9953">
      <c r="A9953" s="3">
        <v>1417.0</v>
      </c>
      <c r="B9953" s="3" t="s">
        <v>19423</v>
      </c>
      <c r="C9953" s="3" t="s">
        <v>11281</v>
      </c>
      <c r="D9953" s="3" t="s">
        <v>2571</v>
      </c>
      <c r="E9953" s="3" t="s">
        <v>2570</v>
      </c>
      <c r="F9953" s="3" t="s">
        <v>2571</v>
      </c>
    </row>
    <row r="9954">
      <c r="A9954" s="3">
        <v>1418.0</v>
      </c>
      <c r="B9954" s="3" t="s">
        <v>19423</v>
      </c>
      <c r="C9954" s="3" t="s">
        <v>11281</v>
      </c>
      <c r="D9954" s="3" t="s">
        <v>2799</v>
      </c>
      <c r="E9954" s="3" t="s">
        <v>2798</v>
      </c>
      <c r="F9954" s="3" t="s">
        <v>2799</v>
      </c>
      <c r="G9954" s="3"/>
      <c r="H9954" s="3" t="s">
        <v>13573</v>
      </c>
      <c r="I9954" s="3" t="s">
        <v>15439</v>
      </c>
      <c r="J9954" s="3" t="s">
        <v>15440</v>
      </c>
      <c r="K9954" s="3" t="s">
        <v>15441</v>
      </c>
      <c r="L9954" s="3" t="s">
        <v>13036</v>
      </c>
      <c r="M9954" s="3" t="s">
        <v>3335</v>
      </c>
      <c r="N9954" s="3" t="s">
        <v>3336</v>
      </c>
      <c r="O9954" s="3" t="s">
        <v>3337</v>
      </c>
      <c r="P9954" s="3" t="s">
        <v>3338</v>
      </c>
      <c r="Q9954" s="3" t="s">
        <v>15442</v>
      </c>
    </row>
    <row r="9955">
      <c r="A9955" s="3">
        <v>1419.0</v>
      </c>
      <c r="B9955" s="3" t="s">
        <v>19423</v>
      </c>
      <c r="C9955" s="3" t="s">
        <v>11281</v>
      </c>
      <c r="D9955" s="3" t="s">
        <v>15443</v>
      </c>
      <c r="E9955" s="3" t="s">
        <v>15444</v>
      </c>
      <c r="F9955" s="3" t="s">
        <v>15443</v>
      </c>
    </row>
    <row r="9956">
      <c r="A9956" s="3">
        <v>1420.0</v>
      </c>
      <c r="B9956" s="3" t="s">
        <v>19423</v>
      </c>
      <c r="C9956" s="3" t="s">
        <v>11281</v>
      </c>
      <c r="D9956" s="3" t="s">
        <v>2808</v>
      </c>
      <c r="E9956" s="3" t="s">
        <v>2807</v>
      </c>
      <c r="F9956" s="3" t="s">
        <v>2808</v>
      </c>
    </row>
    <row r="9957">
      <c r="A9957" s="3">
        <v>1421.0</v>
      </c>
      <c r="B9957" s="3" t="s">
        <v>19423</v>
      </c>
      <c r="C9957" s="3" t="s">
        <v>11281</v>
      </c>
      <c r="D9957" s="3" t="s">
        <v>15445</v>
      </c>
      <c r="E9957" s="3" t="s">
        <v>20024</v>
      </c>
      <c r="F9957" s="3" t="s">
        <v>20025</v>
      </c>
    </row>
    <row r="9958">
      <c r="A9958" s="3">
        <v>1422.0</v>
      </c>
      <c r="B9958" s="3" t="s">
        <v>19423</v>
      </c>
      <c r="C9958" s="3" t="s">
        <v>11281</v>
      </c>
      <c r="D9958" s="3" t="s">
        <v>15446</v>
      </c>
      <c r="E9958" s="3" t="s">
        <v>15447</v>
      </c>
      <c r="F9958" s="3" t="s">
        <v>15446</v>
      </c>
    </row>
    <row r="9959">
      <c r="A9959" s="3">
        <v>1423.0</v>
      </c>
      <c r="B9959" s="3" t="s">
        <v>19423</v>
      </c>
      <c r="C9959" s="3" t="s">
        <v>11281</v>
      </c>
      <c r="D9959" s="3" t="s">
        <v>15448</v>
      </c>
      <c r="E9959" s="3" t="s">
        <v>15449</v>
      </c>
      <c r="F9959" s="3" t="s">
        <v>15448</v>
      </c>
    </row>
    <row r="9960">
      <c r="A9960" s="3">
        <v>1424.0</v>
      </c>
      <c r="B9960" s="3" t="s">
        <v>19423</v>
      </c>
      <c r="C9960" s="3" t="s">
        <v>11281</v>
      </c>
      <c r="D9960" s="3" t="s">
        <v>15450</v>
      </c>
      <c r="E9960" s="3" t="s">
        <v>15451</v>
      </c>
      <c r="F9960" s="3" t="s">
        <v>15450</v>
      </c>
    </row>
    <row r="9961">
      <c r="A9961" s="3">
        <v>1425.0</v>
      </c>
      <c r="B9961" s="3" t="s">
        <v>19423</v>
      </c>
      <c r="C9961" s="3" t="s">
        <v>11281</v>
      </c>
      <c r="D9961" s="3" t="s">
        <v>15452</v>
      </c>
      <c r="E9961" s="3" t="s">
        <v>15453</v>
      </c>
      <c r="F9961" s="3" t="s">
        <v>15452</v>
      </c>
    </row>
    <row r="9962">
      <c r="A9962" s="3">
        <v>1426.0</v>
      </c>
      <c r="B9962" s="3" t="s">
        <v>19423</v>
      </c>
      <c r="C9962" s="3" t="s">
        <v>11281</v>
      </c>
      <c r="D9962" s="3" t="s">
        <v>15454</v>
      </c>
      <c r="E9962" s="3" t="s">
        <v>15455</v>
      </c>
      <c r="F9962" s="3" t="s">
        <v>15454</v>
      </c>
    </row>
    <row r="9963">
      <c r="A9963" s="3">
        <v>1427.0</v>
      </c>
      <c r="B9963" s="3" t="s">
        <v>19423</v>
      </c>
      <c r="C9963" s="3" t="s">
        <v>11281</v>
      </c>
      <c r="D9963" s="3" t="s">
        <v>15456</v>
      </c>
      <c r="E9963" s="3" t="s">
        <v>15457</v>
      </c>
      <c r="F9963" s="3" t="s">
        <v>15456</v>
      </c>
    </row>
    <row r="9964">
      <c r="A9964" s="3">
        <v>1428.0</v>
      </c>
      <c r="B9964" s="3" t="s">
        <v>19423</v>
      </c>
      <c r="C9964" s="3" t="s">
        <v>11281</v>
      </c>
      <c r="D9964" s="3" t="s">
        <v>15458</v>
      </c>
      <c r="E9964" s="3" t="s">
        <v>15459</v>
      </c>
      <c r="F9964" s="3" t="s">
        <v>15458</v>
      </c>
    </row>
    <row r="9965">
      <c r="A9965" s="3">
        <v>1429.0</v>
      </c>
      <c r="B9965" s="3" t="s">
        <v>19423</v>
      </c>
      <c r="C9965" s="3" t="s">
        <v>11281</v>
      </c>
      <c r="D9965" s="3" t="s">
        <v>15460</v>
      </c>
      <c r="E9965" s="3" t="s">
        <v>20026</v>
      </c>
      <c r="F9965" s="3" t="s">
        <v>20027</v>
      </c>
    </row>
    <row r="9966">
      <c r="A9966" s="3">
        <v>1430.0</v>
      </c>
      <c r="B9966" s="3" t="s">
        <v>19423</v>
      </c>
      <c r="C9966" s="3" t="s">
        <v>11281</v>
      </c>
      <c r="D9966" s="3" t="s">
        <v>15463</v>
      </c>
      <c r="E9966" s="3" t="s">
        <v>20028</v>
      </c>
      <c r="F9966" s="3" t="s">
        <v>20029</v>
      </c>
    </row>
    <row r="9967">
      <c r="A9967" s="3">
        <v>1431.0</v>
      </c>
      <c r="B9967" s="3" t="s">
        <v>19423</v>
      </c>
      <c r="C9967" s="3" t="s">
        <v>11281</v>
      </c>
      <c r="D9967" s="3" t="s">
        <v>15466</v>
      </c>
      <c r="E9967" s="3" t="s">
        <v>20030</v>
      </c>
      <c r="F9967" s="3" t="s">
        <v>20031</v>
      </c>
      <c r="G9967" s="3"/>
      <c r="H9967" s="3" t="s">
        <v>15469</v>
      </c>
      <c r="I9967" s="3" t="s">
        <v>15470</v>
      </c>
      <c r="J9967" s="3" t="s">
        <v>15471</v>
      </c>
      <c r="K9967" s="3" t="s">
        <v>15469</v>
      </c>
      <c r="L9967" s="3" t="s">
        <v>15472</v>
      </c>
    </row>
    <row r="9968">
      <c r="A9968" s="3">
        <v>1432.0</v>
      </c>
      <c r="B9968" s="3" t="s">
        <v>19423</v>
      </c>
      <c r="C9968" s="3" t="s">
        <v>11281</v>
      </c>
      <c r="D9968" s="3" t="s">
        <v>15473</v>
      </c>
      <c r="E9968" s="3" t="s">
        <v>20032</v>
      </c>
      <c r="F9968" s="3" t="s">
        <v>20033</v>
      </c>
    </row>
    <row r="9969">
      <c r="A9969" s="3">
        <v>1433.0</v>
      </c>
      <c r="B9969" s="3" t="s">
        <v>19423</v>
      </c>
      <c r="C9969" s="3" t="s">
        <v>11281</v>
      </c>
      <c r="D9969" s="3" t="s">
        <v>15476</v>
      </c>
      <c r="E9969" s="3" t="s">
        <v>20034</v>
      </c>
      <c r="F9969" s="3" t="s">
        <v>20035</v>
      </c>
    </row>
    <row r="9970">
      <c r="A9970" s="3">
        <v>1434.0</v>
      </c>
      <c r="B9970" s="3" t="s">
        <v>19423</v>
      </c>
      <c r="C9970" s="3" t="s">
        <v>11281</v>
      </c>
      <c r="D9970" s="3" t="s">
        <v>15479</v>
      </c>
      <c r="E9970" s="3" t="s">
        <v>20036</v>
      </c>
      <c r="F9970" s="3" t="s">
        <v>20037</v>
      </c>
    </row>
    <row r="9971">
      <c r="A9971" s="3">
        <v>1435.0</v>
      </c>
      <c r="B9971" s="3" t="s">
        <v>19423</v>
      </c>
      <c r="C9971" s="3" t="s">
        <v>11281</v>
      </c>
      <c r="D9971" s="3" t="s">
        <v>15482</v>
      </c>
      <c r="E9971" s="3" t="s">
        <v>20038</v>
      </c>
      <c r="F9971" s="3" t="s">
        <v>20039</v>
      </c>
    </row>
    <row r="9972">
      <c r="A9972" s="3">
        <v>1436.0</v>
      </c>
      <c r="B9972" s="3" t="s">
        <v>19423</v>
      </c>
      <c r="C9972" s="3" t="s">
        <v>11281</v>
      </c>
      <c r="D9972" s="3" t="s">
        <v>15485</v>
      </c>
      <c r="E9972" s="3" t="s">
        <v>15486</v>
      </c>
      <c r="F9972" s="3" t="s">
        <v>15485</v>
      </c>
      <c r="G9972" s="3"/>
      <c r="H9972" s="3" t="s">
        <v>5311</v>
      </c>
      <c r="I9972" s="3" t="s">
        <v>15487</v>
      </c>
      <c r="J9972" s="3" t="s">
        <v>15488</v>
      </c>
      <c r="K9972" s="3" t="s">
        <v>15489</v>
      </c>
      <c r="L9972" s="3" t="s">
        <v>15490</v>
      </c>
      <c r="M9972" s="3" t="s">
        <v>5312</v>
      </c>
      <c r="N9972" s="3" t="s">
        <v>15491</v>
      </c>
      <c r="O9972" s="3" t="s">
        <v>5312</v>
      </c>
    </row>
    <row r="9973">
      <c r="A9973" s="3">
        <v>1437.0</v>
      </c>
      <c r="B9973" s="3" t="s">
        <v>19423</v>
      </c>
      <c r="C9973" s="3" t="s">
        <v>11281</v>
      </c>
      <c r="D9973" s="3" t="s">
        <v>15492</v>
      </c>
      <c r="E9973" s="3" t="s">
        <v>20040</v>
      </c>
      <c r="F9973" s="3" t="s">
        <v>20041</v>
      </c>
    </row>
    <row r="9974">
      <c r="A9974" s="3">
        <v>1438.0</v>
      </c>
      <c r="B9974" s="3" t="s">
        <v>19423</v>
      </c>
      <c r="C9974" s="3" t="s">
        <v>11281</v>
      </c>
      <c r="D9974" s="3" t="s">
        <v>15493</v>
      </c>
      <c r="E9974" s="3" t="s">
        <v>20042</v>
      </c>
      <c r="F9974" s="3" t="s">
        <v>20043</v>
      </c>
    </row>
    <row r="9975">
      <c r="A9975" s="3">
        <v>1439.0</v>
      </c>
      <c r="B9975" s="3" t="s">
        <v>19423</v>
      </c>
      <c r="C9975" s="3" t="s">
        <v>11281</v>
      </c>
      <c r="D9975" s="3" t="s">
        <v>15496</v>
      </c>
      <c r="E9975" s="3" t="s">
        <v>20044</v>
      </c>
      <c r="F9975" s="3" t="s">
        <v>20045</v>
      </c>
      <c r="G9975" s="3"/>
      <c r="H9975" s="3" t="s">
        <v>15499</v>
      </c>
      <c r="I9975" s="3" t="s">
        <v>2679</v>
      </c>
      <c r="J9975" s="3" t="s">
        <v>15500</v>
      </c>
    </row>
    <row r="9976">
      <c r="A9976" s="3">
        <v>1440.0</v>
      </c>
      <c r="B9976" s="3" t="s">
        <v>19423</v>
      </c>
      <c r="C9976" s="3" t="s">
        <v>11281</v>
      </c>
      <c r="D9976" s="3" t="s">
        <v>15501</v>
      </c>
      <c r="E9976" s="3" t="s">
        <v>20046</v>
      </c>
      <c r="F9976" s="3" t="s">
        <v>20047</v>
      </c>
    </row>
    <row r="9977">
      <c r="A9977" s="3">
        <v>1441.0</v>
      </c>
      <c r="B9977" s="3" t="s">
        <v>19423</v>
      </c>
      <c r="C9977" s="3" t="s">
        <v>11281</v>
      </c>
      <c r="D9977" s="3" t="s">
        <v>15504</v>
      </c>
      <c r="E9977" s="3" t="s">
        <v>20048</v>
      </c>
      <c r="F9977" s="3" t="s">
        <v>20049</v>
      </c>
    </row>
    <row r="9978">
      <c r="A9978" s="3">
        <v>1442.0</v>
      </c>
      <c r="B9978" s="3" t="s">
        <v>19423</v>
      </c>
      <c r="C9978" s="3" t="s">
        <v>11281</v>
      </c>
      <c r="D9978" s="3" t="s">
        <v>15507</v>
      </c>
      <c r="E9978" s="3" t="s">
        <v>20050</v>
      </c>
      <c r="F9978" s="3" t="s">
        <v>20051</v>
      </c>
    </row>
    <row r="9979">
      <c r="A9979" s="3">
        <v>1443.0</v>
      </c>
      <c r="B9979" s="3" t="s">
        <v>19423</v>
      </c>
      <c r="C9979" s="3" t="s">
        <v>11281</v>
      </c>
      <c r="D9979" s="3" t="s">
        <v>15510</v>
      </c>
      <c r="E9979" s="3" t="s">
        <v>20052</v>
      </c>
      <c r="F9979" s="3" t="s">
        <v>20053</v>
      </c>
    </row>
    <row r="9980">
      <c r="A9980" s="3">
        <v>1444.0</v>
      </c>
      <c r="B9980" s="3" t="s">
        <v>19423</v>
      </c>
      <c r="C9980" s="3" t="s">
        <v>11281</v>
      </c>
      <c r="D9980" s="3" t="s">
        <v>15513</v>
      </c>
      <c r="E9980" s="3" t="s">
        <v>20054</v>
      </c>
      <c r="F9980" s="3" t="s">
        <v>20055</v>
      </c>
    </row>
    <row r="9981">
      <c r="A9981" s="3">
        <v>1445.0</v>
      </c>
      <c r="B9981" s="3" t="s">
        <v>19423</v>
      </c>
      <c r="C9981" s="3" t="s">
        <v>11281</v>
      </c>
      <c r="D9981" s="3" t="s">
        <v>15516</v>
      </c>
      <c r="E9981" s="3" t="s">
        <v>20056</v>
      </c>
      <c r="F9981" s="3" t="s">
        <v>20057</v>
      </c>
    </row>
    <row r="9982">
      <c r="A9982" s="3">
        <v>1446.0</v>
      </c>
      <c r="B9982" s="3" t="s">
        <v>19423</v>
      </c>
      <c r="C9982" s="3" t="s">
        <v>11281</v>
      </c>
      <c r="D9982" s="3" t="s">
        <v>15517</v>
      </c>
      <c r="E9982" s="3" t="s">
        <v>20058</v>
      </c>
      <c r="F9982" s="3" t="s">
        <v>20059</v>
      </c>
    </row>
    <row r="9983">
      <c r="A9983" s="3">
        <v>1447.0</v>
      </c>
      <c r="B9983" s="3" t="s">
        <v>19423</v>
      </c>
      <c r="C9983" s="3" t="s">
        <v>11281</v>
      </c>
      <c r="D9983" s="3" t="s">
        <v>15520</v>
      </c>
      <c r="E9983" s="3" t="s">
        <v>20060</v>
      </c>
      <c r="F9983" s="3" t="s">
        <v>20061</v>
      </c>
    </row>
    <row r="9984">
      <c r="A9984" s="3">
        <v>1448.0</v>
      </c>
      <c r="B9984" s="3" t="s">
        <v>19423</v>
      </c>
      <c r="C9984" s="3" t="s">
        <v>11281</v>
      </c>
      <c r="D9984" s="3" t="s">
        <v>7203</v>
      </c>
      <c r="E9984" s="3" t="s">
        <v>20062</v>
      </c>
      <c r="F9984" s="3" t="s">
        <v>20063</v>
      </c>
    </row>
    <row r="9985">
      <c r="A9985" s="3">
        <v>1449.0</v>
      </c>
      <c r="B9985" s="3" t="s">
        <v>19423</v>
      </c>
      <c r="C9985" s="3" t="s">
        <v>11281</v>
      </c>
      <c r="D9985" s="3" t="s">
        <v>15523</v>
      </c>
      <c r="E9985" s="3" t="s">
        <v>20064</v>
      </c>
      <c r="F9985" s="3" t="s">
        <v>20065</v>
      </c>
    </row>
    <row r="9986">
      <c r="A9986" s="3">
        <v>1450.0</v>
      </c>
      <c r="B9986" s="3" t="s">
        <v>19423</v>
      </c>
      <c r="C9986" s="3" t="s">
        <v>11281</v>
      </c>
      <c r="D9986" s="3" t="s">
        <v>15526</v>
      </c>
      <c r="E9986" s="3" t="s">
        <v>20066</v>
      </c>
      <c r="F9986" s="3" t="s">
        <v>20067</v>
      </c>
      <c r="G9986" s="3"/>
      <c r="H9986" s="3" t="s">
        <v>6758</v>
      </c>
      <c r="I9986" s="3" t="s">
        <v>6758</v>
      </c>
    </row>
    <row r="9987">
      <c r="A9987" s="3">
        <v>1451.0</v>
      </c>
      <c r="B9987" s="3" t="s">
        <v>19423</v>
      </c>
      <c r="C9987" s="3" t="s">
        <v>11281</v>
      </c>
      <c r="D9987" s="3" t="s">
        <v>15529</v>
      </c>
      <c r="E9987" s="3" t="s">
        <v>20068</v>
      </c>
      <c r="F9987" s="3" t="s">
        <v>20069</v>
      </c>
    </row>
    <row r="9988">
      <c r="A9988" s="3">
        <v>1452.0</v>
      </c>
      <c r="B9988" s="3" t="s">
        <v>19423</v>
      </c>
      <c r="C9988" s="3" t="s">
        <v>11281</v>
      </c>
      <c r="D9988" s="3" t="s">
        <v>15532</v>
      </c>
      <c r="E9988" s="3" t="s">
        <v>20070</v>
      </c>
      <c r="F9988" s="3" t="s">
        <v>20071</v>
      </c>
    </row>
    <row r="9989">
      <c r="A9989" s="3">
        <v>1453.0</v>
      </c>
      <c r="B9989" s="3" t="s">
        <v>19423</v>
      </c>
      <c r="C9989" s="3" t="s">
        <v>11281</v>
      </c>
      <c r="D9989" s="3" t="s">
        <v>15535</v>
      </c>
      <c r="E9989" s="3" t="s">
        <v>20072</v>
      </c>
      <c r="F9989" s="3" t="s">
        <v>20073</v>
      </c>
    </row>
    <row r="9990">
      <c r="A9990" s="3">
        <v>1454.0</v>
      </c>
      <c r="B9990" s="3" t="s">
        <v>19423</v>
      </c>
      <c r="C9990" s="3" t="s">
        <v>11281</v>
      </c>
      <c r="D9990" s="3" t="s">
        <v>7206</v>
      </c>
      <c r="E9990" s="3" t="s">
        <v>20074</v>
      </c>
      <c r="F9990" s="3" t="s">
        <v>20075</v>
      </c>
    </row>
    <row r="9991">
      <c r="A9991" s="3">
        <v>1455.0</v>
      </c>
      <c r="B9991" s="3" t="s">
        <v>19423</v>
      </c>
      <c r="C9991" s="3" t="s">
        <v>11281</v>
      </c>
      <c r="D9991" s="3" t="s">
        <v>15538</v>
      </c>
      <c r="E9991" s="3" t="s">
        <v>15539</v>
      </c>
      <c r="F9991" s="3" t="s">
        <v>15540</v>
      </c>
      <c r="G9991" s="3"/>
      <c r="H9991" s="3" t="s">
        <v>15541</v>
      </c>
      <c r="I9991" s="3" t="s">
        <v>555</v>
      </c>
      <c r="J9991" s="3" t="s">
        <v>15542</v>
      </c>
      <c r="K9991" s="3" t="s">
        <v>15543</v>
      </c>
      <c r="L9991" s="3" t="s">
        <v>15542</v>
      </c>
      <c r="M9991" s="3" t="s">
        <v>15544</v>
      </c>
      <c r="N9991" s="3" t="s">
        <v>2943</v>
      </c>
    </row>
    <row r="9992">
      <c r="A9992" s="3">
        <v>1456.0</v>
      </c>
      <c r="B9992" s="3" t="s">
        <v>19423</v>
      </c>
      <c r="C9992" s="3" t="s">
        <v>11281</v>
      </c>
      <c r="D9992" s="3" t="s">
        <v>15545</v>
      </c>
      <c r="E9992" s="3" t="s">
        <v>20076</v>
      </c>
      <c r="F9992" s="3" t="s">
        <v>20077</v>
      </c>
    </row>
    <row r="9993">
      <c r="A9993" s="3">
        <v>1457.0</v>
      </c>
      <c r="B9993" s="3" t="s">
        <v>19423</v>
      </c>
      <c r="C9993" s="3" t="s">
        <v>11281</v>
      </c>
      <c r="D9993" s="3" t="s">
        <v>15548</v>
      </c>
      <c r="E9993" s="3" t="s">
        <v>20078</v>
      </c>
      <c r="F9993" s="3" t="s">
        <v>20079</v>
      </c>
    </row>
    <row r="9994">
      <c r="A9994" s="3">
        <v>1458.0</v>
      </c>
      <c r="B9994" s="3" t="s">
        <v>19423</v>
      </c>
      <c r="C9994" s="3" t="s">
        <v>11281</v>
      </c>
      <c r="D9994" s="3" t="s">
        <v>15551</v>
      </c>
      <c r="E9994" s="3" t="s">
        <v>15552</v>
      </c>
      <c r="F9994" s="3" t="s">
        <v>2830</v>
      </c>
    </row>
    <row r="9995">
      <c r="A9995" s="3">
        <v>1459.0</v>
      </c>
      <c r="B9995" s="3" t="s">
        <v>19423</v>
      </c>
      <c r="C9995" s="3" t="s">
        <v>11281</v>
      </c>
      <c r="D9995" s="3" t="s">
        <v>15553</v>
      </c>
      <c r="E9995" s="3" t="s">
        <v>15554</v>
      </c>
      <c r="F9995" s="3" t="s">
        <v>15555</v>
      </c>
      <c r="G9995" s="3"/>
      <c r="H9995" s="3" t="s">
        <v>15556</v>
      </c>
      <c r="I9995" s="3" t="s">
        <v>15557</v>
      </c>
      <c r="J9995" s="3" t="s">
        <v>15558</v>
      </c>
      <c r="K9995" s="3" t="s">
        <v>9545</v>
      </c>
      <c r="L9995" s="3" t="s">
        <v>15559</v>
      </c>
      <c r="M9995" s="3" t="s">
        <v>15560</v>
      </c>
      <c r="N9995" s="3" t="s">
        <v>15561</v>
      </c>
      <c r="O9995" s="3" t="s">
        <v>13035</v>
      </c>
      <c r="P9995" s="3" t="s">
        <v>13036</v>
      </c>
      <c r="Q9995" s="3" t="s">
        <v>13035</v>
      </c>
      <c r="R9995" s="3" t="s">
        <v>5852</v>
      </c>
      <c r="S9995" s="3" t="s">
        <v>9545</v>
      </c>
    </row>
    <row r="9996">
      <c r="A9996" s="3">
        <v>1460.0</v>
      </c>
      <c r="B9996" s="3" t="s">
        <v>19423</v>
      </c>
      <c r="C9996" s="3" t="s">
        <v>11281</v>
      </c>
      <c r="D9996" s="3" t="s">
        <v>15562</v>
      </c>
      <c r="E9996" s="3" t="s">
        <v>15563</v>
      </c>
      <c r="F9996" s="3" t="s">
        <v>15564</v>
      </c>
    </row>
    <row r="9997">
      <c r="A9997" s="3">
        <v>1461.0</v>
      </c>
      <c r="B9997" s="3" t="s">
        <v>19423</v>
      </c>
      <c r="C9997" s="3" t="s">
        <v>11281</v>
      </c>
      <c r="D9997" s="3" t="s">
        <v>15565</v>
      </c>
      <c r="E9997" s="3" t="s">
        <v>15566</v>
      </c>
      <c r="F9997" s="3" t="s">
        <v>15567</v>
      </c>
    </row>
    <row r="9998">
      <c r="A9998" s="3">
        <v>1462.0</v>
      </c>
      <c r="B9998" s="3" t="s">
        <v>19423</v>
      </c>
      <c r="C9998" s="3" t="s">
        <v>11281</v>
      </c>
      <c r="D9998" s="3" t="s">
        <v>15568</v>
      </c>
      <c r="E9998" s="3" t="s">
        <v>15569</v>
      </c>
      <c r="F9998" s="3" t="s">
        <v>15570</v>
      </c>
    </row>
    <row r="9999">
      <c r="A9999" s="3">
        <v>1463.0</v>
      </c>
      <c r="B9999" s="3" t="s">
        <v>19423</v>
      </c>
      <c r="C9999" s="3" t="s">
        <v>11281</v>
      </c>
      <c r="D9999" s="3" t="s">
        <v>15571</v>
      </c>
      <c r="E9999" s="3" t="s">
        <v>15572</v>
      </c>
      <c r="F9999" s="3" t="s">
        <v>15573</v>
      </c>
    </row>
    <row r="10000">
      <c r="A10000" s="3">
        <v>1464.0</v>
      </c>
      <c r="B10000" s="3" t="s">
        <v>19423</v>
      </c>
      <c r="C10000" s="3" t="s">
        <v>11281</v>
      </c>
      <c r="D10000" s="3" t="s">
        <v>15574</v>
      </c>
      <c r="E10000" s="3" t="s">
        <v>15575</v>
      </c>
      <c r="F10000" s="3" t="s">
        <v>15576</v>
      </c>
    </row>
    <row r="10001">
      <c r="A10001" s="3">
        <v>1465.0</v>
      </c>
      <c r="B10001" s="3" t="s">
        <v>19423</v>
      </c>
      <c r="C10001" s="3" t="s">
        <v>11281</v>
      </c>
      <c r="D10001" s="3" t="s">
        <v>15577</v>
      </c>
      <c r="E10001" s="3" t="s">
        <v>15578</v>
      </c>
      <c r="F10001" s="3" t="s">
        <v>15579</v>
      </c>
    </row>
    <row r="10002">
      <c r="A10002" s="3">
        <v>1466.0</v>
      </c>
      <c r="B10002" s="3" t="s">
        <v>19423</v>
      </c>
      <c r="C10002" s="3" t="s">
        <v>11281</v>
      </c>
      <c r="D10002" s="3" t="s">
        <v>15580</v>
      </c>
      <c r="E10002" s="3" t="s">
        <v>15581</v>
      </c>
      <c r="F10002" s="3" t="s">
        <v>15582</v>
      </c>
    </row>
    <row r="10003">
      <c r="A10003" s="3">
        <v>1467.0</v>
      </c>
      <c r="B10003" s="3" t="s">
        <v>19423</v>
      </c>
      <c r="C10003" s="3" t="s">
        <v>11281</v>
      </c>
      <c r="D10003" s="3" t="s">
        <v>15583</v>
      </c>
      <c r="E10003" s="3" t="s">
        <v>15584</v>
      </c>
      <c r="F10003" s="3" t="s">
        <v>15585</v>
      </c>
    </row>
    <row r="10004">
      <c r="A10004" s="3">
        <v>1468.0</v>
      </c>
      <c r="B10004" s="3" t="s">
        <v>19423</v>
      </c>
      <c r="C10004" s="3" t="s">
        <v>11281</v>
      </c>
      <c r="D10004" s="3" t="s">
        <v>15586</v>
      </c>
      <c r="E10004" s="3" t="s">
        <v>15587</v>
      </c>
      <c r="F10004" s="3" t="s">
        <v>15588</v>
      </c>
    </row>
    <row r="10005">
      <c r="A10005" s="3">
        <v>1469.0</v>
      </c>
      <c r="B10005" s="3" t="s">
        <v>19423</v>
      </c>
      <c r="C10005" s="3" t="s">
        <v>11281</v>
      </c>
      <c r="D10005" s="3" t="s">
        <v>15589</v>
      </c>
      <c r="E10005" s="3" t="s">
        <v>15590</v>
      </c>
      <c r="F10005" s="3" t="s">
        <v>15540</v>
      </c>
    </row>
    <row r="10006">
      <c r="A10006" s="3">
        <v>1470.0</v>
      </c>
      <c r="B10006" s="3" t="s">
        <v>19423</v>
      </c>
      <c r="C10006" s="3" t="s">
        <v>11281</v>
      </c>
      <c r="D10006" s="3" t="s">
        <v>15591</v>
      </c>
      <c r="E10006" s="3" t="s">
        <v>15592</v>
      </c>
      <c r="F10006" s="3" t="s">
        <v>2830</v>
      </c>
    </row>
    <row r="10007">
      <c r="A10007" s="3">
        <v>1471.0</v>
      </c>
      <c r="B10007" s="3" t="s">
        <v>19423</v>
      </c>
      <c r="C10007" s="3" t="s">
        <v>11281</v>
      </c>
      <c r="D10007" s="3" t="s">
        <v>15593</v>
      </c>
      <c r="E10007" s="3" t="s">
        <v>15594</v>
      </c>
      <c r="F10007" s="3" t="s">
        <v>15555</v>
      </c>
      <c r="G10007" s="3"/>
      <c r="H10007" s="3" t="s">
        <v>15595</v>
      </c>
      <c r="I10007" s="3" t="s">
        <v>8933</v>
      </c>
    </row>
    <row r="10008">
      <c r="A10008" s="3">
        <v>1472.0</v>
      </c>
      <c r="B10008" s="3" t="s">
        <v>19423</v>
      </c>
      <c r="C10008" s="3" t="s">
        <v>11281</v>
      </c>
      <c r="D10008" s="3" t="s">
        <v>15596</v>
      </c>
      <c r="E10008" s="3" t="s">
        <v>15597</v>
      </c>
      <c r="F10008" s="3" t="s">
        <v>15564</v>
      </c>
    </row>
    <row r="10009">
      <c r="A10009" s="3">
        <v>1473.0</v>
      </c>
      <c r="B10009" s="3" t="s">
        <v>19423</v>
      </c>
      <c r="C10009" s="3" t="s">
        <v>11281</v>
      </c>
      <c r="D10009" s="3" t="s">
        <v>15598</v>
      </c>
      <c r="E10009" s="3" t="s">
        <v>15599</v>
      </c>
      <c r="F10009" s="3" t="s">
        <v>15567</v>
      </c>
    </row>
    <row r="10010">
      <c r="A10010" s="3">
        <v>1474.0</v>
      </c>
      <c r="B10010" s="3" t="s">
        <v>19423</v>
      </c>
      <c r="C10010" s="3" t="s">
        <v>11281</v>
      </c>
      <c r="D10010" s="3" t="s">
        <v>15600</v>
      </c>
      <c r="E10010" s="3" t="s">
        <v>15601</v>
      </c>
      <c r="F10010" s="3" t="s">
        <v>15570</v>
      </c>
    </row>
    <row r="10011">
      <c r="A10011" s="3">
        <v>1475.0</v>
      </c>
      <c r="B10011" s="3" t="s">
        <v>19423</v>
      </c>
      <c r="C10011" s="3" t="s">
        <v>11281</v>
      </c>
      <c r="D10011" s="3" t="s">
        <v>15602</v>
      </c>
      <c r="E10011" s="3" t="s">
        <v>15603</v>
      </c>
      <c r="F10011" s="3" t="s">
        <v>15573</v>
      </c>
    </row>
    <row r="10012">
      <c r="A10012" s="3">
        <v>1476.0</v>
      </c>
      <c r="B10012" s="3" t="s">
        <v>19423</v>
      </c>
      <c r="C10012" s="3" t="s">
        <v>11281</v>
      </c>
      <c r="D10012" s="3" t="s">
        <v>7215</v>
      </c>
      <c r="E10012" s="3" t="s">
        <v>7214</v>
      </c>
      <c r="F10012" s="3" t="s">
        <v>7215</v>
      </c>
    </row>
    <row r="10013">
      <c r="A10013" s="3">
        <v>1477.0</v>
      </c>
      <c r="B10013" s="3" t="s">
        <v>19423</v>
      </c>
      <c r="C10013" s="3" t="s">
        <v>11281</v>
      </c>
      <c r="D10013" s="3" t="s">
        <v>7217</v>
      </c>
      <c r="E10013" s="3" t="s">
        <v>15604</v>
      </c>
      <c r="F10013" s="3" t="s">
        <v>15605</v>
      </c>
    </row>
    <row r="10014">
      <c r="A10014" s="3">
        <v>1478.0</v>
      </c>
      <c r="B10014" s="3" t="s">
        <v>19423</v>
      </c>
      <c r="C10014" s="3" t="s">
        <v>11281</v>
      </c>
      <c r="D10014" s="3" t="s">
        <v>7213</v>
      </c>
      <c r="E10014" s="3" t="s">
        <v>15606</v>
      </c>
      <c r="F10014" s="3" t="s">
        <v>7213</v>
      </c>
    </row>
    <row r="10015">
      <c r="A10015" s="3">
        <v>1479.0</v>
      </c>
      <c r="B10015" s="3" t="s">
        <v>19423</v>
      </c>
      <c r="C10015" s="3" t="s">
        <v>11281</v>
      </c>
      <c r="D10015" s="3" t="s">
        <v>2929</v>
      </c>
      <c r="E10015" s="3" t="s">
        <v>7220</v>
      </c>
      <c r="F10015" s="3" t="s">
        <v>2929</v>
      </c>
    </row>
    <row r="10016">
      <c r="A10016" s="3">
        <v>1480.0</v>
      </c>
      <c r="B10016" s="3" t="s">
        <v>19423</v>
      </c>
      <c r="C10016" s="3" t="s">
        <v>11281</v>
      </c>
      <c r="D10016" s="3" t="s">
        <v>15607</v>
      </c>
      <c r="E10016" s="3" t="s">
        <v>15608</v>
      </c>
      <c r="F10016" s="3" t="s">
        <v>15607</v>
      </c>
    </row>
    <row r="10017">
      <c r="A10017" s="3">
        <v>1481.0</v>
      </c>
      <c r="B10017" s="3" t="s">
        <v>19423</v>
      </c>
      <c r="C10017" s="3" t="s">
        <v>11281</v>
      </c>
      <c r="D10017" s="3" t="s">
        <v>15609</v>
      </c>
      <c r="E10017" s="3" t="s">
        <v>15610</v>
      </c>
      <c r="F10017" s="3" t="s">
        <v>15609</v>
      </c>
    </row>
    <row r="10018">
      <c r="A10018" s="3">
        <v>1482.0</v>
      </c>
      <c r="B10018" s="3" t="s">
        <v>19423</v>
      </c>
      <c r="C10018" s="3" t="s">
        <v>11281</v>
      </c>
      <c r="D10018" s="3" t="s">
        <v>15611</v>
      </c>
      <c r="E10018" s="3" t="s">
        <v>15612</v>
      </c>
      <c r="F10018" s="3" t="s">
        <v>15611</v>
      </c>
    </row>
    <row r="10019">
      <c r="A10019" s="3">
        <v>1483.0</v>
      </c>
      <c r="B10019" s="3" t="s">
        <v>19423</v>
      </c>
      <c r="C10019" s="3" t="s">
        <v>11281</v>
      </c>
      <c r="D10019" s="3" t="s">
        <v>15613</v>
      </c>
      <c r="E10019" s="3" t="s">
        <v>15614</v>
      </c>
      <c r="F10019" s="3" t="s">
        <v>15613</v>
      </c>
    </row>
    <row r="10020">
      <c r="A10020" s="3">
        <v>1484.0</v>
      </c>
      <c r="B10020" s="3" t="s">
        <v>19423</v>
      </c>
      <c r="C10020" s="3" t="s">
        <v>11281</v>
      </c>
      <c r="D10020" s="3" t="s">
        <v>15615</v>
      </c>
      <c r="E10020" s="3" t="s">
        <v>15616</v>
      </c>
      <c r="F10020" s="3" t="s">
        <v>15615</v>
      </c>
    </row>
    <row r="10021">
      <c r="A10021" s="3">
        <v>1485.0</v>
      </c>
      <c r="B10021" s="3" t="s">
        <v>19423</v>
      </c>
      <c r="C10021" s="3" t="s">
        <v>11281</v>
      </c>
      <c r="D10021" s="3" t="s">
        <v>15617</v>
      </c>
      <c r="E10021" s="3" t="s">
        <v>15618</v>
      </c>
      <c r="F10021" s="3" t="s">
        <v>15617</v>
      </c>
    </row>
    <row r="10022">
      <c r="A10022" s="3">
        <v>1486.0</v>
      </c>
      <c r="B10022" s="3" t="s">
        <v>19423</v>
      </c>
      <c r="C10022" s="3" t="s">
        <v>11281</v>
      </c>
      <c r="D10022" s="3" t="s">
        <v>15619</v>
      </c>
      <c r="E10022" s="3" t="s">
        <v>15620</v>
      </c>
      <c r="F10022" s="3" t="s">
        <v>15619</v>
      </c>
    </row>
    <row r="10023">
      <c r="A10023" s="3">
        <v>1487.0</v>
      </c>
      <c r="B10023" s="3" t="s">
        <v>19423</v>
      </c>
      <c r="C10023" s="3" t="s">
        <v>11281</v>
      </c>
      <c r="D10023" s="3" t="s">
        <v>2919</v>
      </c>
      <c r="E10023" s="3" t="s">
        <v>7223</v>
      </c>
      <c r="F10023" s="3" t="s">
        <v>2919</v>
      </c>
    </row>
    <row r="10024">
      <c r="A10024" s="3">
        <v>1488.0</v>
      </c>
      <c r="B10024" s="3" t="s">
        <v>19423</v>
      </c>
      <c r="C10024" s="3" t="s">
        <v>11281</v>
      </c>
      <c r="D10024" s="3" t="s">
        <v>15621</v>
      </c>
      <c r="E10024" s="3" t="s">
        <v>20080</v>
      </c>
      <c r="F10024" s="3" t="s">
        <v>20081</v>
      </c>
    </row>
    <row r="10025">
      <c r="A10025" s="3">
        <v>1489.0</v>
      </c>
      <c r="B10025" s="3" t="s">
        <v>19423</v>
      </c>
      <c r="C10025" s="3" t="s">
        <v>11281</v>
      </c>
      <c r="D10025" s="3" t="s">
        <v>15624</v>
      </c>
      <c r="E10025" s="3" t="s">
        <v>20082</v>
      </c>
      <c r="F10025" s="3" t="s">
        <v>20083</v>
      </c>
    </row>
    <row r="10026">
      <c r="A10026" s="3">
        <v>1490.0</v>
      </c>
      <c r="B10026" s="3" t="s">
        <v>19423</v>
      </c>
      <c r="C10026" s="3" t="s">
        <v>11281</v>
      </c>
      <c r="D10026" s="3" t="s">
        <v>2950</v>
      </c>
      <c r="E10026" s="3" t="s">
        <v>7228</v>
      </c>
      <c r="F10026" s="3" t="s">
        <v>2950</v>
      </c>
    </row>
    <row r="10027">
      <c r="A10027" s="3">
        <v>1491.0</v>
      </c>
      <c r="B10027" s="3" t="s">
        <v>19423</v>
      </c>
      <c r="C10027" s="3" t="s">
        <v>11281</v>
      </c>
      <c r="D10027" s="3" t="s">
        <v>15627</v>
      </c>
      <c r="E10027" s="3" t="s">
        <v>15628</v>
      </c>
      <c r="F10027" s="3" t="s">
        <v>15627</v>
      </c>
    </row>
    <row r="10028">
      <c r="A10028" s="3">
        <v>1492.0</v>
      </c>
      <c r="B10028" s="3" t="s">
        <v>19423</v>
      </c>
      <c r="C10028" s="3" t="s">
        <v>11281</v>
      </c>
      <c r="D10028" s="3" t="s">
        <v>15629</v>
      </c>
      <c r="E10028" s="3" t="s">
        <v>15630</v>
      </c>
      <c r="F10028" s="3" t="s">
        <v>15629</v>
      </c>
      <c r="G10028" s="3"/>
      <c r="H10028" s="3" t="s">
        <v>15631</v>
      </c>
      <c r="I10028" s="3" t="s">
        <v>15632</v>
      </c>
      <c r="J10028" s="3" t="s">
        <v>3441</v>
      </c>
      <c r="K10028" s="3" t="s">
        <v>15633</v>
      </c>
      <c r="L10028" s="3" t="s">
        <v>15634</v>
      </c>
      <c r="M10028" s="3" t="s">
        <v>15635</v>
      </c>
      <c r="N10028" s="3" t="s">
        <v>15636</v>
      </c>
      <c r="O10028" s="3" t="s">
        <v>15633</v>
      </c>
      <c r="P10028" s="3" t="s">
        <v>15637</v>
      </c>
      <c r="Q10028" s="3" t="s">
        <v>15635</v>
      </c>
      <c r="R10028" s="3" t="s">
        <v>15631</v>
      </c>
      <c r="S10028" s="3" t="s">
        <v>15634</v>
      </c>
      <c r="T10028" s="3" t="s">
        <v>15638</v>
      </c>
    </row>
    <row r="10029">
      <c r="A10029" s="3">
        <v>1493.0</v>
      </c>
      <c r="B10029" s="3" t="s">
        <v>19423</v>
      </c>
      <c r="C10029" s="3" t="s">
        <v>11281</v>
      </c>
      <c r="D10029" s="3" t="s">
        <v>15639</v>
      </c>
      <c r="E10029" s="3" t="s">
        <v>15640</v>
      </c>
      <c r="F10029" s="3" t="s">
        <v>15639</v>
      </c>
    </row>
    <row r="10030">
      <c r="A10030" s="3">
        <v>1494.0</v>
      </c>
      <c r="B10030" s="3" t="s">
        <v>19423</v>
      </c>
      <c r="C10030" s="3" t="s">
        <v>11281</v>
      </c>
      <c r="D10030" s="3" t="s">
        <v>15641</v>
      </c>
      <c r="E10030" s="3" t="s">
        <v>15642</v>
      </c>
      <c r="F10030" s="3" t="s">
        <v>15641</v>
      </c>
    </row>
    <row r="10031">
      <c r="A10031" s="3">
        <v>1495.0</v>
      </c>
      <c r="B10031" s="3" t="s">
        <v>19423</v>
      </c>
      <c r="C10031" s="3" t="s">
        <v>11281</v>
      </c>
      <c r="D10031" s="3" t="s">
        <v>15643</v>
      </c>
      <c r="E10031" s="3" t="s">
        <v>15644</v>
      </c>
      <c r="F10031" s="3" t="s">
        <v>15643</v>
      </c>
    </row>
    <row r="10032">
      <c r="A10032" s="3">
        <v>1496.0</v>
      </c>
      <c r="B10032" s="3" t="s">
        <v>19423</v>
      </c>
      <c r="C10032" s="3" t="s">
        <v>11281</v>
      </c>
      <c r="D10032" s="3" t="s">
        <v>2959</v>
      </c>
      <c r="E10032" s="3" t="s">
        <v>7230</v>
      </c>
      <c r="F10032" s="3" t="s">
        <v>2959</v>
      </c>
    </row>
    <row r="10033">
      <c r="A10033" s="3">
        <v>1497.0</v>
      </c>
      <c r="B10033" s="3" t="s">
        <v>19423</v>
      </c>
      <c r="C10033" s="3" t="s">
        <v>11281</v>
      </c>
      <c r="D10033" s="3" t="s">
        <v>15645</v>
      </c>
      <c r="E10033" s="3" t="s">
        <v>15646</v>
      </c>
      <c r="F10033" s="3" t="s">
        <v>15645</v>
      </c>
    </row>
    <row r="10034">
      <c r="A10034" s="3">
        <v>1498.0</v>
      </c>
      <c r="B10034" s="3" t="s">
        <v>19423</v>
      </c>
      <c r="C10034" s="3" t="s">
        <v>11281</v>
      </c>
      <c r="D10034" s="3" t="s">
        <v>15647</v>
      </c>
      <c r="E10034" s="3" t="s">
        <v>20084</v>
      </c>
      <c r="F10034" s="3" t="s">
        <v>20085</v>
      </c>
    </row>
    <row r="10035">
      <c r="A10035" s="3">
        <v>1499.0</v>
      </c>
      <c r="B10035" s="3" t="s">
        <v>19423</v>
      </c>
      <c r="C10035" s="3" t="s">
        <v>11281</v>
      </c>
      <c r="D10035" s="3" t="s">
        <v>15650</v>
      </c>
      <c r="E10035" s="3" t="s">
        <v>20086</v>
      </c>
      <c r="F10035" s="3" t="s">
        <v>20087</v>
      </c>
    </row>
    <row r="10036">
      <c r="A10036" s="3">
        <v>1500.0</v>
      </c>
      <c r="B10036" s="3" t="s">
        <v>19423</v>
      </c>
      <c r="C10036" s="3" t="s">
        <v>11281</v>
      </c>
      <c r="D10036" s="3" t="s">
        <v>2870</v>
      </c>
      <c r="E10036" s="3" t="s">
        <v>2869</v>
      </c>
      <c r="F10036" s="3" t="s">
        <v>2870</v>
      </c>
    </row>
    <row r="10037">
      <c r="A10037" s="3">
        <v>1501.0</v>
      </c>
      <c r="B10037" s="3" t="s">
        <v>19423</v>
      </c>
      <c r="C10037" s="3" t="s">
        <v>11281</v>
      </c>
      <c r="D10037" s="3" t="s">
        <v>2879</v>
      </c>
      <c r="E10037" s="3" t="s">
        <v>2878</v>
      </c>
      <c r="F10037" s="3" t="s">
        <v>2879</v>
      </c>
    </row>
    <row r="10038">
      <c r="A10038" s="3">
        <v>1502.0</v>
      </c>
      <c r="B10038" s="3" t="s">
        <v>19423</v>
      </c>
      <c r="C10038" s="3" t="s">
        <v>11281</v>
      </c>
      <c r="D10038" s="3" t="s">
        <v>15653</v>
      </c>
      <c r="E10038" s="3" t="s">
        <v>15654</v>
      </c>
      <c r="F10038" s="3" t="s">
        <v>15653</v>
      </c>
    </row>
    <row r="10039">
      <c r="A10039" s="3">
        <v>1503.0</v>
      </c>
      <c r="B10039" s="3" t="s">
        <v>19423</v>
      </c>
      <c r="C10039" s="3" t="s">
        <v>11281</v>
      </c>
      <c r="D10039" s="3" t="s">
        <v>8857</v>
      </c>
      <c r="E10039" s="3" t="s">
        <v>15655</v>
      </c>
      <c r="F10039" s="3" t="s">
        <v>8857</v>
      </c>
      <c r="G10039" s="3"/>
      <c r="H10039" s="3" t="s">
        <v>15656</v>
      </c>
      <c r="I10039" s="3" t="s">
        <v>8857</v>
      </c>
      <c r="J10039" s="3" t="s">
        <v>8858</v>
      </c>
    </row>
    <row r="10040">
      <c r="A10040" s="3">
        <v>1504.0</v>
      </c>
      <c r="B10040" s="3" t="s">
        <v>19423</v>
      </c>
      <c r="C10040" s="3" t="s">
        <v>11281</v>
      </c>
      <c r="D10040" s="3" t="s">
        <v>15657</v>
      </c>
      <c r="E10040" s="3" t="s">
        <v>15658</v>
      </c>
      <c r="F10040" s="3" t="s">
        <v>15657</v>
      </c>
    </row>
    <row r="10041">
      <c r="A10041" s="3">
        <v>1505.0</v>
      </c>
      <c r="B10041" s="3" t="s">
        <v>19423</v>
      </c>
      <c r="C10041" s="3" t="s">
        <v>11281</v>
      </c>
      <c r="D10041" s="3" t="s">
        <v>2826</v>
      </c>
      <c r="E10041" s="3" t="s">
        <v>7202</v>
      </c>
      <c r="F10041" s="3" t="s">
        <v>2826</v>
      </c>
    </row>
    <row r="10042">
      <c r="A10042" s="3">
        <v>1506.0</v>
      </c>
      <c r="B10042" s="3" t="s">
        <v>19423</v>
      </c>
      <c r="C10042" s="3" t="s">
        <v>11281</v>
      </c>
      <c r="D10042" s="3" t="s">
        <v>2971</v>
      </c>
      <c r="E10042" s="3" t="s">
        <v>7235</v>
      </c>
      <c r="F10042" s="3" t="s">
        <v>2971</v>
      </c>
      <c r="G10042" s="3"/>
      <c r="H10042" s="3" t="s">
        <v>15659</v>
      </c>
      <c r="I10042" s="3" t="s">
        <v>15660</v>
      </c>
      <c r="J10042" s="3" t="s">
        <v>15661</v>
      </c>
      <c r="K10042" s="3" t="s">
        <v>15662</v>
      </c>
    </row>
    <row r="10043">
      <c r="A10043" s="3">
        <v>1507.0</v>
      </c>
      <c r="B10043" s="3" t="s">
        <v>19423</v>
      </c>
      <c r="C10043" s="3" t="s">
        <v>11281</v>
      </c>
      <c r="D10043" s="3" t="s">
        <v>2980</v>
      </c>
      <c r="E10043" s="3" t="s">
        <v>7238</v>
      </c>
      <c r="F10043" s="3" t="s">
        <v>2980</v>
      </c>
    </row>
    <row r="10044">
      <c r="A10044" s="3">
        <v>1508.0</v>
      </c>
      <c r="B10044" s="3" t="s">
        <v>19423</v>
      </c>
      <c r="C10044" s="3" t="s">
        <v>11281</v>
      </c>
      <c r="D10044" s="3" t="s">
        <v>15663</v>
      </c>
      <c r="E10044" s="3" t="s">
        <v>15664</v>
      </c>
      <c r="F10044" s="3" t="s">
        <v>15663</v>
      </c>
      <c r="G10044" s="3"/>
      <c r="H10044" s="3" t="s">
        <v>15665</v>
      </c>
    </row>
    <row r="10045">
      <c r="A10045" s="3">
        <v>1509.0</v>
      </c>
      <c r="B10045" s="3" t="s">
        <v>19423</v>
      </c>
      <c r="C10045" s="3" t="s">
        <v>11281</v>
      </c>
      <c r="D10045" s="3" t="s">
        <v>15666</v>
      </c>
      <c r="E10045" s="3" t="s">
        <v>15667</v>
      </c>
      <c r="F10045" s="3" t="s">
        <v>15666</v>
      </c>
    </row>
    <row r="10046">
      <c r="A10046" s="3">
        <v>1510.0</v>
      </c>
      <c r="B10046" s="3" t="s">
        <v>19423</v>
      </c>
      <c r="C10046" s="3" t="s">
        <v>11281</v>
      </c>
      <c r="D10046" s="3" t="s">
        <v>15668</v>
      </c>
      <c r="E10046" s="3" t="s">
        <v>15669</v>
      </c>
      <c r="F10046" s="3" t="s">
        <v>15668</v>
      </c>
    </row>
    <row r="10047">
      <c r="A10047" s="3">
        <v>1511.0</v>
      </c>
      <c r="B10047" s="3" t="s">
        <v>19423</v>
      </c>
      <c r="C10047" s="3" t="s">
        <v>11281</v>
      </c>
      <c r="D10047" s="3" t="s">
        <v>15670</v>
      </c>
      <c r="E10047" s="3" t="s">
        <v>15671</v>
      </c>
      <c r="F10047" s="3" t="s">
        <v>15670</v>
      </c>
    </row>
    <row r="10048">
      <c r="A10048" s="3">
        <v>1512.0</v>
      </c>
      <c r="B10048" s="3" t="s">
        <v>19423</v>
      </c>
      <c r="C10048" s="3" t="s">
        <v>11281</v>
      </c>
      <c r="D10048" s="3" t="s">
        <v>15672</v>
      </c>
      <c r="E10048" s="3" t="s">
        <v>15673</v>
      </c>
      <c r="F10048" s="3" t="s">
        <v>15672</v>
      </c>
    </row>
    <row r="10049">
      <c r="A10049" s="3">
        <v>1513.0</v>
      </c>
      <c r="B10049" s="3" t="s">
        <v>19423</v>
      </c>
      <c r="C10049" s="3" t="s">
        <v>11281</v>
      </c>
      <c r="D10049" s="3" t="s">
        <v>15674</v>
      </c>
      <c r="E10049" s="3" t="s">
        <v>15675</v>
      </c>
      <c r="F10049" s="3" t="s">
        <v>15674</v>
      </c>
    </row>
    <row r="10050">
      <c r="A10050" s="3">
        <v>1514.0</v>
      </c>
      <c r="B10050" s="3" t="s">
        <v>19423</v>
      </c>
      <c r="C10050" s="3" t="s">
        <v>11281</v>
      </c>
      <c r="D10050" s="3" t="s">
        <v>15676</v>
      </c>
      <c r="E10050" s="3" t="s">
        <v>15677</v>
      </c>
      <c r="F10050" s="3" t="s">
        <v>15676</v>
      </c>
    </row>
    <row r="10051">
      <c r="A10051" s="3">
        <v>1515.0</v>
      </c>
      <c r="B10051" s="3" t="s">
        <v>19423</v>
      </c>
      <c r="C10051" s="3" t="s">
        <v>11281</v>
      </c>
      <c r="D10051" s="3" t="s">
        <v>15678</v>
      </c>
      <c r="E10051" s="3" t="s">
        <v>15679</v>
      </c>
      <c r="F10051" s="3" t="s">
        <v>15678</v>
      </c>
    </row>
    <row r="10052">
      <c r="A10052" s="3">
        <v>1516.0</v>
      </c>
      <c r="B10052" s="3" t="s">
        <v>19423</v>
      </c>
      <c r="C10052" s="3" t="s">
        <v>11281</v>
      </c>
      <c r="D10052" s="3" t="s">
        <v>15680</v>
      </c>
      <c r="E10052" s="3" t="s">
        <v>15681</v>
      </c>
      <c r="F10052" s="3" t="s">
        <v>15680</v>
      </c>
    </row>
    <row r="10053">
      <c r="A10053" s="3">
        <v>1517.0</v>
      </c>
      <c r="B10053" s="3" t="s">
        <v>19423</v>
      </c>
      <c r="C10053" s="3" t="s">
        <v>11281</v>
      </c>
      <c r="D10053" s="3" t="s">
        <v>15682</v>
      </c>
      <c r="E10053" s="3" t="s">
        <v>15683</v>
      </c>
      <c r="F10053" s="3" t="s">
        <v>15682</v>
      </c>
    </row>
    <row r="10054">
      <c r="A10054" s="3">
        <v>1518.0</v>
      </c>
      <c r="B10054" s="3" t="s">
        <v>19423</v>
      </c>
      <c r="C10054" s="3" t="s">
        <v>11281</v>
      </c>
      <c r="D10054" s="3" t="s">
        <v>15684</v>
      </c>
      <c r="E10054" s="3" t="s">
        <v>15685</v>
      </c>
      <c r="F10054" s="3" t="s">
        <v>15686</v>
      </c>
    </row>
    <row r="10055">
      <c r="A10055" s="3">
        <v>1519.0</v>
      </c>
      <c r="B10055" s="3" t="s">
        <v>19423</v>
      </c>
      <c r="C10055" s="3" t="s">
        <v>11281</v>
      </c>
      <c r="D10055" s="3" t="s">
        <v>15687</v>
      </c>
      <c r="E10055" s="3" t="s">
        <v>15688</v>
      </c>
      <c r="F10055" s="3" t="s">
        <v>15689</v>
      </c>
    </row>
    <row r="10056">
      <c r="A10056" s="3">
        <v>1520.0</v>
      </c>
      <c r="B10056" s="3" t="s">
        <v>19423</v>
      </c>
      <c r="C10056" s="3" t="s">
        <v>11281</v>
      </c>
      <c r="D10056" s="3" t="s">
        <v>15690</v>
      </c>
      <c r="E10056" s="3" t="s">
        <v>15691</v>
      </c>
      <c r="F10056" s="3" t="s">
        <v>15692</v>
      </c>
      <c r="G10056" s="3"/>
      <c r="H10056" s="3" t="s">
        <v>10517</v>
      </c>
      <c r="I10056" s="3" t="s">
        <v>15693</v>
      </c>
      <c r="J10056" s="3" t="s">
        <v>15694</v>
      </c>
      <c r="K10056" s="3" t="s">
        <v>14199</v>
      </c>
    </row>
    <row r="10057">
      <c r="A10057" s="3">
        <v>1521.0</v>
      </c>
      <c r="B10057" s="3" t="s">
        <v>19423</v>
      </c>
      <c r="C10057" s="3" t="s">
        <v>11281</v>
      </c>
      <c r="D10057" s="3" t="s">
        <v>15695</v>
      </c>
      <c r="E10057" s="3" t="s">
        <v>15696</v>
      </c>
      <c r="F10057" s="3" t="s">
        <v>15697</v>
      </c>
    </row>
    <row r="10058">
      <c r="A10058" s="3">
        <v>1522.0</v>
      </c>
      <c r="B10058" s="3" t="s">
        <v>19423</v>
      </c>
      <c r="C10058" s="3" t="s">
        <v>11281</v>
      </c>
      <c r="D10058" s="3" t="s">
        <v>15698</v>
      </c>
      <c r="E10058" s="3" t="s">
        <v>15699</v>
      </c>
      <c r="F10058" s="3" t="s">
        <v>15700</v>
      </c>
    </row>
    <row r="10059">
      <c r="A10059" s="3">
        <v>1523.0</v>
      </c>
      <c r="B10059" s="3" t="s">
        <v>19423</v>
      </c>
      <c r="C10059" s="3" t="s">
        <v>11281</v>
      </c>
      <c r="D10059" s="3" t="s">
        <v>15701</v>
      </c>
      <c r="E10059" s="3" t="s">
        <v>15702</v>
      </c>
      <c r="F10059" s="3" t="s">
        <v>15703</v>
      </c>
    </row>
    <row r="10060">
      <c r="A10060" s="3">
        <v>1524.0</v>
      </c>
      <c r="B10060" s="3" t="s">
        <v>19423</v>
      </c>
      <c r="C10060" s="3" t="s">
        <v>11281</v>
      </c>
      <c r="D10060" s="3" t="s">
        <v>15704</v>
      </c>
      <c r="E10060" s="3" t="s">
        <v>15705</v>
      </c>
      <c r="F10060" s="3" t="s">
        <v>15706</v>
      </c>
    </row>
    <row r="10061">
      <c r="A10061" s="3">
        <v>1525.0</v>
      </c>
      <c r="B10061" s="3" t="s">
        <v>19423</v>
      </c>
      <c r="C10061" s="3" t="s">
        <v>11281</v>
      </c>
      <c r="D10061" s="3" t="s">
        <v>15707</v>
      </c>
      <c r="E10061" s="3" t="s">
        <v>15708</v>
      </c>
      <c r="F10061" s="3" t="s">
        <v>15707</v>
      </c>
    </row>
    <row r="10062">
      <c r="A10062" s="3">
        <v>1526.0</v>
      </c>
      <c r="B10062" s="3" t="s">
        <v>19423</v>
      </c>
      <c r="C10062" s="3" t="s">
        <v>11281</v>
      </c>
      <c r="D10062" s="3" t="s">
        <v>15709</v>
      </c>
      <c r="E10062" s="3" t="s">
        <v>15710</v>
      </c>
      <c r="F10062" s="3" t="s">
        <v>15709</v>
      </c>
    </row>
    <row r="10063">
      <c r="A10063" s="3">
        <v>1527.0</v>
      </c>
      <c r="B10063" s="3" t="s">
        <v>19423</v>
      </c>
      <c r="C10063" s="3" t="s">
        <v>11281</v>
      </c>
      <c r="D10063" s="3" t="s">
        <v>15711</v>
      </c>
      <c r="E10063" s="3" t="s">
        <v>15712</v>
      </c>
      <c r="F10063" s="3" t="s">
        <v>15711</v>
      </c>
    </row>
    <row r="10064">
      <c r="A10064" s="3">
        <v>1528.0</v>
      </c>
      <c r="B10064" s="3" t="s">
        <v>19423</v>
      </c>
      <c r="C10064" s="3" t="s">
        <v>11281</v>
      </c>
      <c r="D10064" s="3" t="s">
        <v>15713</v>
      </c>
      <c r="E10064" s="3" t="s">
        <v>20088</v>
      </c>
      <c r="F10064" s="3" t="s">
        <v>20089</v>
      </c>
      <c r="G10064" s="3"/>
      <c r="H10064" s="3" t="s">
        <v>15714</v>
      </c>
      <c r="I10064" s="3" t="s">
        <v>15715</v>
      </c>
      <c r="J10064" s="3" t="s">
        <v>15716</v>
      </c>
      <c r="K10064" s="3" t="s">
        <v>15717</v>
      </c>
    </row>
    <row r="10065">
      <c r="A10065" s="3">
        <v>1529.0</v>
      </c>
      <c r="B10065" s="3" t="s">
        <v>19423</v>
      </c>
      <c r="C10065" s="3" t="s">
        <v>11281</v>
      </c>
      <c r="D10065" s="3" t="s">
        <v>15718</v>
      </c>
      <c r="E10065" s="3" t="s">
        <v>20090</v>
      </c>
      <c r="F10065" s="3" t="s">
        <v>20091</v>
      </c>
    </row>
    <row r="10066">
      <c r="A10066" s="3">
        <v>1530.0</v>
      </c>
      <c r="B10066" s="3" t="s">
        <v>19423</v>
      </c>
      <c r="C10066" s="3" t="s">
        <v>11281</v>
      </c>
      <c r="D10066" s="3" t="s">
        <v>15719</v>
      </c>
      <c r="E10066" s="3" t="s">
        <v>15720</v>
      </c>
      <c r="F10066" s="3" t="s">
        <v>15721</v>
      </c>
    </row>
    <row r="10067">
      <c r="A10067" s="3">
        <v>1531.0</v>
      </c>
      <c r="B10067" s="3" t="s">
        <v>19423</v>
      </c>
      <c r="C10067" s="3" t="s">
        <v>11281</v>
      </c>
      <c r="D10067" s="3" t="s">
        <v>15722</v>
      </c>
      <c r="E10067" s="3" t="s">
        <v>15723</v>
      </c>
      <c r="F10067" s="3" t="s">
        <v>15724</v>
      </c>
    </row>
    <row r="10068">
      <c r="A10068" s="3">
        <v>1532.0</v>
      </c>
      <c r="B10068" s="3" t="s">
        <v>19423</v>
      </c>
      <c r="C10068" s="3" t="s">
        <v>11281</v>
      </c>
      <c r="D10068" s="3" t="s">
        <v>15725</v>
      </c>
      <c r="E10068" s="3" t="s">
        <v>15726</v>
      </c>
      <c r="F10068" s="3" t="s">
        <v>15721</v>
      </c>
      <c r="G10068" s="3"/>
      <c r="H10068" s="3" t="s">
        <v>15727</v>
      </c>
      <c r="I10068" s="3" t="s">
        <v>15728</v>
      </c>
    </row>
    <row r="10069">
      <c r="A10069" s="3">
        <v>1533.0</v>
      </c>
      <c r="B10069" s="3" t="s">
        <v>19423</v>
      </c>
      <c r="C10069" s="3" t="s">
        <v>11281</v>
      </c>
      <c r="D10069" s="3" t="s">
        <v>15729</v>
      </c>
      <c r="E10069" s="3" t="s">
        <v>15730</v>
      </c>
      <c r="F10069" s="3" t="s">
        <v>15731</v>
      </c>
    </row>
    <row r="10070">
      <c r="A10070" s="3">
        <v>1534.0</v>
      </c>
      <c r="B10070" s="3" t="s">
        <v>19423</v>
      </c>
      <c r="C10070" s="3" t="s">
        <v>11281</v>
      </c>
      <c r="D10070" s="3" t="s">
        <v>15732</v>
      </c>
      <c r="E10070" s="3" t="s">
        <v>15733</v>
      </c>
      <c r="F10070" s="3" t="s">
        <v>15734</v>
      </c>
      <c r="G10070" s="3"/>
      <c r="H10070" s="3" t="s">
        <v>15727</v>
      </c>
    </row>
    <row r="10071">
      <c r="A10071" s="3">
        <v>1535.0</v>
      </c>
      <c r="B10071" s="3" t="s">
        <v>19423</v>
      </c>
      <c r="C10071" s="3" t="s">
        <v>11281</v>
      </c>
      <c r="D10071" s="3" t="s">
        <v>15735</v>
      </c>
      <c r="E10071" s="3" t="s">
        <v>15736</v>
      </c>
      <c r="F10071" s="3" t="s">
        <v>15737</v>
      </c>
    </row>
    <row r="10072">
      <c r="A10072" s="3">
        <v>1536.0</v>
      </c>
      <c r="B10072" s="3" t="s">
        <v>19423</v>
      </c>
      <c r="C10072" s="3" t="s">
        <v>11281</v>
      </c>
      <c r="D10072" s="3" t="s">
        <v>15738</v>
      </c>
      <c r="E10072" s="3" t="s">
        <v>15739</v>
      </c>
      <c r="F10072" s="3" t="s">
        <v>15740</v>
      </c>
    </row>
    <row r="10073">
      <c r="A10073" s="3">
        <v>1537.0</v>
      </c>
      <c r="B10073" s="3" t="s">
        <v>19423</v>
      </c>
      <c r="C10073" s="3" t="s">
        <v>11281</v>
      </c>
      <c r="D10073" s="3" t="s">
        <v>15741</v>
      </c>
      <c r="E10073" s="3" t="s">
        <v>15742</v>
      </c>
      <c r="F10073" s="3" t="s">
        <v>15743</v>
      </c>
    </row>
    <row r="10074">
      <c r="A10074" s="3">
        <v>1538.0</v>
      </c>
      <c r="B10074" s="3" t="s">
        <v>19423</v>
      </c>
      <c r="C10074" s="3" t="s">
        <v>11281</v>
      </c>
      <c r="D10074" s="3" t="s">
        <v>15744</v>
      </c>
      <c r="E10074" s="3" t="s">
        <v>15745</v>
      </c>
      <c r="F10074" s="3" t="s">
        <v>15724</v>
      </c>
    </row>
    <row r="10075">
      <c r="A10075" s="3">
        <v>1539.0</v>
      </c>
      <c r="B10075" s="3" t="s">
        <v>19423</v>
      </c>
      <c r="C10075" s="3" t="s">
        <v>11281</v>
      </c>
      <c r="D10075" s="3" t="s">
        <v>7169</v>
      </c>
      <c r="E10075" s="3" t="s">
        <v>15746</v>
      </c>
      <c r="F10075" s="3" t="s">
        <v>7169</v>
      </c>
      <c r="G10075" s="3"/>
      <c r="H10075" s="3" t="s">
        <v>7169</v>
      </c>
      <c r="I10075" s="3" t="s">
        <v>918</v>
      </c>
      <c r="J10075" s="3" t="s">
        <v>11202</v>
      </c>
      <c r="K10075" s="3" t="s">
        <v>11203</v>
      </c>
    </row>
    <row r="10076">
      <c r="A10076" s="3">
        <v>1540.0</v>
      </c>
      <c r="B10076" s="3" t="s">
        <v>19423</v>
      </c>
      <c r="C10076" s="3" t="s">
        <v>11281</v>
      </c>
      <c r="D10076" s="3" t="s">
        <v>15747</v>
      </c>
      <c r="E10076" s="3" t="s">
        <v>15748</v>
      </c>
      <c r="F10076" s="3" t="s">
        <v>15747</v>
      </c>
    </row>
    <row r="10077">
      <c r="A10077" s="3">
        <v>1541.0</v>
      </c>
      <c r="B10077" s="3" t="s">
        <v>19423</v>
      </c>
      <c r="C10077" s="3" t="s">
        <v>11281</v>
      </c>
      <c r="D10077" s="3" t="s">
        <v>15749</v>
      </c>
      <c r="E10077" s="3" t="s">
        <v>15750</v>
      </c>
      <c r="F10077" s="3" t="s">
        <v>15749</v>
      </c>
      <c r="G10077" s="3"/>
      <c r="H10077" s="3" t="s">
        <v>697</v>
      </c>
      <c r="I10077" s="3" t="s">
        <v>15751</v>
      </c>
      <c r="J10077" s="3" t="s">
        <v>15752</v>
      </c>
      <c r="K10077" s="3" t="s">
        <v>15753</v>
      </c>
      <c r="L10077" s="3" t="s">
        <v>12352</v>
      </c>
      <c r="M10077" s="3" t="s">
        <v>15754</v>
      </c>
      <c r="N10077" s="3" t="s">
        <v>15754</v>
      </c>
      <c r="O10077" s="3" t="s">
        <v>15755</v>
      </c>
      <c r="P10077" s="3" t="s">
        <v>15756</v>
      </c>
      <c r="Q10077" s="3" t="s">
        <v>15757</v>
      </c>
      <c r="R10077" s="3" t="s">
        <v>15758</v>
      </c>
      <c r="S10077" s="3" t="s">
        <v>15759</v>
      </c>
      <c r="T10077" s="3" t="s">
        <v>697</v>
      </c>
      <c r="U10077" s="3" t="s">
        <v>15760</v>
      </c>
      <c r="V10077" s="3" t="s">
        <v>15761</v>
      </c>
      <c r="W10077" s="3" t="s">
        <v>15762</v>
      </c>
      <c r="X10077" s="3" t="s">
        <v>12418</v>
      </c>
      <c r="Y10077" s="3" t="s">
        <v>15763</v>
      </c>
      <c r="Z10077" s="3" t="s">
        <v>2997</v>
      </c>
      <c r="AA10077" s="3" t="s">
        <v>697</v>
      </c>
      <c r="AB10077" s="3" t="s">
        <v>15764</v>
      </c>
      <c r="AC10077" s="3" t="s">
        <v>15765</v>
      </c>
      <c r="AD10077" s="3" t="s">
        <v>15766</v>
      </c>
      <c r="AE10077" s="3" t="s">
        <v>2997</v>
      </c>
      <c r="AF10077" s="3" t="s">
        <v>697</v>
      </c>
      <c r="AG10077" s="3" t="s">
        <v>2122</v>
      </c>
      <c r="AH10077" s="3" t="s">
        <v>15754</v>
      </c>
      <c r="AI10077" s="3" t="s">
        <v>11735</v>
      </c>
      <c r="AJ10077" s="3" t="s">
        <v>11736</v>
      </c>
      <c r="AK10077" s="3" t="s">
        <v>11737</v>
      </c>
      <c r="AL10077" s="3" t="s">
        <v>11738</v>
      </c>
      <c r="AM10077" s="3" t="s">
        <v>11739</v>
      </c>
      <c r="AN10077" s="3" t="s">
        <v>11740</v>
      </c>
      <c r="AO10077" s="3" t="s">
        <v>11741</v>
      </c>
      <c r="AP10077" s="3" t="s">
        <v>11742</v>
      </c>
      <c r="AQ10077" s="3" t="s">
        <v>11743</v>
      </c>
      <c r="AR10077" s="3" t="s">
        <v>11744</v>
      </c>
      <c r="AS10077" s="3" t="s">
        <v>11745</v>
      </c>
      <c r="AT10077" s="3" t="s">
        <v>697</v>
      </c>
      <c r="AU10077" s="3" t="s">
        <v>15767</v>
      </c>
    </row>
    <row r="10078">
      <c r="A10078" s="3">
        <v>1542.0</v>
      </c>
      <c r="B10078" s="3" t="s">
        <v>19423</v>
      </c>
      <c r="C10078" s="3" t="s">
        <v>11281</v>
      </c>
      <c r="D10078" s="3" t="s">
        <v>15768</v>
      </c>
      <c r="E10078" s="3" t="s">
        <v>15769</v>
      </c>
      <c r="F10078" s="3" t="s">
        <v>15768</v>
      </c>
    </row>
    <row r="10079">
      <c r="A10079" s="3">
        <v>1543.0</v>
      </c>
      <c r="B10079" s="3" t="s">
        <v>19423</v>
      </c>
      <c r="C10079" s="3" t="s">
        <v>11281</v>
      </c>
      <c r="D10079" s="3" t="s">
        <v>15770</v>
      </c>
      <c r="E10079" s="3" t="s">
        <v>15771</v>
      </c>
      <c r="F10079" s="3" t="s">
        <v>15770</v>
      </c>
    </row>
    <row r="10080">
      <c r="A10080" s="3">
        <v>1544.0</v>
      </c>
      <c r="B10080" s="3" t="s">
        <v>19423</v>
      </c>
      <c r="C10080" s="3" t="s">
        <v>11281</v>
      </c>
      <c r="D10080" s="3" t="s">
        <v>15772</v>
      </c>
      <c r="E10080" s="3" t="s">
        <v>15773</v>
      </c>
      <c r="F10080" s="3" t="s">
        <v>15772</v>
      </c>
    </row>
    <row r="10081">
      <c r="A10081" s="3">
        <v>1545.0</v>
      </c>
      <c r="B10081" s="3" t="s">
        <v>19423</v>
      </c>
      <c r="C10081" s="3" t="s">
        <v>11281</v>
      </c>
      <c r="D10081" s="3" t="s">
        <v>15774</v>
      </c>
      <c r="E10081" s="3" t="s">
        <v>15775</v>
      </c>
      <c r="F10081" s="3" t="s">
        <v>15774</v>
      </c>
    </row>
    <row r="10082">
      <c r="A10082" s="3">
        <v>1546.0</v>
      </c>
      <c r="B10082" s="3" t="s">
        <v>19423</v>
      </c>
      <c r="C10082" s="3" t="s">
        <v>11281</v>
      </c>
      <c r="D10082" s="3" t="s">
        <v>15776</v>
      </c>
      <c r="E10082" s="3" t="s">
        <v>15777</v>
      </c>
      <c r="F10082" s="3" t="s">
        <v>15776</v>
      </c>
    </row>
    <row r="10083">
      <c r="A10083" s="3">
        <v>1547.0</v>
      </c>
      <c r="B10083" s="3" t="s">
        <v>19423</v>
      </c>
      <c r="C10083" s="3" t="s">
        <v>11281</v>
      </c>
      <c r="D10083" s="3" t="s">
        <v>15778</v>
      </c>
      <c r="E10083" s="3" t="s">
        <v>15779</v>
      </c>
      <c r="F10083" s="3" t="s">
        <v>15778</v>
      </c>
    </row>
    <row r="10084">
      <c r="A10084" s="3">
        <v>1548.0</v>
      </c>
      <c r="B10084" s="3" t="s">
        <v>19423</v>
      </c>
      <c r="C10084" s="3" t="s">
        <v>11281</v>
      </c>
      <c r="D10084" s="3" t="s">
        <v>15780</v>
      </c>
      <c r="E10084" s="3" t="s">
        <v>15781</v>
      </c>
      <c r="F10084" s="3" t="s">
        <v>15780</v>
      </c>
    </row>
    <row r="10085">
      <c r="A10085" s="3">
        <v>1549.0</v>
      </c>
      <c r="B10085" s="3" t="s">
        <v>19423</v>
      </c>
      <c r="C10085" s="3" t="s">
        <v>11281</v>
      </c>
      <c r="D10085" s="3" t="s">
        <v>15782</v>
      </c>
      <c r="E10085" s="3" t="s">
        <v>15783</v>
      </c>
      <c r="F10085" s="3" t="s">
        <v>15782</v>
      </c>
    </row>
    <row r="10086">
      <c r="A10086" s="3">
        <v>1550.0</v>
      </c>
      <c r="B10086" s="3" t="s">
        <v>19423</v>
      </c>
      <c r="C10086" s="3" t="s">
        <v>11281</v>
      </c>
      <c r="D10086" s="3" t="s">
        <v>15784</v>
      </c>
      <c r="E10086" s="3" t="s">
        <v>15785</v>
      </c>
      <c r="F10086" s="3" t="s">
        <v>15784</v>
      </c>
      <c r="G10086" s="3"/>
      <c r="H10086" s="3" t="s">
        <v>15786</v>
      </c>
      <c r="I10086" s="3" t="s">
        <v>15787</v>
      </c>
      <c r="J10086" s="3" t="s">
        <v>15788</v>
      </c>
      <c r="K10086" s="3" t="s">
        <v>10880</v>
      </c>
      <c r="L10086" s="3" t="s">
        <v>5191</v>
      </c>
      <c r="M10086" s="3" t="s">
        <v>15789</v>
      </c>
      <c r="N10086" s="3" t="s">
        <v>15790</v>
      </c>
    </row>
    <row r="10087">
      <c r="A10087" s="3">
        <v>1551.0</v>
      </c>
      <c r="B10087" s="3" t="s">
        <v>19423</v>
      </c>
      <c r="C10087" s="3" t="s">
        <v>11281</v>
      </c>
      <c r="D10087" s="3" t="s">
        <v>15791</v>
      </c>
      <c r="E10087" s="3" t="s">
        <v>15792</v>
      </c>
      <c r="F10087" s="3" t="s">
        <v>15791</v>
      </c>
    </row>
    <row r="10088">
      <c r="A10088" s="3">
        <v>1552.0</v>
      </c>
      <c r="B10088" s="3" t="s">
        <v>19423</v>
      </c>
      <c r="C10088" s="3" t="s">
        <v>11281</v>
      </c>
      <c r="D10088" s="3" t="s">
        <v>15793</v>
      </c>
      <c r="E10088" s="3" t="s">
        <v>15794</v>
      </c>
      <c r="F10088" s="3" t="s">
        <v>15793</v>
      </c>
    </row>
    <row r="10089">
      <c r="A10089" s="3">
        <v>1553.0</v>
      </c>
      <c r="B10089" s="3" t="s">
        <v>19423</v>
      </c>
      <c r="C10089" s="3" t="s">
        <v>11281</v>
      </c>
      <c r="D10089" s="3" t="s">
        <v>15795</v>
      </c>
      <c r="E10089" s="3" t="s">
        <v>15796</v>
      </c>
      <c r="F10089" s="3" t="s">
        <v>15795</v>
      </c>
    </row>
    <row r="10090">
      <c r="A10090" s="3">
        <v>1554.0</v>
      </c>
      <c r="B10090" s="3" t="s">
        <v>19423</v>
      </c>
      <c r="C10090" s="3" t="s">
        <v>11281</v>
      </c>
      <c r="D10090" s="3" t="s">
        <v>15797</v>
      </c>
      <c r="E10090" s="3" t="s">
        <v>15798</v>
      </c>
      <c r="F10090" s="3" t="s">
        <v>15797</v>
      </c>
    </row>
    <row r="10091">
      <c r="A10091" s="3">
        <v>1555.0</v>
      </c>
      <c r="B10091" s="3" t="s">
        <v>19423</v>
      </c>
      <c r="C10091" s="3" t="s">
        <v>11281</v>
      </c>
      <c r="D10091" s="3" t="s">
        <v>15799</v>
      </c>
      <c r="E10091" s="3" t="s">
        <v>15800</v>
      </c>
      <c r="F10091" s="3" t="s">
        <v>15799</v>
      </c>
    </row>
    <row r="10092">
      <c r="A10092" s="3">
        <v>1556.0</v>
      </c>
      <c r="B10092" s="3" t="s">
        <v>19423</v>
      </c>
      <c r="C10092" s="3" t="s">
        <v>11281</v>
      </c>
      <c r="D10092" s="3" t="s">
        <v>15801</v>
      </c>
      <c r="E10092" s="3" t="s">
        <v>15802</v>
      </c>
      <c r="F10092" s="3" t="s">
        <v>15801</v>
      </c>
    </row>
    <row r="10093">
      <c r="A10093" s="3">
        <v>1557.0</v>
      </c>
      <c r="B10093" s="3" t="s">
        <v>19423</v>
      </c>
      <c r="C10093" s="3" t="s">
        <v>11281</v>
      </c>
      <c r="D10093" s="3" t="s">
        <v>15803</v>
      </c>
      <c r="E10093" s="3" t="s">
        <v>15804</v>
      </c>
      <c r="F10093" s="3" t="s">
        <v>15803</v>
      </c>
    </row>
    <row r="10094">
      <c r="A10094" s="3">
        <v>1558.0</v>
      </c>
      <c r="B10094" s="3" t="s">
        <v>19423</v>
      </c>
      <c r="C10094" s="3" t="s">
        <v>11281</v>
      </c>
      <c r="D10094" s="3" t="s">
        <v>15805</v>
      </c>
      <c r="E10094" s="3" t="s">
        <v>15806</v>
      </c>
      <c r="F10094" s="3" t="s">
        <v>15805</v>
      </c>
    </row>
    <row r="10095">
      <c r="A10095" s="3">
        <v>1559.0</v>
      </c>
      <c r="B10095" s="3" t="s">
        <v>19423</v>
      </c>
      <c r="C10095" s="3" t="s">
        <v>11281</v>
      </c>
      <c r="D10095" s="3" t="s">
        <v>15807</v>
      </c>
      <c r="E10095" s="3" t="s">
        <v>15808</v>
      </c>
      <c r="F10095" s="3" t="s">
        <v>15807</v>
      </c>
    </row>
    <row r="10096">
      <c r="A10096" s="3">
        <v>1560.0</v>
      </c>
      <c r="B10096" s="3" t="s">
        <v>19423</v>
      </c>
      <c r="C10096" s="3" t="s">
        <v>11281</v>
      </c>
      <c r="D10096" s="3" t="s">
        <v>15809</v>
      </c>
      <c r="E10096" s="3" t="s">
        <v>15810</v>
      </c>
      <c r="F10096" s="3" t="s">
        <v>15811</v>
      </c>
    </row>
    <row r="10097">
      <c r="A10097" s="3">
        <v>1561.0</v>
      </c>
      <c r="B10097" s="3" t="s">
        <v>19423</v>
      </c>
      <c r="C10097" s="3" t="s">
        <v>11281</v>
      </c>
      <c r="D10097" s="3" t="s">
        <v>15812</v>
      </c>
      <c r="E10097" s="3" t="s">
        <v>15813</v>
      </c>
      <c r="F10097" s="3" t="s">
        <v>15814</v>
      </c>
    </row>
    <row r="10098">
      <c r="A10098" s="3">
        <v>1562.0</v>
      </c>
      <c r="B10098" s="3" t="s">
        <v>19423</v>
      </c>
      <c r="C10098" s="3" t="s">
        <v>11281</v>
      </c>
      <c r="D10098" s="3" t="s">
        <v>15815</v>
      </c>
      <c r="E10098" s="3" t="s">
        <v>20092</v>
      </c>
      <c r="F10098" s="3" t="s">
        <v>20093</v>
      </c>
    </row>
    <row r="10099">
      <c r="A10099" s="3">
        <v>1563.0</v>
      </c>
      <c r="B10099" s="3" t="s">
        <v>19423</v>
      </c>
      <c r="C10099" s="3" t="s">
        <v>11281</v>
      </c>
      <c r="D10099" s="3" t="s">
        <v>15818</v>
      </c>
      <c r="E10099" s="3" t="s">
        <v>20094</v>
      </c>
      <c r="F10099" s="3" t="s">
        <v>20095</v>
      </c>
    </row>
    <row r="10100">
      <c r="A10100" s="3">
        <v>1564.0</v>
      </c>
      <c r="B10100" s="3" t="s">
        <v>19423</v>
      </c>
      <c r="C10100" s="3" t="s">
        <v>11281</v>
      </c>
      <c r="D10100" s="3" t="s">
        <v>15821</v>
      </c>
      <c r="E10100" s="3" t="s">
        <v>20096</v>
      </c>
      <c r="F10100" s="3" t="s">
        <v>20097</v>
      </c>
      <c r="G10100" s="3"/>
      <c r="H10100" s="3" t="s">
        <v>15824</v>
      </c>
      <c r="I10100" s="3" t="s">
        <v>15825</v>
      </c>
      <c r="J10100" s="3" t="s">
        <v>14586</v>
      </c>
      <c r="K10100" s="3" t="s">
        <v>15826</v>
      </c>
      <c r="L10100" s="3" t="s">
        <v>15827</v>
      </c>
      <c r="M10100" s="3" t="s">
        <v>3036</v>
      </c>
      <c r="N10100" s="3" t="s">
        <v>15828</v>
      </c>
      <c r="O10100" s="3" t="s">
        <v>15827</v>
      </c>
      <c r="P10100" s="3" t="s">
        <v>14586</v>
      </c>
    </row>
    <row r="10101">
      <c r="A10101" s="3">
        <v>1565.0</v>
      </c>
      <c r="B10101" s="3" t="s">
        <v>19423</v>
      </c>
      <c r="C10101" s="3" t="s">
        <v>11281</v>
      </c>
      <c r="D10101" s="3" t="s">
        <v>15829</v>
      </c>
      <c r="E10101" s="3" t="s">
        <v>15830</v>
      </c>
      <c r="F10101" s="3" t="s">
        <v>15831</v>
      </c>
      <c r="G10101" s="3"/>
      <c r="H10101" s="3" t="s">
        <v>15832</v>
      </c>
      <c r="I10101" s="3" t="s">
        <v>15833</v>
      </c>
      <c r="J10101" s="3" t="s">
        <v>9645</v>
      </c>
      <c r="K10101" s="3" t="s">
        <v>9877</v>
      </c>
      <c r="L10101" s="3" t="s">
        <v>15834</v>
      </c>
      <c r="M10101" s="3" t="s">
        <v>9645</v>
      </c>
      <c r="N10101" s="3" t="s">
        <v>15835</v>
      </c>
      <c r="O10101" s="3" t="s">
        <v>9877</v>
      </c>
      <c r="P10101" s="3" t="s">
        <v>9877</v>
      </c>
      <c r="Q10101" s="3" t="s">
        <v>9645</v>
      </c>
      <c r="R10101" s="3" t="s">
        <v>9877</v>
      </c>
      <c r="S10101" s="3" t="s">
        <v>15836</v>
      </c>
      <c r="T10101" s="3" t="s">
        <v>9645</v>
      </c>
      <c r="U10101" s="3" t="s">
        <v>9877</v>
      </c>
      <c r="V10101" s="3" t="s">
        <v>9645</v>
      </c>
      <c r="W10101" s="3" t="s">
        <v>15837</v>
      </c>
      <c r="X10101" s="3" t="s">
        <v>9877</v>
      </c>
      <c r="Y10101" s="3" t="s">
        <v>6226</v>
      </c>
      <c r="Z10101" s="3" t="s">
        <v>15838</v>
      </c>
      <c r="AA10101" s="3" t="s">
        <v>15839</v>
      </c>
      <c r="AB10101" s="3" t="s">
        <v>15840</v>
      </c>
      <c r="AC10101" s="3" t="s">
        <v>9877</v>
      </c>
      <c r="AD10101" s="3" t="s">
        <v>15841</v>
      </c>
      <c r="AE10101" s="3" t="s">
        <v>15842</v>
      </c>
      <c r="AF10101" s="3" t="s">
        <v>9645</v>
      </c>
    </row>
    <row r="10102">
      <c r="A10102" s="3">
        <v>1566.0</v>
      </c>
      <c r="B10102" s="3" t="s">
        <v>19423</v>
      </c>
      <c r="C10102" s="3" t="s">
        <v>11281</v>
      </c>
      <c r="D10102" s="3" t="s">
        <v>15843</v>
      </c>
      <c r="E10102" s="3" t="s">
        <v>15844</v>
      </c>
      <c r="F10102" s="3" t="s">
        <v>15843</v>
      </c>
    </row>
    <row r="10103">
      <c r="A10103" s="3">
        <v>1567.0</v>
      </c>
      <c r="B10103" s="3" t="s">
        <v>19423</v>
      </c>
      <c r="C10103" s="3" t="s">
        <v>11281</v>
      </c>
      <c r="D10103" s="3" t="s">
        <v>15845</v>
      </c>
      <c r="E10103" s="3" t="s">
        <v>15846</v>
      </c>
      <c r="F10103" s="3" t="s">
        <v>15845</v>
      </c>
    </row>
    <row r="10104">
      <c r="A10104" s="3">
        <v>1568.0</v>
      </c>
      <c r="B10104" s="3" t="s">
        <v>19423</v>
      </c>
      <c r="C10104" s="3" t="s">
        <v>11281</v>
      </c>
      <c r="D10104" s="3" t="s">
        <v>15847</v>
      </c>
      <c r="E10104" s="3" t="s">
        <v>15848</v>
      </c>
      <c r="F10104" s="3" t="s">
        <v>15847</v>
      </c>
    </row>
    <row r="10105">
      <c r="A10105" s="3">
        <v>1569.0</v>
      </c>
      <c r="B10105" s="3" t="s">
        <v>19423</v>
      </c>
      <c r="C10105" s="3" t="s">
        <v>11281</v>
      </c>
      <c r="D10105" s="3" t="s">
        <v>15849</v>
      </c>
      <c r="E10105" s="3" t="s">
        <v>15850</v>
      </c>
      <c r="F10105" s="3" t="s">
        <v>15849</v>
      </c>
    </row>
    <row r="10106">
      <c r="A10106" s="3">
        <v>1570.0</v>
      </c>
      <c r="B10106" s="3" t="s">
        <v>19423</v>
      </c>
      <c r="C10106" s="3" t="s">
        <v>11281</v>
      </c>
      <c r="D10106" s="3" t="s">
        <v>15851</v>
      </c>
      <c r="E10106" s="3" t="s">
        <v>15852</v>
      </c>
      <c r="F10106" s="3" t="s">
        <v>15851</v>
      </c>
    </row>
    <row r="10107">
      <c r="A10107" s="3">
        <v>1571.0</v>
      </c>
      <c r="B10107" s="3" t="s">
        <v>19423</v>
      </c>
      <c r="C10107" s="3" t="s">
        <v>11281</v>
      </c>
      <c r="D10107" s="3" t="s">
        <v>15853</v>
      </c>
      <c r="E10107" s="3" t="s">
        <v>15854</v>
      </c>
      <c r="F10107" s="3" t="s">
        <v>15853</v>
      </c>
      <c r="G10107" s="3"/>
      <c r="H10107" s="3" t="s">
        <v>15855</v>
      </c>
      <c r="I10107" s="3" t="s">
        <v>15856</v>
      </c>
      <c r="J10107" s="3" t="s">
        <v>15856</v>
      </c>
      <c r="K10107" s="3" t="s">
        <v>15857</v>
      </c>
      <c r="L10107" s="3" t="s">
        <v>15858</v>
      </c>
      <c r="M10107" s="3" t="s">
        <v>15856</v>
      </c>
      <c r="N10107" s="3" t="s">
        <v>15859</v>
      </c>
      <c r="O10107" s="3" t="s">
        <v>15860</v>
      </c>
    </row>
    <row r="10108">
      <c r="A10108" s="3">
        <v>1572.0</v>
      </c>
      <c r="B10108" s="3" t="s">
        <v>19423</v>
      </c>
      <c r="C10108" s="3" t="s">
        <v>11281</v>
      </c>
      <c r="D10108" s="3" t="s">
        <v>15861</v>
      </c>
      <c r="E10108" s="3" t="s">
        <v>15862</v>
      </c>
      <c r="F10108" s="3" t="s">
        <v>15861</v>
      </c>
    </row>
    <row r="10109">
      <c r="A10109" s="3">
        <v>1573.0</v>
      </c>
      <c r="B10109" s="3" t="s">
        <v>19423</v>
      </c>
      <c r="C10109" s="3" t="s">
        <v>11281</v>
      </c>
      <c r="D10109" s="3" t="s">
        <v>15863</v>
      </c>
      <c r="E10109" s="3" t="s">
        <v>15864</v>
      </c>
      <c r="F10109" s="3" t="s">
        <v>15863</v>
      </c>
    </row>
    <row r="10110">
      <c r="A10110" s="3">
        <v>1574.0</v>
      </c>
      <c r="B10110" s="3" t="s">
        <v>19423</v>
      </c>
      <c r="C10110" s="3" t="s">
        <v>11281</v>
      </c>
      <c r="D10110" s="3" t="s">
        <v>15865</v>
      </c>
      <c r="E10110" s="3" t="s">
        <v>15866</v>
      </c>
      <c r="F10110" s="3" t="s">
        <v>15865</v>
      </c>
    </row>
    <row r="10111">
      <c r="A10111" s="3">
        <v>1575.0</v>
      </c>
      <c r="B10111" s="3" t="s">
        <v>19423</v>
      </c>
      <c r="C10111" s="3" t="s">
        <v>11281</v>
      </c>
      <c r="D10111" s="3" t="s">
        <v>15867</v>
      </c>
      <c r="E10111" s="3" t="s">
        <v>15868</v>
      </c>
      <c r="F10111" s="3" t="s">
        <v>15867</v>
      </c>
    </row>
    <row r="10112">
      <c r="A10112" s="3">
        <v>1576.0</v>
      </c>
      <c r="B10112" s="3" t="s">
        <v>19423</v>
      </c>
      <c r="C10112" s="3" t="s">
        <v>11281</v>
      </c>
      <c r="D10112" s="3" t="s">
        <v>3101</v>
      </c>
      <c r="E10112" s="3" t="s">
        <v>7252</v>
      </c>
      <c r="F10112" s="3" t="s">
        <v>3101</v>
      </c>
    </row>
    <row r="10113">
      <c r="A10113" s="3">
        <v>1577.0</v>
      </c>
      <c r="B10113" s="3" t="s">
        <v>19423</v>
      </c>
      <c r="C10113" s="3" t="s">
        <v>11281</v>
      </c>
      <c r="D10113" s="3" t="s">
        <v>15869</v>
      </c>
      <c r="E10113" s="3" t="s">
        <v>15870</v>
      </c>
      <c r="F10113" s="3" t="s">
        <v>15869</v>
      </c>
    </row>
    <row r="10114">
      <c r="A10114" s="3">
        <v>1578.0</v>
      </c>
      <c r="B10114" s="3" t="s">
        <v>19423</v>
      </c>
      <c r="C10114" s="3" t="s">
        <v>11281</v>
      </c>
      <c r="D10114" s="3" t="s">
        <v>3110</v>
      </c>
      <c r="E10114" s="3" t="s">
        <v>7255</v>
      </c>
      <c r="F10114" s="3" t="s">
        <v>3110</v>
      </c>
    </row>
    <row r="10115">
      <c r="A10115" s="3">
        <v>1579.0</v>
      </c>
      <c r="B10115" s="3" t="s">
        <v>19423</v>
      </c>
      <c r="C10115" s="3" t="s">
        <v>11281</v>
      </c>
      <c r="D10115" s="3" t="s">
        <v>15871</v>
      </c>
      <c r="E10115" s="3" t="s">
        <v>15872</v>
      </c>
      <c r="F10115" s="3" t="s">
        <v>15871</v>
      </c>
    </row>
    <row r="10116">
      <c r="A10116" s="3">
        <v>1580.0</v>
      </c>
      <c r="B10116" s="3" t="s">
        <v>19423</v>
      </c>
      <c r="C10116" s="3" t="s">
        <v>11281</v>
      </c>
      <c r="D10116" s="3" t="s">
        <v>15873</v>
      </c>
      <c r="E10116" s="3" t="s">
        <v>15874</v>
      </c>
      <c r="F10116" s="3" t="s">
        <v>15873</v>
      </c>
    </row>
    <row r="10117">
      <c r="A10117" s="3">
        <v>1581.0</v>
      </c>
      <c r="B10117" s="3" t="s">
        <v>19423</v>
      </c>
      <c r="C10117" s="3" t="s">
        <v>11281</v>
      </c>
      <c r="D10117" s="3" t="s">
        <v>3098</v>
      </c>
      <c r="E10117" s="3" t="s">
        <v>15875</v>
      </c>
      <c r="F10117" s="3" t="s">
        <v>3098</v>
      </c>
      <c r="G10117" s="3"/>
      <c r="H10117" s="3" t="s">
        <v>3092</v>
      </c>
    </row>
    <row r="10118">
      <c r="A10118" s="3">
        <v>1582.0</v>
      </c>
      <c r="B10118" s="3" t="s">
        <v>19423</v>
      </c>
      <c r="C10118" s="3" t="s">
        <v>11281</v>
      </c>
      <c r="D10118" s="3" t="s">
        <v>15876</v>
      </c>
      <c r="E10118" s="3" t="s">
        <v>15877</v>
      </c>
      <c r="F10118" s="3" t="s">
        <v>15876</v>
      </c>
    </row>
    <row r="10119">
      <c r="A10119" s="3">
        <v>1583.0</v>
      </c>
      <c r="B10119" s="3" t="s">
        <v>19423</v>
      </c>
      <c r="C10119" s="3" t="s">
        <v>11281</v>
      </c>
      <c r="D10119" s="3" t="s">
        <v>15878</v>
      </c>
      <c r="E10119" s="3" t="s">
        <v>15879</v>
      </c>
      <c r="F10119" s="3" t="s">
        <v>15878</v>
      </c>
    </row>
    <row r="10120">
      <c r="A10120" s="3">
        <v>1584.0</v>
      </c>
      <c r="B10120" s="3" t="s">
        <v>19423</v>
      </c>
      <c r="C10120" s="3" t="s">
        <v>11281</v>
      </c>
      <c r="D10120" s="3" t="s">
        <v>15880</v>
      </c>
      <c r="E10120" s="3" t="s">
        <v>15881</v>
      </c>
      <c r="F10120" s="3" t="s">
        <v>15880</v>
      </c>
    </row>
    <row r="10121">
      <c r="A10121" s="3">
        <v>1585.0</v>
      </c>
      <c r="B10121" s="3" t="s">
        <v>19423</v>
      </c>
      <c r="C10121" s="3" t="s">
        <v>11281</v>
      </c>
      <c r="D10121" s="3" t="s">
        <v>15882</v>
      </c>
      <c r="E10121" s="3" t="s">
        <v>15883</v>
      </c>
      <c r="F10121" s="3" t="s">
        <v>15882</v>
      </c>
    </row>
    <row r="10122">
      <c r="A10122" s="3">
        <v>1586.0</v>
      </c>
      <c r="B10122" s="3" t="s">
        <v>19423</v>
      </c>
      <c r="C10122" s="3" t="s">
        <v>11281</v>
      </c>
      <c r="D10122" s="3" t="s">
        <v>15884</v>
      </c>
      <c r="E10122" s="3" t="s">
        <v>20098</v>
      </c>
      <c r="F10122" s="3" t="s">
        <v>20099</v>
      </c>
      <c r="G10122" s="3"/>
      <c r="H10122" s="3" t="s">
        <v>9653</v>
      </c>
      <c r="I10122" s="3" t="s">
        <v>10865</v>
      </c>
      <c r="J10122" s="3" t="s">
        <v>10866</v>
      </c>
      <c r="K10122" s="3" t="s">
        <v>9653</v>
      </c>
      <c r="L10122" s="3" t="s">
        <v>15887</v>
      </c>
      <c r="M10122" s="3" t="s">
        <v>9653</v>
      </c>
      <c r="N10122" s="3" t="s">
        <v>9653</v>
      </c>
      <c r="O10122" s="3" t="s">
        <v>9653</v>
      </c>
      <c r="P10122" s="3" t="s">
        <v>15888</v>
      </c>
      <c r="Q10122" s="3" t="s">
        <v>9653</v>
      </c>
      <c r="R10122" s="3" t="s">
        <v>15889</v>
      </c>
      <c r="S10122" s="3" t="s">
        <v>15890</v>
      </c>
      <c r="T10122" s="3" t="s">
        <v>9653</v>
      </c>
      <c r="U10122" s="3" t="s">
        <v>15891</v>
      </c>
    </row>
    <row r="10123">
      <c r="A10123" s="3">
        <v>1587.0</v>
      </c>
      <c r="B10123" s="3" t="s">
        <v>19423</v>
      </c>
      <c r="C10123" s="3" t="s">
        <v>11281</v>
      </c>
      <c r="D10123" s="3" t="s">
        <v>15892</v>
      </c>
      <c r="E10123" s="3" t="s">
        <v>3467</v>
      </c>
      <c r="F10123" s="3" t="s">
        <v>3468</v>
      </c>
    </row>
    <row r="10124">
      <c r="A10124" s="3">
        <v>1588.0</v>
      </c>
      <c r="B10124" s="3" t="s">
        <v>19423</v>
      </c>
      <c r="C10124" s="3" t="s">
        <v>11281</v>
      </c>
      <c r="D10124" s="3" t="s">
        <v>15893</v>
      </c>
      <c r="E10124" s="3" t="s">
        <v>15894</v>
      </c>
      <c r="F10124" s="3" t="s">
        <v>15895</v>
      </c>
      <c r="G10124" s="3"/>
      <c r="H10124" s="3" t="s">
        <v>15896</v>
      </c>
      <c r="I10124" s="3" t="s">
        <v>15897</v>
      </c>
    </row>
    <row r="10125">
      <c r="A10125" s="3">
        <v>1589.0</v>
      </c>
      <c r="B10125" s="3" t="s">
        <v>19423</v>
      </c>
      <c r="C10125" s="3" t="s">
        <v>11281</v>
      </c>
      <c r="D10125" s="3" t="s">
        <v>15898</v>
      </c>
      <c r="E10125" s="3" t="s">
        <v>15899</v>
      </c>
      <c r="F10125" s="3" t="s">
        <v>15900</v>
      </c>
    </row>
    <row r="10126">
      <c r="A10126" s="3">
        <v>1590.0</v>
      </c>
      <c r="B10126" s="3" t="s">
        <v>19423</v>
      </c>
      <c r="C10126" s="3" t="s">
        <v>11281</v>
      </c>
      <c r="D10126" s="3" t="s">
        <v>15901</v>
      </c>
      <c r="E10126" s="3" t="s">
        <v>15902</v>
      </c>
      <c r="F10126" s="3" t="s">
        <v>15903</v>
      </c>
    </row>
    <row r="10127">
      <c r="A10127" s="3">
        <v>1591.0</v>
      </c>
      <c r="B10127" s="3" t="s">
        <v>19423</v>
      </c>
      <c r="C10127" s="3" t="s">
        <v>11281</v>
      </c>
      <c r="D10127" s="3" t="s">
        <v>15904</v>
      </c>
      <c r="E10127" s="3" t="s">
        <v>15905</v>
      </c>
      <c r="F10127" s="3" t="s">
        <v>15906</v>
      </c>
    </row>
    <row r="10128">
      <c r="A10128" s="3">
        <v>1592.0</v>
      </c>
      <c r="B10128" s="3" t="s">
        <v>19423</v>
      </c>
      <c r="C10128" s="3" t="s">
        <v>11281</v>
      </c>
      <c r="D10128" s="3" t="s">
        <v>15907</v>
      </c>
      <c r="E10128" s="3" t="s">
        <v>15908</v>
      </c>
      <c r="F10128" s="3" t="s">
        <v>15909</v>
      </c>
    </row>
    <row r="10129">
      <c r="A10129" s="3">
        <v>1593.0</v>
      </c>
      <c r="B10129" s="3" t="s">
        <v>19423</v>
      </c>
      <c r="C10129" s="3" t="s">
        <v>11281</v>
      </c>
      <c r="D10129" s="3" t="s">
        <v>15910</v>
      </c>
      <c r="E10129" s="3" t="s">
        <v>15911</v>
      </c>
      <c r="F10129" s="3" t="s">
        <v>15912</v>
      </c>
    </row>
    <row r="10130">
      <c r="A10130" s="3">
        <v>1594.0</v>
      </c>
      <c r="B10130" s="3" t="s">
        <v>19423</v>
      </c>
      <c r="C10130" s="3" t="s">
        <v>11281</v>
      </c>
      <c r="D10130" s="3" t="s">
        <v>15913</v>
      </c>
      <c r="E10130" s="3" t="s">
        <v>15914</v>
      </c>
      <c r="F10130" s="3" t="s">
        <v>15915</v>
      </c>
    </row>
    <row r="10131">
      <c r="A10131" s="3">
        <v>1595.0</v>
      </c>
      <c r="B10131" s="3" t="s">
        <v>19423</v>
      </c>
      <c r="C10131" s="3" t="s">
        <v>11281</v>
      </c>
      <c r="D10131" s="3" t="s">
        <v>15916</v>
      </c>
      <c r="E10131" s="3" t="s">
        <v>15917</v>
      </c>
      <c r="F10131" s="3" t="s">
        <v>15918</v>
      </c>
    </row>
    <row r="10132">
      <c r="A10132" s="3">
        <v>1596.0</v>
      </c>
      <c r="B10132" s="3" t="s">
        <v>19423</v>
      </c>
      <c r="C10132" s="3" t="s">
        <v>11281</v>
      </c>
      <c r="D10132" s="3" t="s">
        <v>15919</v>
      </c>
      <c r="E10132" s="3" t="s">
        <v>15920</v>
      </c>
      <c r="F10132" s="3" t="s">
        <v>15921</v>
      </c>
    </row>
    <row r="10133">
      <c r="A10133" s="3">
        <v>1597.0</v>
      </c>
      <c r="B10133" s="3" t="s">
        <v>19423</v>
      </c>
      <c r="C10133" s="3" t="s">
        <v>11281</v>
      </c>
      <c r="D10133" s="3" t="s">
        <v>15922</v>
      </c>
      <c r="E10133" s="3" t="s">
        <v>3476</v>
      </c>
      <c r="F10133" s="3" t="s">
        <v>3477</v>
      </c>
    </row>
    <row r="10134">
      <c r="A10134" s="3">
        <v>1598.0</v>
      </c>
      <c r="B10134" s="3" t="s">
        <v>19423</v>
      </c>
      <c r="C10134" s="3" t="s">
        <v>11281</v>
      </c>
      <c r="D10134" s="3" t="s">
        <v>15923</v>
      </c>
      <c r="E10134" s="3" t="s">
        <v>15924</v>
      </c>
      <c r="F10134" s="3" t="s">
        <v>15925</v>
      </c>
    </row>
    <row r="10135">
      <c r="A10135" s="3">
        <v>1599.0</v>
      </c>
      <c r="B10135" s="3" t="s">
        <v>19423</v>
      </c>
      <c r="C10135" s="3" t="s">
        <v>11281</v>
      </c>
      <c r="D10135" s="3" t="s">
        <v>15926</v>
      </c>
      <c r="E10135" s="3" t="s">
        <v>20100</v>
      </c>
      <c r="F10135" s="3" t="s">
        <v>20101</v>
      </c>
    </row>
    <row r="10136">
      <c r="A10136" s="3">
        <v>1600.0</v>
      </c>
      <c r="B10136" s="3" t="s">
        <v>19423</v>
      </c>
      <c r="C10136" s="3" t="s">
        <v>11281</v>
      </c>
      <c r="D10136" s="3" t="s">
        <v>15929</v>
      </c>
      <c r="E10136" s="3" t="s">
        <v>20102</v>
      </c>
      <c r="F10136" s="3" t="s">
        <v>20103</v>
      </c>
    </row>
    <row r="10137">
      <c r="A10137" s="3">
        <v>1601.0</v>
      </c>
      <c r="B10137" s="3" t="s">
        <v>19423</v>
      </c>
      <c r="C10137" s="3" t="s">
        <v>11281</v>
      </c>
      <c r="D10137" s="3" t="s">
        <v>15932</v>
      </c>
      <c r="E10137" s="3" t="s">
        <v>20104</v>
      </c>
      <c r="F10137" s="3" t="s">
        <v>20105</v>
      </c>
    </row>
    <row r="10138">
      <c r="A10138" s="3">
        <v>1602.0</v>
      </c>
      <c r="B10138" s="3" t="s">
        <v>19423</v>
      </c>
      <c r="C10138" s="3" t="s">
        <v>11281</v>
      </c>
      <c r="D10138" s="3" t="s">
        <v>15935</v>
      </c>
      <c r="E10138" s="3" t="s">
        <v>20106</v>
      </c>
      <c r="F10138" s="3" t="s">
        <v>20107</v>
      </c>
    </row>
    <row r="10139">
      <c r="A10139" s="3">
        <v>1603.0</v>
      </c>
      <c r="B10139" s="3" t="s">
        <v>19423</v>
      </c>
      <c r="C10139" s="3" t="s">
        <v>11281</v>
      </c>
      <c r="D10139" s="3" t="s">
        <v>15938</v>
      </c>
      <c r="E10139" s="3" t="s">
        <v>20108</v>
      </c>
      <c r="F10139" s="3" t="s">
        <v>20109</v>
      </c>
    </row>
    <row r="10140">
      <c r="A10140" s="3">
        <v>1604.0</v>
      </c>
      <c r="B10140" s="3" t="s">
        <v>19423</v>
      </c>
      <c r="C10140" s="3" t="s">
        <v>11281</v>
      </c>
      <c r="D10140" s="3" t="s">
        <v>15941</v>
      </c>
      <c r="E10140" s="3" t="s">
        <v>20110</v>
      </c>
      <c r="F10140" s="3" t="s">
        <v>20111</v>
      </c>
    </row>
    <row r="10141">
      <c r="A10141" s="3">
        <v>1605.0</v>
      </c>
      <c r="B10141" s="3" t="s">
        <v>19423</v>
      </c>
      <c r="C10141" s="3" t="s">
        <v>11281</v>
      </c>
      <c r="D10141" s="3" t="s">
        <v>15944</v>
      </c>
      <c r="E10141" s="3" t="s">
        <v>20112</v>
      </c>
      <c r="F10141" s="3" t="s">
        <v>20113</v>
      </c>
    </row>
    <row r="10142">
      <c r="A10142" s="3">
        <v>1606.0</v>
      </c>
      <c r="B10142" s="3" t="s">
        <v>19423</v>
      </c>
      <c r="C10142" s="3" t="s">
        <v>11281</v>
      </c>
      <c r="D10142" s="3" t="s">
        <v>15947</v>
      </c>
      <c r="E10142" s="3" t="s">
        <v>20114</v>
      </c>
      <c r="F10142" s="3" t="s">
        <v>20115</v>
      </c>
    </row>
    <row r="10143">
      <c r="A10143" s="3">
        <v>1607.0</v>
      </c>
      <c r="B10143" s="3" t="s">
        <v>19423</v>
      </c>
      <c r="C10143" s="3" t="s">
        <v>11281</v>
      </c>
      <c r="D10143" s="3" t="s">
        <v>15950</v>
      </c>
      <c r="E10143" s="3" t="s">
        <v>15951</v>
      </c>
      <c r="F10143" s="3" t="s">
        <v>15952</v>
      </c>
    </row>
    <row r="10144">
      <c r="A10144" s="3">
        <v>1608.0</v>
      </c>
      <c r="B10144" s="3" t="s">
        <v>19423</v>
      </c>
      <c r="C10144" s="3" t="s">
        <v>11281</v>
      </c>
      <c r="D10144" s="3" t="s">
        <v>15953</v>
      </c>
      <c r="E10144" s="3" t="s">
        <v>15954</v>
      </c>
      <c r="F10144" s="3" t="s">
        <v>15955</v>
      </c>
    </row>
    <row r="10145">
      <c r="A10145" s="3">
        <v>1609.0</v>
      </c>
      <c r="B10145" s="3" t="s">
        <v>19423</v>
      </c>
      <c r="C10145" s="3" t="s">
        <v>11281</v>
      </c>
      <c r="D10145" s="3" t="s">
        <v>6247</v>
      </c>
      <c r="E10145" s="3" t="s">
        <v>15956</v>
      </c>
      <c r="F10145" s="3" t="s">
        <v>15957</v>
      </c>
    </row>
    <row r="10146">
      <c r="A10146" s="3">
        <v>1610.0</v>
      </c>
      <c r="B10146" s="3" t="s">
        <v>19423</v>
      </c>
      <c r="C10146" s="3" t="s">
        <v>11281</v>
      </c>
      <c r="D10146" s="3" t="s">
        <v>15958</v>
      </c>
      <c r="E10146" s="3" t="s">
        <v>15959</v>
      </c>
      <c r="F10146" s="3" t="s">
        <v>15960</v>
      </c>
    </row>
    <row r="10147">
      <c r="A10147" s="3">
        <v>1611.0</v>
      </c>
      <c r="B10147" s="3" t="s">
        <v>19423</v>
      </c>
      <c r="C10147" s="3" t="s">
        <v>11281</v>
      </c>
      <c r="D10147" s="3" t="s">
        <v>15961</v>
      </c>
      <c r="E10147" s="3" t="s">
        <v>15962</v>
      </c>
      <c r="F10147" s="3" t="s">
        <v>15963</v>
      </c>
    </row>
    <row r="10148">
      <c r="A10148" s="3">
        <v>1612.0</v>
      </c>
      <c r="B10148" s="3" t="s">
        <v>19423</v>
      </c>
      <c r="C10148" s="3" t="s">
        <v>11281</v>
      </c>
      <c r="D10148" s="3" t="s">
        <v>15964</v>
      </c>
      <c r="E10148" s="3" t="s">
        <v>15965</v>
      </c>
      <c r="F10148" s="3" t="s">
        <v>15966</v>
      </c>
    </row>
    <row r="10149">
      <c r="A10149" s="3">
        <v>1613.0</v>
      </c>
      <c r="B10149" s="3" t="s">
        <v>19423</v>
      </c>
      <c r="C10149" s="3" t="s">
        <v>11281</v>
      </c>
      <c r="D10149" s="3" t="s">
        <v>15967</v>
      </c>
      <c r="E10149" s="3" t="s">
        <v>15968</v>
      </c>
      <c r="F10149" s="3" t="s">
        <v>15969</v>
      </c>
    </row>
    <row r="10150">
      <c r="A10150" s="3">
        <v>1614.0</v>
      </c>
      <c r="B10150" s="3" t="s">
        <v>19423</v>
      </c>
      <c r="C10150" s="3" t="s">
        <v>11281</v>
      </c>
      <c r="D10150" s="3" t="s">
        <v>15970</v>
      </c>
      <c r="E10150" s="3" t="s">
        <v>15971</v>
      </c>
      <c r="F10150" s="3" t="s">
        <v>15972</v>
      </c>
    </row>
    <row r="10151">
      <c r="A10151" s="3">
        <v>1615.0</v>
      </c>
      <c r="B10151" s="3" t="s">
        <v>19423</v>
      </c>
      <c r="C10151" s="3" t="s">
        <v>11281</v>
      </c>
      <c r="D10151" s="3" t="s">
        <v>15973</v>
      </c>
      <c r="E10151" s="3" t="s">
        <v>15974</v>
      </c>
      <c r="F10151" s="3" t="s">
        <v>15975</v>
      </c>
    </row>
    <row r="10152">
      <c r="A10152" s="3">
        <v>1616.0</v>
      </c>
      <c r="B10152" s="3" t="s">
        <v>19423</v>
      </c>
      <c r="C10152" s="3" t="s">
        <v>11281</v>
      </c>
      <c r="D10152" s="3" t="s">
        <v>15976</v>
      </c>
      <c r="E10152" s="3" t="s">
        <v>15977</v>
      </c>
      <c r="F10152" s="3" t="s">
        <v>15978</v>
      </c>
    </row>
    <row r="10153">
      <c r="A10153" s="3">
        <v>1617.0</v>
      </c>
      <c r="B10153" s="3" t="s">
        <v>19423</v>
      </c>
      <c r="C10153" s="3" t="s">
        <v>11281</v>
      </c>
      <c r="D10153" s="3" t="s">
        <v>15979</v>
      </c>
      <c r="E10153" s="3" t="s">
        <v>15980</v>
      </c>
      <c r="F10153" s="3" t="s">
        <v>15981</v>
      </c>
    </row>
    <row r="10154">
      <c r="A10154" s="3">
        <v>1618.0</v>
      </c>
      <c r="B10154" s="3" t="s">
        <v>19423</v>
      </c>
      <c r="C10154" s="3" t="s">
        <v>11281</v>
      </c>
      <c r="D10154" s="3" t="s">
        <v>15982</v>
      </c>
      <c r="E10154" s="3" t="s">
        <v>15983</v>
      </c>
      <c r="F10154" s="3" t="s">
        <v>15984</v>
      </c>
    </row>
    <row r="10155">
      <c r="A10155" s="3">
        <v>1619.0</v>
      </c>
      <c r="B10155" s="3" t="s">
        <v>19423</v>
      </c>
      <c r="C10155" s="3" t="s">
        <v>11281</v>
      </c>
      <c r="D10155" s="3" t="s">
        <v>15985</v>
      </c>
      <c r="E10155" s="3" t="s">
        <v>15986</v>
      </c>
      <c r="F10155" s="3" t="s">
        <v>15987</v>
      </c>
    </row>
    <row r="10156">
      <c r="A10156" s="3">
        <v>1620.0</v>
      </c>
      <c r="B10156" s="3" t="s">
        <v>19423</v>
      </c>
      <c r="C10156" s="3" t="s">
        <v>11281</v>
      </c>
      <c r="D10156" s="3" t="s">
        <v>15988</v>
      </c>
      <c r="E10156" s="3" t="s">
        <v>15989</v>
      </c>
      <c r="F10156" s="3" t="s">
        <v>15990</v>
      </c>
    </row>
    <row r="10157">
      <c r="A10157" s="3">
        <v>1621.0</v>
      </c>
      <c r="B10157" s="3" t="s">
        <v>19423</v>
      </c>
      <c r="C10157" s="3" t="s">
        <v>11281</v>
      </c>
      <c r="D10157" s="3" t="s">
        <v>15991</v>
      </c>
      <c r="E10157" s="3" t="s">
        <v>15992</v>
      </c>
      <c r="F10157" s="3" t="s">
        <v>15993</v>
      </c>
    </row>
    <row r="10158">
      <c r="A10158" s="3">
        <v>1622.0</v>
      </c>
      <c r="B10158" s="3" t="s">
        <v>19423</v>
      </c>
      <c r="C10158" s="3" t="s">
        <v>11281</v>
      </c>
      <c r="D10158" s="3" t="s">
        <v>15994</v>
      </c>
      <c r="E10158" s="3" t="s">
        <v>15995</v>
      </c>
      <c r="F10158" s="3" t="s">
        <v>3468</v>
      </c>
    </row>
    <row r="10159">
      <c r="A10159" s="3">
        <v>1623.0</v>
      </c>
      <c r="B10159" s="3" t="s">
        <v>19423</v>
      </c>
      <c r="C10159" s="3" t="s">
        <v>11281</v>
      </c>
      <c r="D10159" s="3" t="s">
        <v>15996</v>
      </c>
      <c r="E10159" s="3" t="s">
        <v>15997</v>
      </c>
      <c r="F10159" s="3" t="s">
        <v>15998</v>
      </c>
    </row>
    <row r="10160">
      <c r="A10160" s="3">
        <v>1624.0</v>
      </c>
      <c r="B10160" s="3" t="s">
        <v>19423</v>
      </c>
      <c r="C10160" s="3" t="s">
        <v>11281</v>
      </c>
      <c r="D10160" s="3" t="s">
        <v>15999</v>
      </c>
      <c r="E10160" s="3" t="s">
        <v>16000</v>
      </c>
      <c r="F10160" s="3" t="s">
        <v>16001</v>
      </c>
    </row>
    <row r="10161">
      <c r="A10161" s="3">
        <v>1625.0</v>
      </c>
      <c r="B10161" s="3" t="s">
        <v>19423</v>
      </c>
      <c r="C10161" s="3" t="s">
        <v>11281</v>
      </c>
      <c r="D10161" s="3" t="s">
        <v>16002</v>
      </c>
      <c r="E10161" s="3" t="s">
        <v>16003</v>
      </c>
      <c r="F10161" s="3" t="s">
        <v>3477</v>
      </c>
    </row>
    <row r="10162">
      <c r="A10162" s="3">
        <v>1626.0</v>
      </c>
      <c r="B10162" s="3" t="s">
        <v>19423</v>
      </c>
      <c r="C10162" s="3" t="s">
        <v>11281</v>
      </c>
      <c r="D10162" s="3" t="s">
        <v>16004</v>
      </c>
      <c r="E10162" s="3" t="s">
        <v>16005</v>
      </c>
      <c r="F10162" s="3" t="s">
        <v>16006</v>
      </c>
    </row>
    <row r="10163">
      <c r="A10163" s="3">
        <v>1627.0</v>
      </c>
      <c r="B10163" s="3" t="s">
        <v>19423</v>
      </c>
      <c r="C10163" s="3" t="s">
        <v>11281</v>
      </c>
      <c r="D10163" s="3" t="s">
        <v>16007</v>
      </c>
      <c r="E10163" s="3" t="s">
        <v>16008</v>
      </c>
      <c r="F10163" s="3" t="s">
        <v>16009</v>
      </c>
    </row>
    <row r="10164">
      <c r="A10164" s="3">
        <v>1628.0</v>
      </c>
      <c r="B10164" s="3" t="s">
        <v>19423</v>
      </c>
      <c r="C10164" s="3" t="s">
        <v>11281</v>
      </c>
      <c r="D10164" s="3" t="s">
        <v>16010</v>
      </c>
      <c r="E10164" s="3" t="s">
        <v>16011</v>
      </c>
      <c r="F10164" s="3" t="s">
        <v>16012</v>
      </c>
    </row>
    <row r="10165">
      <c r="A10165" s="3">
        <v>1629.0</v>
      </c>
      <c r="B10165" s="3" t="s">
        <v>19423</v>
      </c>
      <c r="C10165" s="3" t="s">
        <v>11281</v>
      </c>
      <c r="D10165" s="3" t="s">
        <v>16013</v>
      </c>
      <c r="E10165" s="3" t="s">
        <v>16014</v>
      </c>
      <c r="F10165" s="3" t="s">
        <v>16015</v>
      </c>
    </row>
    <row r="10166">
      <c r="A10166" s="3">
        <v>1630.0</v>
      </c>
      <c r="B10166" s="3" t="s">
        <v>19423</v>
      </c>
      <c r="C10166" s="3" t="s">
        <v>11281</v>
      </c>
      <c r="D10166" s="3" t="s">
        <v>16016</v>
      </c>
      <c r="E10166" s="3" t="s">
        <v>16017</v>
      </c>
      <c r="F10166" s="3" t="s">
        <v>16018</v>
      </c>
    </row>
    <row r="10167">
      <c r="A10167" s="3">
        <v>1631.0</v>
      </c>
      <c r="B10167" s="3" t="s">
        <v>19423</v>
      </c>
      <c r="C10167" s="3" t="s">
        <v>11281</v>
      </c>
      <c r="D10167" s="3" t="s">
        <v>16019</v>
      </c>
      <c r="E10167" s="3" t="s">
        <v>16020</v>
      </c>
      <c r="F10167" s="3" t="s">
        <v>16021</v>
      </c>
    </row>
    <row r="10168">
      <c r="A10168" s="3">
        <v>1632.0</v>
      </c>
      <c r="B10168" s="3" t="s">
        <v>19423</v>
      </c>
      <c r="C10168" s="3" t="s">
        <v>11281</v>
      </c>
      <c r="D10168" s="3" t="s">
        <v>16022</v>
      </c>
      <c r="E10168" s="3" t="s">
        <v>16023</v>
      </c>
      <c r="F10168" s="3" t="s">
        <v>16024</v>
      </c>
    </row>
    <row r="10169">
      <c r="A10169" s="3">
        <v>1633.0</v>
      </c>
      <c r="B10169" s="3" t="s">
        <v>19423</v>
      </c>
      <c r="C10169" s="3" t="s">
        <v>11281</v>
      </c>
      <c r="D10169" s="3" t="s">
        <v>16025</v>
      </c>
      <c r="E10169" s="3" t="s">
        <v>16026</v>
      </c>
      <c r="F10169" s="3" t="s">
        <v>3468</v>
      </c>
      <c r="G10169" s="3"/>
      <c r="H10169" s="3" t="s">
        <v>16027</v>
      </c>
      <c r="I10169" s="3" t="s">
        <v>16028</v>
      </c>
      <c r="J10169" s="3" t="s">
        <v>16029</v>
      </c>
      <c r="K10169" s="3" t="s">
        <v>16030</v>
      </c>
    </row>
    <row r="10170">
      <c r="A10170" s="3">
        <v>1634.0</v>
      </c>
      <c r="B10170" s="3" t="s">
        <v>19423</v>
      </c>
      <c r="C10170" s="3" t="s">
        <v>11281</v>
      </c>
      <c r="D10170" s="3" t="s">
        <v>16031</v>
      </c>
      <c r="E10170" s="3" t="s">
        <v>16032</v>
      </c>
      <c r="F10170" s="3" t="s">
        <v>16033</v>
      </c>
    </row>
    <row r="10171">
      <c r="A10171" s="3">
        <v>1635.0</v>
      </c>
      <c r="B10171" s="3" t="s">
        <v>19423</v>
      </c>
      <c r="C10171" s="3" t="s">
        <v>11281</v>
      </c>
      <c r="D10171" s="3" t="s">
        <v>16034</v>
      </c>
      <c r="E10171" s="3" t="s">
        <v>16035</v>
      </c>
      <c r="F10171" s="3" t="s">
        <v>15903</v>
      </c>
    </row>
    <row r="10172">
      <c r="A10172" s="3">
        <v>1636.0</v>
      </c>
      <c r="B10172" s="3" t="s">
        <v>19423</v>
      </c>
      <c r="C10172" s="3" t="s">
        <v>11281</v>
      </c>
      <c r="D10172" s="3" t="s">
        <v>16036</v>
      </c>
      <c r="E10172" s="3" t="s">
        <v>16037</v>
      </c>
      <c r="F10172" s="3" t="s">
        <v>15912</v>
      </c>
      <c r="G10172" s="3"/>
      <c r="H10172" s="3" t="s">
        <v>16038</v>
      </c>
      <c r="I10172" s="3" t="s">
        <v>16039</v>
      </c>
      <c r="J10172" s="3" t="s">
        <v>16040</v>
      </c>
    </row>
    <row r="10173">
      <c r="A10173" s="3">
        <v>1637.0</v>
      </c>
      <c r="B10173" s="3" t="s">
        <v>19423</v>
      </c>
      <c r="C10173" s="3" t="s">
        <v>11281</v>
      </c>
      <c r="D10173" s="3" t="s">
        <v>16041</v>
      </c>
      <c r="E10173" s="3" t="s">
        <v>16042</v>
      </c>
      <c r="F10173" s="3" t="s">
        <v>15915</v>
      </c>
    </row>
    <row r="10174">
      <c r="A10174" s="3">
        <v>1638.0</v>
      </c>
      <c r="B10174" s="3" t="s">
        <v>19423</v>
      </c>
      <c r="C10174" s="3" t="s">
        <v>11281</v>
      </c>
      <c r="D10174" s="3" t="s">
        <v>16043</v>
      </c>
      <c r="E10174" s="3" t="s">
        <v>16044</v>
      </c>
      <c r="F10174" s="3" t="s">
        <v>15918</v>
      </c>
    </row>
    <row r="10175">
      <c r="A10175" s="3">
        <v>1639.0</v>
      </c>
      <c r="B10175" s="3" t="s">
        <v>19423</v>
      </c>
      <c r="C10175" s="3" t="s">
        <v>11281</v>
      </c>
      <c r="D10175" s="3" t="s">
        <v>16045</v>
      </c>
      <c r="E10175" s="3" t="s">
        <v>16046</v>
      </c>
      <c r="F10175" s="3" t="s">
        <v>15921</v>
      </c>
    </row>
    <row r="10176">
      <c r="A10176" s="3">
        <v>1640.0</v>
      </c>
      <c r="B10176" s="3" t="s">
        <v>19423</v>
      </c>
      <c r="C10176" s="3" t="s">
        <v>11281</v>
      </c>
      <c r="D10176" s="3" t="s">
        <v>16047</v>
      </c>
      <c r="E10176" s="3" t="s">
        <v>16048</v>
      </c>
      <c r="F10176" s="3" t="s">
        <v>3477</v>
      </c>
    </row>
    <row r="10177">
      <c r="A10177" s="3">
        <v>1641.0</v>
      </c>
      <c r="B10177" s="3" t="s">
        <v>19423</v>
      </c>
      <c r="C10177" s="3" t="s">
        <v>11281</v>
      </c>
      <c r="D10177" s="3" t="s">
        <v>3297</v>
      </c>
      <c r="E10177" s="3" t="s">
        <v>3298</v>
      </c>
      <c r="F10177" s="3" t="s">
        <v>3297</v>
      </c>
      <c r="G10177" s="3"/>
      <c r="H10177" s="3" t="s">
        <v>16049</v>
      </c>
      <c r="I10177" s="3" t="s">
        <v>16050</v>
      </c>
      <c r="J10177" s="3" t="s">
        <v>3299</v>
      </c>
      <c r="K10177" s="3" t="s">
        <v>3300</v>
      </c>
      <c r="L10177" s="3" t="s">
        <v>3300</v>
      </c>
      <c r="M10177" s="3" t="s">
        <v>3302</v>
      </c>
      <c r="N10177" s="3" t="s">
        <v>3300</v>
      </c>
      <c r="O10177" s="3" t="s">
        <v>3309</v>
      </c>
      <c r="P10177" s="3" t="s">
        <v>16051</v>
      </c>
      <c r="Q10177" s="3" t="s">
        <v>3345</v>
      </c>
      <c r="R10177" s="3" t="s">
        <v>3344</v>
      </c>
      <c r="S10177" s="3" t="s">
        <v>16052</v>
      </c>
      <c r="T10177" s="3" t="s">
        <v>3315</v>
      </c>
      <c r="U10177" s="3" t="s">
        <v>3333</v>
      </c>
      <c r="V10177" s="3" t="s">
        <v>3315</v>
      </c>
      <c r="W10177" s="3" t="s">
        <v>4873</v>
      </c>
      <c r="X10177" s="3" t="s">
        <v>3344</v>
      </c>
    </row>
    <row r="10178">
      <c r="A10178" s="3">
        <v>1642.0</v>
      </c>
      <c r="B10178" s="3" t="s">
        <v>19423</v>
      </c>
      <c r="C10178" s="3" t="s">
        <v>11281</v>
      </c>
      <c r="D10178" s="3" t="s">
        <v>3349</v>
      </c>
      <c r="E10178" s="3" t="s">
        <v>3348</v>
      </c>
      <c r="F10178" s="3" t="s">
        <v>3349</v>
      </c>
    </row>
    <row r="10179">
      <c r="A10179" s="3">
        <v>1643.0</v>
      </c>
      <c r="B10179" s="3" t="s">
        <v>19423</v>
      </c>
      <c r="C10179" s="3" t="s">
        <v>11281</v>
      </c>
      <c r="D10179" s="3" t="s">
        <v>16053</v>
      </c>
      <c r="E10179" s="3" t="s">
        <v>20116</v>
      </c>
      <c r="F10179" s="3" t="s">
        <v>20117</v>
      </c>
    </row>
    <row r="10180">
      <c r="A10180" s="3">
        <v>1644.0</v>
      </c>
      <c r="B10180" s="3" t="s">
        <v>19423</v>
      </c>
      <c r="C10180" s="3" t="s">
        <v>11281</v>
      </c>
      <c r="D10180" s="3" t="s">
        <v>16056</v>
      </c>
      <c r="E10180" s="3" t="s">
        <v>20118</v>
      </c>
      <c r="F10180" s="3" t="s">
        <v>20119</v>
      </c>
    </row>
    <row r="10181">
      <c r="A10181" s="3">
        <v>1645.0</v>
      </c>
      <c r="B10181" s="3" t="s">
        <v>19423</v>
      </c>
      <c r="C10181" s="3" t="s">
        <v>11281</v>
      </c>
      <c r="D10181" s="3" t="s">
        <v>16059</v>
      </c>
      <c r="E10181" s="3" t="s">
        <v>16060</v>
      </c>
      <c r="F10181" s="3" t="s">
        <v>16061</v>
      </c>
    </row>
    <row r="10182">
      <c r="A10182" s="3">
        <v>1646.0</v>
      </c>
      <c r="B10182" s="3" t="s">
        <v>19423</v>
      </c>
      <c r="C10182" s="3" t="s">
        <v>11281</v>
      </c>
      <c r="D10182" s="3" t="s">
        <v>16062</v>
      </c>
      <c r="E10182" s="3" t="s">
        <v>16063</v>
      </c>
      <c r="F10182" s="3" t="s">
        <v>16064</v>
      </c>
    </row>
    <row r="10183">
      <c r="A10183" s="3">
        <v>1647.0</v>
      </c>
      <c r="B10183" s="3" t="s">
        <v>19423</v>
      </c>
      <c r="C10183" s="3" t="s">
        <v>11281</v>
      </c>
      <c r="D10183" s="3" t="s">
        <v>16065</v>
      </c>
      <c r="E10183" s="3" t="s">
        <v>16066</v>
      </c>
      <c r="F10183" s="3" t="s">
        <v>16067</v>
      </c>
    </row>
    <row r="10184">
      <c r="A10184" s="3">
        <v>1648.0</v>
      </c>
      <c r="B10184" s="3" t="s">
        <v>19423</v>
      </c>
      <c r="C10184" s="3" t="s">
        <v>11281</v>
      </c>
      <c r="D10184" s="3" t="s">
        <v>16068</v>
      </c>
      <c r="E10184" s="3" t="s">
        <v>16069</v>
      </c>
      <c r="F10184" s="3" t="s">
        <v>16070</v>
      </c>
    </row>
    <row r="10185">
      <c r="A10185" s="3">
        <v>1649.0</v>
      </c>
      <c r="B10185" s="3" t="s">
        <v>19423</v>
      </c>
      <c r="C10185" s="3" t="s">
        <v>11281</v>
      </c>
      <c r="D10185" s="3" t="s">
        <v>16071</v>
      </c>
      <c r="E10185" s="3" t="s">
        <v>16072</v>
      </c>
      <c r="F10185" s="3" t="s">
        <v>16073</v>
      </c>
    </row>
    <row r="10186">
      <c r="A10186" s="3">
        <v>1650.0</v>
      </c>
      <c r="B10186" s="3" t="s">
        <v>19423</v>
      </c>
      <c r="C10186" s="3" t="s">
        <v>11281</v>
      </c>
      <c r="D10186" s="3" t="s">
        <v>16074</v>
      </c>
      <c r="E10186" s="3" t="s">
        <v>16075</v>
      </c>
      <c r="F10186" s="3" t="s">
        <v>16076</v>
      </c>
    </row>
    <row r="10187">
      <c r="A10187" s="3">
        <v>1651.0</v>
      </c>
      <c r="B10187" s="3" t="s">
        <v>19423</v>
      </c>
      <c r="C10187" s="3" t="s">
        <v>11281</v>
      </c>
      <c r="D10187" s="3" t="s">
        <v>16077</v>
      </c>
      <c r="E10187" s="3" t="s">
        <v>16078</v>
      </c>
      <c r="F10187" s="3" t="s">
        <v>16077</v>
      </c>
    </row>
    <row r="10188">
      <c r="A10188" s="3">
        <v>1652.0</v>
      </c>
      <c r="B10188" s="3" t="s">
        <v>19423</v>
      </c>
      <c r="C10188" s="3" t="s">
        <v>11281</v>
      </c>
      <c r="D10188" s="3" t="s">
        <v>16079</v>
      </c>
      <c r="E10188" s="3" t="s">
        <v>16080</v>
      </c>
      <c r="F10188" s="3" t="s">
        <v>16079</v>
      </c>
    </row>
    <row r="10189">
      <c r="A10189" s="3">
        <v>1653.0</v>
      </c>
      <c r="B10189" s="3" t="s">
        <v>19423</v>
      </c>
      <c r="C10189" s="3" t="s">
        <v>11281</v>
      </c>
      <c r="D10189" s="3" t="s">
        <v>16081</v>
      </c>
      <c r="E10189" s="3" t="s">
        <v>16082</v>
      </c>
      <c r="F10189" s="3" t="s">
        <v>16081</v>
      </c>
    </row>
    <row r="10190">
      <c r="A10190" s="3">
        <v>1654.0</v>
      </c>
      <c r="B10190" s="3" t="s">
        <v>19423</v>
      </c>
      <c r="C10190" s="3" t="s">
        <v>11281</v>
      </c>
      <c r="D10190" s="3" t="s">
        <v>16083</v>
      </c>
      <c r="E10190" s="3" t="s">
        <v>16084</v>
      </c>
      <c r="F10190" s="3" t="s">
        <v>16083</v>
      </c>
    </row>
    <row r="10191">
      <c r="A10191" s="3">
        <v>1655.0</v>
      </c>
      <c r="B10191" s="3" t="s">
        <v>19423</v>
      </c>
      <c r="C10191" s="3" t="s">
        <v>11281</v>
      </c>
      <c r="D10191" s="3" t="s">
        <v>16085</v>
      </c>
      <c r="E10191" s="3" t="s">
        <v>16086</v>
      </c>
      <c r="F10191" s="3" t="s">
        <v>16085</v>
      </c>
    </row>
    <row r="10192">
      <c r="A10192" s="3">
        <v>1656.0</v>
      </c>
      <c r="B10192" s="3" t="s">
        <v>19423</v>
      </c>
      <c r="C10192" s="3" t="s">
        <v>11281</v>
      </c>
      <c r="D10192" s="3" t="s">
        <v>16087</v>
      </c>
      <c r="E10192" s="3" t="s">
        <v>16088</v>
      </c>
      <c r="F10192" s="3" t="s">
        <v>16087</v>
      </c>
    </row>
    <row r="10193">
      <c r="A10193" s="3">
        <v>1657.0</v>
      </c>
      <c r="B10193" s="3" t="s">
        <v>19423</v>
      </c>
      <c r="C10193" s="3" t="s">
        <v>11281</v>
      </c>
      <c r="D10193" s="3" t="s">
        <v>16089</v>
      </c>
      <c r="E10193" s="3" t="s">
        <v>16090</v>
      </c>
      <c r="F10193" s="3" t="s">
        <v>16089</v>
      </c>
    </row>
    <row r="10194">
      <c r="A10194" s="3">
        <v>1658.0</v>
      </c>
      <c r="B10194" s="3" t="s">
        <v>19423</v>
      </c>
      <c r="C10194" s="3" t="s">
        <v>11281</v>
      </c>
      <c r="D10194" s="3" t="s">
        <v>16091</v>
      </c>
      <c r="E10194" s="3" t="s">
        <v>16092</v>
      </c>
      <c r="F10194" s="3" t="s">
        <v>16091</v>
      </c>
    </row>
    <row r="10195">
      <c r="A10195" s="3">
        <v>1659.0</v>
      </c>
      <c r="B10195" s="3" t="s">
        <v>19423</v>
      </c>
      <c r="C10195" s="3" t="s">
        <v>11281</v>
      </c>
      <c r="D10195" s="3" t="s">
        <v>16093</v>
      </c>
      <c r="E10195" s="3" t="s">
        <v>16094</v>
      </c>
      <c r="F10195" s="3" t="s">
        <v>16093</v>
      </c>
    </row>
    <row r="10196">
      <c r="A10196" s="3">
        <v>1660.0</v>
      </c>
      <c r="B10196" s="3" t="s">
        <v>19423</v>
      </c>
      <c r="C10196" s="3" t="s">
        <v>11281</v>
      </c>
      <c r="D10196" s="3" t="s">
        <v>16095</v>
      </c>
      <c r="E10196" s="3" t="s">
        <v>16096</v>
      </c>
      <c r="F10196" s="3" t="s">
        <v>16095</v>
      </c>
    </row>
    <row r="10197">
      <c r="A10197" s="3">
        <v>1661.0</v>
      </c>
      <c r="B10197" s="3" t="s">
        <v>19423</v>
      </c>
      <c r="C10197" s="3" t="s">
        <v>11281</v>
      </c>
      <c r="D10197" s="3" t="s">
        <v>16097</v>
      </c>
      <c r="E10197" s="3" t="s">
        <v>16098</v>
      </c>
      <c r="F10197" s="3" t="s">
        <v>16097</v>
      </c>
    </row>
    <row r="10198">
      <c r="A10198" s="3">
        <v>1662.0</v>
      </c>
      <c r="B10198" s="3" t="s">
        <v>19423</v>
      </c>
      <c r="C10198" s="3" t="s">
        <v>11281</v>
      </c>
      <c r="D10198" s="3" t="s">
        <v>16099</v>
      </c>
      <c r="E10198" s="3" t="s">
        <v>16100</v>
      </c>
      <c r="F10198" s="3" t="s">
        <v>16099</v>
      </c>
    </row>
    <row r="10199">
      <c r="A10199" s="3">
        <v>1663.0</v>
      </c>
      <c r="B10199" s="3" t="s">
        <v>19423</v>
      </c>
      <c r="C10199" s="3" t="s">
        <v>11281</v>
      </c>
      <c r="D10199" s="3" t="s">
        <v>16101</v>
      </c>
      <c r="E10199" s="3" t="s">
        <v>16102</v>
      </c>
      <c r="F10199" s="3" t="s">
        <v>16101</v>
      </c>
    </row>
    <row r="10200">
      <c r="A10200" s="3">
        <v>1664.0</v>
      </c>
      <c r="B10200" s="3" t="s">
        <v>19423</v>
      </c>
      <c r="C10200" s="3" t="s">
        <v>11281</v>
      </c>
      <c r="D10200" s="3" t="s">
        <v>16103</v>
      </c>
      <c r="E10200" s="3" t="s">
        <v>16104</v>
      </c>
      <c r="F10200" s="3" t="s">
        <v>16103</v>
      </c>
    </row>
    <row r="10201">
      <c r="A10201" s="3">
        <v>1665.0</v>
      </c>
      <c r="B10201" s="3" t="s">
        <v>19423</v>
      </c>
      <c r="C10201" s="3" t="s">
        <v>11281</v>
      </c>
      <c r="D10201" s="3" t="s">
        <v>16105</v>
      </c>
      <c r="E10201" s="3" t="s">
        <v>16106</v>
      </c>
      <c r="F10201" s="3" t="s">
        <v>16105</v>
      </c>
      <c r="G10201" s="3"/>
      <c r="H10201" s="3" t="s">
        <v>16107</v>
      </c>
    </row>
    <row r="10202">
      <c r="A10202" s="3">
        <v>1666.0</v>
      </c>
      <c r="B10202" s="3" t="s">
        <v>19423</v>
      </c>
      <c r="C10202" s="3" t="s">
        <v>11281</v>
      </c>
      <c r="D10202" s="3" t="s">
        <v>16108</v>
      </c>
      <c r="E10202" s="3" t="s">
        <v>16109</v>
      </c>
      <c r="F10202" s="3" t="s">
        <v>16110</v>
      </c>
    </row>
    <row r="10203">
      <c r="A10203" s="3">
        <v>1667.0</v>
      </c>
      <c r="B10203" s="3" t="s">
        <v>19423</v>
      </c>
      <c r="C10203" s="3" t="s">
        <v>11281</v>
      </c>
      <c r="D10203" s="3" t="s">
        <v>16111</v>
      </c>
      <c r="E10203" s="3" t="s">
        <v>16112</v>
      </c>
      <c r="F10203" s="3" t="s">
        <v>16113</v>
      </c>
    </row>
    <row r="10204">
      <c r="A10204" s="3">
        <v>1668.0</v>
      </c>
      <c r="B10204" s="3" t="s">
        <v>19423</v>
      </c>
      <c r="C10204" s="3" t="s">
        <v>11281</v>
      </c>
      <c r="D10204" s="3" t="s">
        <v>3401</v>
      </c>
      <c r="E10204" s="3" t="s">
        <v>8786</v>
      </c>
      <c r="F10204" s="3" t="s">
        <v>3401</v>
      </c>
      <c r="G10204" s="3"/>
      <c r="H10204" s="3" t="s">
        <v>16114</v>
      </c>
      <c r="I10204" s="3" t="s">
        <v>3393</v>
      </c>
      <c r="J10204" s="3" t="s">
        <v>3394</v>
      </c>
      <c r="K10204" s="3" t="s">
        <v>136</v>
      </c>
      <c r="L10204" s="3" t="s">
        <v>3401</v>
      </c>
      <c r="M10204" s="3" t="s">
        <v>3394</v>
      </c>
      <c r="N10204" s="3" t="s">
        <v>3402</v>
      </c>
      <c r="O10204" s="3" t="s">
        <v>3403</v>
      </c>
      <c r="P10204" s="3" t="s">
        <v>3404</v>
      </c>
      <c r="Q10204" s="3" t="s">
        <v>3405</v>
      </c>
      <c r="R10204" s="3" t="s">
        <v>3406</v>
      </c>
      <c r="S10204" s="3" t="s">
        <v>3407</v>
      </c>
    </row>
    <row r="10205">
      <c r="A10205" s="3">
        <v>1669.0</v>
      </c>
      <c r="B10205" s="3" t="s">
        <v>19423</v>
      </c>
      <c r="C10205" s="3" t="s">
        <v>11281</v>
      </c>
      <c r="D10205" s="3" t="s">
        <v>16115</v>
      </c>
      <c r="E10205" s="3" t="s">
        <v>16116</v>
      </c>
      <c r="F10205" s="3" t="s">
        <v>16115</v>
      </c>
    </row>
    <row r="10206">
      <c r="A10206" s="3">
        <v>1670.0</v>
      </c>
      <c r="B10206" s="3" t="s">
        <v>19423</v>
      </c>
      <c r="C10206" s="3" t="s">
        <v>11281</v>
      </c>
      <c r="D10206" s="3" t="s">
        <v>16117</v>
      </c>
      <c r="E10206" s="3" t="s">
        <v>16118</v>
      </c>
      <c r="F10206" s="3" t="s">
        <v>16117</v>
      </c>
      <c r="G10206" s="3"/>
      <c r="H10206" s="3" t="s">
        <v>16119</v>
      </c>
    </row>
    <row r="10207">
      <c r="A10207" s="3">
        <v>1671.0</v>
      </c>
      <c r="B10207" s="3" t="s">
        <v>19423</v>
      </c>
      <c r="C10207" s="3" t="s">
        <v>11281</v>
      </c>
      <c r="D10207" s="3" t="s">
        <v>16120</v>
      </c>
      <c r="E10207" s="3" t="s">
        <v>16121</v>
      </c>
      <c r="F10207" s="3" t="s">
        <v>16120</v>
      </c>
    </row>
    <row r="10208">
      <c r="A10208" s="3">
        <v>1672.0</v>
      </c>
      <c r="B10208" s="3" t="s">
        <v>19423</v>
      </c>
      <c r="C10208" s="3" t="s">
        <v>11281</v>
      </c>
      <c r="D10208" s="3" t="s">
        <v>16122</v>
      </c>
      <c r="E10208" s="3" t="s">
        <v>16123</v>
      </c>
      <c r="F10208" s="3" t="s">
        <v>16122</v>
      </c>
    </row>
    <row r="10209">
      <c r="A10209" s="3">
        <v>1673.0</v>
      </c>
      <c r="B10209" s="3" t="s">
        <v>19423</v>
      </c>
      <c r="C10209" s="3" t="s">
        <v>11281</v>
      </c>
      <c r="D10209" s="3" t="s">
        <v>16124</v>
      </c>
      <c r="E10209" s="3" t="s">
        <v>16125</v>
      </c>
      <c r="F10209" s="3" t="s">
        <v>16124</v>
      </c>
    </row>
    <row r="10210">
      <c r="A10210" s="3">
        <v>1674.0</v>
      </c>
      <c r="B10210" s="3" t="s">
        <v>19423</v>
      </c>
      <c r="C10210" s="3" t="s">
        <v>11281</v>
      </c>
      <c r="D10210" s="3" t="s">
        <v>16126</v>
      </c>
      <c r="E10210" s="3" t="s">
        <v>16127</v>
      </c>
      <c r="F10210" s="3" t="s">
        <v>16126</v>
      </c>
    </row>
    <row r="10211">
      <c r="A10211" s="3">
        <v>1675.0</v>
      </c>
      <c r="B10211" s="3" t="s">
        <v>19423</v>
      </c>
      <c r="C10211" s="3" t="s">
        <v>11281</v>
      </c>
      <c r="D10211" s="3" t="s">
        <v>16128</v>
      </c>
      <c r="E10211" s="3" t="s">
        <v>16129</v>
      </c>
      <c r="F10211" s="3" t="s">
        <v>16128</v>
      </c>
    </row>
    <row r="10212">
      <c r="A10212" s="3">
        <v>1676.0</v>
      </c>
      <c r="B10212" s="3" t="s">
        <v>19423</v>
      </c>
      <c r="C10212" s="3" t="s">
        <v>11281</v>
      </c>
      <c r="D10212" s="3" t="s">
        <v>16130</v>
      </c>
      <c r="E10212" s="3" t="s">
        <v>16131</v>
      </c>
      <c r="F10212" s="3" t="s">
        <v>16130</v>
      </c>
    </row>
    <row r="10213">
      <c r="A10213" s="3">
        <v>1677.0</v>
      </c>
      <c r="B10213" s="3" t="s">
        <v>19423</v>
      </c>
      <c r="C10213" s="3" t="s">
        <v>11281</v>
      </c>
      <c r="D10213" s="3" t="s">
        <v>16132</v>
      </c>
      <c r="E10213" s="3" t="s">
        <v>16133</v>
      </c>
      <c r="F10213" s="3" t="s">
        <v>16134</v>
      </c>
    </row>
    <row r="10214">
      <c r="A10214" s="3">
        <v>1678.0</v>
      </c>
      <c r="B10214" s="3" t="s">
        <v>19423</v>
      </c>
      <c r="C10214" s="3" t="s">
        <v>11281</v>
      </c>
      <c r="D10214" s="3" t="s">
        <v>16135</v>
      </c>
      <c r="E10214" s="3" t="s">
        <v>16136</v>
      </c>
      <c r="F10214" s="3" t="s">
        <v>16137</v>
      </c>
    </row>
    <row r="10215">
      <c r="A10215" s="3">
        <v>1679.0</v>
      </c>
      <c r="B10215" s="3" t="s">
        <v>19423</v>
      </c>
      <c r="C10215" s="3" t="s">
        <v>11281</v>
      </c>
      <c r="D10215" s="3" t="s">
        <v>16138</v>
      </c>
      <c r="E10215" s="3" t="s">
        <v>16139</v>
      </c>
      <c r="F10215" s="3" t="s">
        <v>16140</v>
      </c>
    </row>
    <row r="10216">
      <c r="A10216" s="3">
        <v>1680.0</v>
      </c>
      <c r="B10216" s="3" t="s">
        <v>19423</v>
      </c>
      <c r="C10216" s="3" t="s">
        <v>11281</v>
      </c>
      <c r="D10216" s="3" t="s">
        <v>16141</v>
      </c>
      <c r="E10216" s="3" t="s">
        <v>16142</v>
      </c>
      <c r="F10216" s="3" t="s">
        <v>16143</v>
      </c>
    </row>
    <row r="10217">
      <c r="A10217" s="3">
        <v>1681.0</v>
      </c>
      <c r="B10217" s="3" t="s">
        <v>19423</v>
      </c>
      <c r="C10217" s="3" t="s">
        <v>11281</v>
      </c>
      <c r="D10217" s="3" t="s">
        <v>16144</v>
      </c>
      <c r="E10217" s="3" t="s">
        <v>16145</v>
      </c>
      <c r="F10217" s="3" t="s">
        <v>16146</v>
      </c>
    </row>
    <row r="10218">
      <c r="A10218" s="3">
        <v>1682.0</v>
      </c>
      <c r="B10218" s="3" t="s">
        <v>19423</v>
      </c>
      <c r="C10218" s="3" t="s">
        <v>11281</v>
      </c>
      <c r="D10218" s="3" t="s">
        <v>16147</v>
      </c>
      <c r="E10218" s="3" t="s">
        <v>16148</v>
      </c>
      <c r="F10218" s="3" t="s">
        <v>16149</v>
      </c>
    </row>
    <row r="10219">
      <c r="A10219" s="3">
        <v>1683.0</v>
      </c>
      <c r="B10219" s="3" t="s">
        <v>19423</v>
      </c>
      <c r="C10219" s="3" t="s">
        <v>11281</v>
      </c>
      <c r="D10219" s="3" t="s">
        <v>16150</v>
      </c>
      <c r="E10219" s="3" t="s">
        <v>16151</v>
      </c>
      <c r="F10219" s="3" t="s">
        <v>16152</v>
      </c>
    </row>
    <row r="10220">
      <c r="A10220" s="3">
        <v>1684.0</v>
      </c>
      <c r="B10220" s="3" t="s">
        <v>19423</v>
      </c>
      <c r="C10220" s="3" t="s">
        <v>11281</v>
      </c>
      <c r="D10220" s="3" t="s">
        <v>16153</v>
      </c>
      <c r="E10220" s="3" t="s">
        <v>16154</v>
      </c>
      <c r="F10220" s="3" t="s">
        <v>16153</v>
      </c>
    </row>
    <row r="10221">
      <c r="A10221" s="3">
        <v>1685.0</v>
      </c>
      <c r="B10221" s="3" t="s">
        <v>19423</v>
      </c>
      <c r="C10221" s="3" t="s">
        <v>11281</v>
      </c>
      <c r="D10221" s="3" t="s">
        <v>16155</v>
      </c>
      <c r="E10221" s="3" t="s">
        <v>16156</v>
      </c>
      <c r="F10221" s="3" t="s">
        <v>16155</v>
      </c>
    </row>
    <row r="10222">
      <c r="A10222" s="3">
        <v>1686.0</v>
      </c>
      <c r="B10222" s="3" t="s">
        <v>19423</v>
      </c>
      <c r="C10222" s="3" t="s">
        <v>11281</v>
      </c>
      <c r="D10222" s="3" t="s">
        <v>16157</v>
      </c>
      <c r="E10222" s="3" t="s">
        <v>16158</v>
      </c>
      <c r="F10222" s="3" t="s">
        <v>16157</v>
      </c>
    </row>
    <row r="10223">
      <c r="A10223" s="3">
        <v>1687.0</v>
      </c>
      <c r="B10223" s="3" t="s">
        <v>19423</v>
      </c>
      <c r="C10223" s="3" t="s">
        <v>11281</v>
      </c>
      <c r="D10223" s="3" t="s">
        <v>16159</v>
      </c>
      <c r="E10223" s="3" t="s">
        <v>16160</v>
      </c>
      <c r="F10223" s="3" t="s">
        <v>16159</v>
      </c>
    </row>
    <row r="10224">
      <c r="A10224" s="3">
        <v>1688.0</v>
      </c>
      <c r="B10224" s="3" t="s">
        <v>19423</v>
      </c>
      <c r="C10224" s="3" t="s">
        <v>11281</v>
      </c>
      <c r="D10224" s="3" t="s">
        <v>16161</v>
      </c>
      <c r="E10224" s="3" t="s">
        <v>16162</v>
      </c>
      <c r="F10224" s="3" t="s">
        <v>16161</v>
      </c>
    </row>
    <row r="10225">
      <c r="A10225" s="3">
        <v>1689.0</v>
      </c>
      <c r="B10225" s="3" t="s">
        <v>19423</v>
      </c>
      <c r="C10225" s="3" t="s">
        <v>11281</v>
      </c>
      <c r="D10225" s="3" t="s">
        <v>16163</v>
      </c>
      <c r="E10225" s="3" t="s">
        <v>16164</v>
      </c>
      <c r="F10225" s="3" t="s">
        <v>16163</v>
      </c>
    </row>
    <row r="10226">
      <c r="A10226" s="3">
        <v>1690.0</v>
      </c>
      <c r="B10226" s="3" t="s">
        <v>19423</v>
      </c>
      <c r="C10226" s="3" t="s">
        <v>11281</v>
      </c>
      <c r="D10226" s="3" t="s">
        <v>16165</v>
      </c>
      <c r="E10226" s="3" t="s">
        <v>16166</v>
      </c>
      <c r="F10226" s="3" t="s">
        <v>16165</v>
      </c>
    </row>
    <row r="10227">
      <c r="A10227" s="3">
        <v>1691.0</v>
      </c>
      <c r="B10227" s="3" t="s">
        <v>19423</v>
      </c>
      <c r="C10227" s="3" t="s">
        <v>11281</v>
      </c>
      <c r="D10227" s="3" t="s">
        <v>8772</v>
      </c>
      <c r="E10227" s="3" t="s">
        <v>8771</v>
      </c>
      <c r="F10227" s="3" t="s">
        <v>8772</v>
      </c>
    </row>
    <row r="10228">
      <c r="A10228" s="3">
        <v>1692.0</v>
      </c>
      <c r="B10228" s="3" t="s">
        <v>19423</v>
      </c>
      <c r="C10228" s="3" t="s">
        <v>11281</v>
      </c>
      <c r="D10228" s="3" t="s">
        <v>16167</v>
      </c>
      <c r="E10228" s="3" t="s">
        <v>16168</v>
      </c>
      <c r="F10228" s="3" t="s">
        <v>16167</v>
      </c>
    </row>
    <row r="10229">
      <c r="A10229" s="3">
        <v>1693.0</v>
      </c>
      <c r="B10229" s="3" t="s">
        <v>19423</v>
      </c>
      <c r="C10229" s="3" t="s">
        <v>11281</v>
      </c>
      <c r="D10229" s="3" t="s">
        <v>16169</v>
      </c>
      <c r="E10229" s="3" t="s">
        <v>16170</v>
      </c>
      <c r="F10229" s="3" t="s">
        <v>16169</v>
      </c>
      <c r="G10229" s="3"/>
      <c r="H10229" s="3" t="s">
        <v>9091</v>
      </c>
      <c r="I10229" s="3" t="s">
        <v>3654</v>
      </c>
    </row>
    <row r="10230">
      <c r="A10230" s="3">
        <v>1694.0</v>
      </c>
      <c r="B10230" s="3" t="s">
        <v>19423</v>
      </c>
      <c r="C10230" s="3" t="s">
        <v>11281</v>
      </c>
      <c r="D10230" s="3" t="s">
        <v>16171</v>
      </c>
      <c r="E10230" s="3" t="s">
        <v>16172</v>
      </c>
      <c r="F10230" s="3" t="s">
        <v>16171</v>
      </c>
    </row>
    <row r="10231">
      <c r="A10231" s="3">
        <v>1695.0</v>
      </c>
      <c r="B10231" s="3" t="s">
        <v>19423</v>
      </c>
      <c r="C10231" s="3" t="s">
        <v>11281</v>
      </c>
      <c r="D10231" s="3" t="s">
        <v>16173</v>
      </c>
      <c r="E10231" s="3" t="s">
        <v>16174</v>
      </c>
      <c r="F10231" s="3" t="s">
        <v>16173</v>
      </c>
    </row>
    <row r="10232">
      <c r="A10232" s="3">
        <v>1696.0</v>
      </c>
      <c r="B10232" s="3" t="s">
        <v>19423</v>
      </c>
      <c r="C10232" s="3" t="s">
        <v>11281</v>
      </c>
      <c r="D10232" s="3" t="s">
        <v>16175</v>
      </c>
      <c r="E10232" s="3" t="s">
        <v>16176</v>
      </c>
      <c r="F10232" s="3" t="s">
        <v>16175</v>
      </c>
    </row>
    <row r="10233">
      <c r="A10233" s="3">
        <v>1697.0</v>
      </c>
      <c r="B10233" s="3" t="s">
        <v>19423</v>
      </c>
      <c r="C10233" s="3" t="s">
        <v>11281</v>
      </c>
      <c r="D10233" s="3" t="s">
        <v>16177</v>
      </c>
      <c r="E10233" s="3" t="s">
        <v>16178</v>
      </c>
      <c r="F10233" s="3" t="s">
        <v>16177</v>
      </c>
    </row>
    <row r="10234">
      <c r="A10234" s="3">
        <v>1698.0</v>
      </c>
      <c r="B10234" s="3" t="s">
        <v>19423</v>
      </c>
      <c r="C10234" s="3" t="s">
        <v>11281</v>
      </c>
      <c r="D10234" s="3" t="s">
        <v>16179</v>
      </c>
      <c r="E10234" s="3" t="s">
        <v>20120</v>
      </c>
      <c r="F10234" s="3" t="s">
        <v>20121</v>
      </c>
    </row>
    <row r="10235">
      <c r="A10235" s="3">
        <v>1699.0</v>
      </c>
      <c r="B10235" s="3" t="s">
        <v>19423</v>
      </c>
      <c r="C10235" s="3" t="s">
        <v>11281</v>
      </c>
      <c r="D10235" s="3" t="s">
        <v>16182</v>
      </c>
      <c r="E10235" s="3" t="s">
        <v>20122</v>
      </c>
      <c r="F10235" s="3" t="s">
        <v>20123</v>
      </c>
    </row>
    <row r="10236">
      <c r="A10236" s="3">
        <v>1700.0</v>
      </c>
      <c r="B10236" s="3" t="s">
        <v>19423</v>
      </c>
      <c r="C10236" s="3" t="s">
        <v>11281</v>
      </c>
      <c r="D10236" s="3" t="s">
        <v>16185</v>
      </c>
      <c r="E10236" s="3" t="s">
        <v>16186</v>
      </c>
      <c r="F10236" s="3" t="s">
        <v>16187</v>
      </c>
      <c r="G10236" s="3"/>
      <c r="H10236" s="3" t="s">
        <v>16188</v>
      </c>
    </row>
    <row r="10237">
      <c r="A10237" s="3">
        <v>1701.0</v>
      </c>
      <c r="B10237" s="3" t="s">
        <v>19423</v>
      </c>
      <c r="C10237" s="3" t="s">
        <v>11281</v>
      </c>
      <c r="D10237" s="3" t="s">
        <v>16189</v>
      </c>
      <c r="E10237" s="3" t="s">
        <v>16190</v>
      </c>
      <c r="F10237" s="3" t="s">
        <v>16191</v>
      </c>
    </row>
    <row r="10238">
      <c r="A10238" s="3">
        <v>1702.0</v>
      </c>
      <c r="B10238" s="3" t="s">
        <v>19423</v>
      </c>
      <c r="C10238" s="3" t="s">
        <v>11281</v>
      </c>
      <c r="D10238" s="3" t="s">
        <v>16192</v>
      </c>
      <c r="E10238" s="3" t="s">
        <v>16193</v>
      </c>
      <c r="F10238" s="3" t="s">
        <v>16194</v>
      </c>
    </row>
    <row r="10239">
      <c r="A10239" s="3">
        <v>1703.0</v>
      </c>
      <c r="B10239" s="3" t="s">
        <v>19423</v>
      </c>
      <c r="C10239" s="3" t="s">
        <v>11281</v>
      </c>
      <c r="D10239" s="3" t="s">
        <v>16195</v>
      </c>
      <c r="E10239" s="3" t="s">
        <v>16196</v>
      </c>
      <c r="F10239" s="3" t="s">
        <v>16197</v>
      </c>
    </row>
    <row r="10240">
      <c r="A10240" s="3">
        <v>1704.0</v>
      </c>
      <c r="B10240" s="3" t="s">
        <v>19423</v>
      </c>
      <c r="C10240" s="3" t="s">
        <v>11281</v>
      </c>
      <c r="D10240" s="3" t="s">
        <v>3444</v>
      </c>
      <c r="E10240" s="3" t="s">
        <v>16198</v>
      </c>
      <c r="F10240" s="3" t="s">
        <v>3444</v>
      </c>
    </row>
    <row r="10241">
      <c r="A10241" s="3">
        <v>1705.0</v>
      </c>
      <c r="B10241" s="3" t="s">
        <v>19423</v>
      </c>
      <c r="C10241" s="3" t="s">
        <v>11281</v>
      </c>
      <c r="D10241" s="3" t="s">
        <v>16199</v>
      </c>
      <c r="E10241" s="3" t="s">
        <v>16200</v>
      </c>
      <c r="F10241" s="3" t="s">
        <v>16199</v>
      </c>
    </row>
    <row r="10242">
      <c r="A10242" s="3">
        <v>1706.0</v>
      </c>
      <c r="B10242" s="3" t="s">
        <v>19423</v>
      </c>
      <c r="C10242" s="3" t="s">
        <v>11281</v>
      </c>
      <c r="D10242" s="3" t="s">
        <v>3446</v>
      </c>
      <c r="E10242" s="3" t="s">
        <v>16201</v>
      </c>
      <c r="F10242" s="3" t="s">
        <v>3446</v>
      </c>
    </row>
    <row r="10243">
      <c r="A10243" s="3">
        <v>1707.0</v>
      </c>
      <c r="B10243" s="3" t="s">
        <v>19423</v>
      </c>
      <c r="C10243" s="3" t="s">
        <v>11281</v>
      </c>
      <c r="D10243" s="3" t="s">
        <v>16202</v>
      </c>
      <c r="E10243" s="3" t="s">
        <v>16203</v>
      </c>
      <c r="F10243" s="3" t="s">
        <v>16202</v>
      </c>
    </row>
    <row r="10244">
      <c r="A10244" s="3">
        <v>1708.0</v>
      </c>
      <c r="B10244" s="3" t="s">
        <v>19423</v>
      </c>
      <c r="C10244" s="3" t="s">
        <v>11281</v>
      </c>
      <c r="D10244" s="3" t="s">
        <v>16204</v>
      </c>
      <c r="E10244" s="3" t="s">
        <v>16205</v>
      </c>
      <c r="F10244" s="3" t="s">
        <v>16204</v>
      </c>
    </row>
    <row r="10245">
      <c r="A10245" s="3">
        <v>1709.0</v>
      </c>
      <c r="B10245" s="3" t="s">
        <v>19423</v>
      </c>
      <c r="C10245" s="3" t="s">
        <v>11281</v>
      </c>
      <c r="D10245" s="3" t="s">
        <v>16206</v>
      </c>
      <c r="E10245" s="3" t="s">
        <v>16207</v>
      </c>
      <c r="F10245" s="3" t="s">
        <v>16206</v>
      </c>
    </row>
    <row r="10246">
      <c r="A10246" s="3">
        <v>1710.0</v>
      </c>
      <c r="B10246" s="3" t="s">
        <v>19423</v>
      </c>
      <c r="C10246" s="3" t="s">
        <v>11281</v>
      </c>
      <c r="D10246" s="3" t="s">
        <v>16208</v>
      </c>
      <c r="E10246" s="3" t="s">
        <v>16209</v>
      </c>
      <c r="F10246" s="3" t="s">
        <v>16208</v>
      </c>
    </row>
    <row r="10247">
      <c r="A10247" s="3">
        <v>1711.0</v>
      </c>
      <c r="B10247" s="3" t="s">
        <v>19423</v>
      </c>
      <c r="C10247" s="3" t="s">
        <v>11281</v>
      </c>
      <c r="D10247" s="3" t="s">
        <v>16210</v>
      </c>
      <c r="E10247" s="3" t="s">
        <v>16211</v>
      </c>
      <c r="F10247" s="3" t="s">
        <v>16210</v>
      </c>
      <c r="G10247" s="3"/>
      <c r="H10247" s="3" t="s">
        <v>16212</v>
      </c>
      <c r="I10247" s="3" t="s">
        <v>16213</v>
      </c>
      <c r="J10247" s="3" t="s">
        <v>12799</v>
      </c>
      <c r="K10247" s="3" t="s">
        <v>16214</v>
      </c>
      <c r="L10247" s="3" t="s">
        <v>16212</v>
      </c>
      <c r="M10247" s="3" t="s">
        <v>16215</v>
      </c>
      <c r="N10247" s="3" t="s">
        <v>16216</v>
      </c>
      <c r="O10247" s="3" t="s">
        <v>16217</v>
      </c>
      <c r="P10247" s="3" t="s">
        <v>16212</v>
      </c>
      <c r="Q10247" s="3" t="s">
        <v>16218</v>
      </c>
      <c r="R10247" s="3" t="s">
        <v>16219</v>
      </c>
      <c r="S10247" s="3" t="s">
        <v>16214</v>
      </c>
      <c r="T10247" s="3" t="s">
        <v>16212</v>
      </c>
      <c r="U10247" s="3" t="s">
        <v>16220</v>
      </c>
      <c r="V10247" s="3" t="s">
        <v>16221</v>
      </c>
      <c r="W10247" s="3" t="s">
        <v>16222</v>
      </c>
      <c r="X10247" s="3" t="s">
        <v>16212</v>
      </c>
      <c r="Y10247" s="3" t="s">
        <v>11168</v>
      </c>
      <c r="Z10247" s="3" t="s">
        <v>16223</v>
      </c>
      <c r="AA10247" s="3" t="s">
        <v>9996</v>
      </c>
      <c r="AB10247" s="3" t="s">
        <v>16218</v>
      </c>
      <c r="AC10247" s="3" t="s">
        <v>16224</v>
      </c>
    </row>
    <row r="10248">
      <c r="A10248" s="3">
        <v>1712.0</v>
      </c>
      <c r="B10248" s="3" t="s">
        <v>19423</v>
      </c>
      <c r="C10248" s="3" t="s">
        <v>11281</v>
      </c>
      <c r="D10248" s="3" t="s">
        <v>16225</v>
      </c>
      <c r="E10248" s="3" t="s">
        <v>16226</v>
      </c>
      <c r="F10248" s="3" t="s">
        <v>16225</v>
      </c>
    </row>
    <row r="10249">
      <c r="A10249" s="3">
        <v>1713.0</v>
      </c>
      <c r="B10249" s="3" t="s">
        <v>19423</v>
      </c>
      <c r="C10249" s="3" t="s">
        <v>11281</v>
      </c>
      <c r="D10249" s="3" t="s">
        <v>16227</v>
      </c>
      <c r="E10249" s="3" t="s">
        <v>16228</v>
      </c>
      <c r="F10249" s="3" t="s">
        <v>16227</v>
      </c>
    </row>
    <row r="10250">
      <c r="A10250" s="3">
        <v>1714.0</v>
      </c>
      <c r="B10250" s="3" t="s">
        <v>19423</v>
      </c>
      <c r="C10250" s="3" t="s">
        <v>11281</v>
      </c>
      <c r="D10250" s="3" t="s">
        <v>16229</v>
      </c>
      <c r="E10250" s="3" t="s">
        <v>16230</v>
      </c>
      <c r="F10250" s="3" t="s">
        <v>16229</v>
      </c>
    </row>
    <row r="10251">
      <c r="A10251" s="3">
        <v>1715.0</v>
      </c>
      <c r="B10251" s="3" t="s">
        <v>19423</v>
      </c>
      <c r="C10251" s="3" t="s">
        <v>11281</v>
      </c>
      <c r="D10251" s="3" t="s">
        <v>16231</v>
      </c>
      <c r="E10251" s="3" t="s">
        <v>16232</v>
      </c>
      <c r="F10251" s="3" t="s">
        <v>16231</v>
      </c>
    </row>
    <row r="10252">
      <c r="A10252" s="3">
        <v>1716.0</v>
      </c>
      <c r="B10252" s="3" t="s">
        <v>19423</v>
      </c>
      <c r="C10252" s="3" t="s">
        <v>11281</v>
      </c>
      <c r="D10252" s="3" t="s">
        <v>16233</v>
      </c>
      <c r="E10252" s="3" t="s">
        <v>16234</v>
      </c>
      <c r="F10252" s="3" t="s">
        <v>16233</v>
      </c>
    </row>
    <row r="10253">
      <c r="A10253" s="3">
        <v>1717.0</v>
      </c>
      <c r="B10253" s="3" t="s">
        <v>19423</v>
      </c>
      <c r="C10253" s="3" t="s">
        <v>11281</v>
      </c>
      <c r="D10253" s="3" t="s">
        <v>8098</v>
      </c>
      <c r="E10253" s="3" t="s">
        <v>8099</v>
      </c>
      <c r="F10253" s="3" t="s">
        <v>8098</v>
      </c>
    </row>
    <row r="10254">
      <c r="A10254" s="3">
        <v>1718.0</v>
      </c>
      <c r="B10254" s="3" t="s">
        <v>19423</v>
      </c>
      <c r="C10254" s="3" t="s">
        <v>11281</v>
      </c>
      <c r="D10254" s="3" t="s">
        <v>16235</v>
      </c>
      <c r="E10254" s="3" t="s">
        <v>16236</v>
      </c>
      <c r="F10254" s="3" t="s">
        <v>16235</v>
      </c>
    </row>
    <row r="10255">
      <c r="A10255" s="3">
        <v>1719.0</v>
      </c>
      <c r="B10255" s="3" t="s">
        <v>19423</v>
      </c>
      <c r="C10255" s="3" t="s">
        <v>11281</v>
      </c>
      <c r="D10255" s="3" t="s">
        <v>16237</v>
      </c>
      <c r="E10255" s="3" t="s">
        <v>16238</v>
      </c>
      <c r="F10255" s="3" t="s">
        <v>16237</v>
      </c>
    </row>
    <row r="10256">
      <c r="A10256" s="3">
        <v>1720.0</v>
      </c>
      <c r="B10256" s="3" t="s">
        <v>19423</v>
      </c>
      <c r="C10256" s="3" t="s">
        <v>11281</v>
      </c>
      <c r="D10256" s="3" t="s">
        <v>16239</v>
      </c>
      <c r="E10256" s="3" t="s">
        <v>16240</v>
      </c>
      <c r="F10256" s="3" t="s">
        <v>16239</v>
      </c>
    </row>
    <row r="10257">
      <c r="A10257" s="3">
        <v>1721.0</v>
      </c>
      <c r="B10257" s="3" t="s">
        <v>19423</v>
      </c>
      <c r="C10257" s="3" t="s">
        <v>11281</v>
      </c>
      <c r="D10257" s="3" t="s">
        <v>16241</v>
      </c>
      <c r="E10257" s="3" t="s">
        <v>16242</v>
      </c>
      <c r="F10257" s="3" t="s">
        <v>16241</v>
      </c>
    </row>
    <row r="10258">
      <c r="A10258" s="3">
        <v>1722.0</v>
      </c>
      <c r="B10258" s="3" t="s">
        <v>19423</v>
      </c>
      <c r="C10258" s="3" t="s">
        <v>11281</v>
      </c>
      <c r="D10258" s="3" t="s">
        <v>16243</v>
      </c>
      <c r="E10258" s="3" t="s">
        <v>16244</v>
      </c>
      <c r="F10258" s="3" t="s">
        <v>16243</v>
      </c>
    </row>
    <row r="10259">
      <c r="A10259" s="3">
        <v>1723.0</v>
      </c>
      <c r="B10259" s="3" t="s">
        <v>19423</v>
      </c>
      <c r="C10259" s="3" t="s">
        <v>11281</v>
      </c>
      <c r="D10259" s="3" t="s">
        <v>16245</v>
      </c>
      <c r="E10259" s="3" t="s">
        <v>16246</v>
      </c>
      <c r="F10259" s="3" t="s">
        <v>16245</v>
      </c>
    </row>
    <row r="10260">
      <c r="A10260" s="3">
        <v>1724.0</v>
      </c>
      <c r="B10260" s="3" t="s">
        <v>19423</v>
      </c>
      <c r="C10260" s="3" t="s">
        <v>11281</v>
      </c>
      <c r="D10260" s="3" t="s">
        <v>16247</v>
      </c>
      <c r="E10260" s="3" t="s">
        <v>16248</v>
      </c>
      <c r="F10260" s="3" t="s">
        <v>16247</v>
      </c>
      <c r="G10260" s="3"/>
      <c r="H10260" s="3" t="s">
        <v>16249</v>
      </c>
      <c r="I10260" s="3" t="s">
        <v>16250</v>
      </c>
    </row>
    <row r="10261">
      <c r="A10261" s="3">
        <v>1725.0</v>
      </c>
      <c r="B10261" s="3" t="s">
        <v>19423</v>
      </c>
      <c r="C10261" s="3" t="s">
        <v>11281</v>
      </c>
      <c r="D10261" s="3" t="s">
        <v>16251</v>
      </c>
      <c r="E10261" s="3" t="s">
        <v>16252</v>
      </c>
      <c r="F10261" s="3" t="s">
        <v>16251</v>
      </c>
    </row>
    <row r="10262">
      <c r="A10262" s="3">
        <v>1726.0</v>
      </c>
      <c r="B10262" s="3" t="s">
        <v>19423</v>
      </c>
      <c r="C10262" s="3" t="s">
        <v>11281</v>
      </c>
      <c r="D10262" s="3" t="s">
        <v>16253</v>
      </c>
      <c r="E10262" s="3" t="s">
        <v>16254</v>
      </c>
      <c r="F10262" s="3" t="s">
        <v>16253</v>
      </c>
    </row>
    <row r="10263">
      <c r="A10263" s="3">
        <v>1727.0</v>
      </c>
      <c r="B10263" s="3" t="s">
        <v>19423</v>
      </c>
      <c r="C10263" s="3" t="s">
        <v>11281</v>
      </c>
      <c r="D10263" s="3" t="s">
        <v>3229</v>
      </c>
      <c r="E10263" s="3" t="s">
        <v>3228</v>
      </c>
      <c r="F10263" s="3" t="s">
        <v>3229</v>
      </c>
    </row>
    <row r="10264">
      <c r="A10264" s="3">
        <v>1728.0</v>
      </c>
      <c r="B10264" s="3" t="s">
        <v>19423</v>
      </c>
      <c r="C10264" s="3" t="s">
        <v>11281</v>
      </c>
      <c r="D10264" s="3" t="s">
        <v>16255</v>
      </c>
      <c r="E10264" s="3" t="s">
        <v>16256</v>
      </c>
      <c r="F10264" s="3" t="s">
        <v>16255</v>
      </c>
      <c r="G10264" s="3"/>
      <c r="H10264" s="3" t="s">
        <v>16257</v>
      </c>
      <c r="I10264" s="3" t="s">
        <v>16258</v>
      </c>
      <c r="J10264" s="3" t="s">
        <v>16259</v>
      </c>
      <c r="K10264" s="3" t="s">
        <v>16260</v>
      </c>
      <c r="L10264" s="3" t="s">
        <v>16261</v>
      </c>
      <c r="M10264" s="3" t="s">
        <v>16257</v>
      </c>
    </row>
    <row r="10265">
      <c r="A10265" s="3">
        <v>1729.0</v>
      </c>
      <c r="B10265" s="3" t="s">
        <v>19423</v>
      </c>
      <c r="C10265" s="3" t="s">
        <v>11281</v>
      </c>
      <c r="D10265" s="3" t="s">
        <v>16262</v>
      </c>
      <c r="E10265" s="3" t="s">
        <v>16263</v>
      </c>
      <c r="F10265" s="3" t="s">
        <v>16262</v>
      </c>
    </row>
    <row r="10266">
      <c r="A10266" s="3">
        <v>1730.0</v>
      </c>
      <c r="B10266" s="3" t="s">
        <v>19423</v>
      </c>
      <c r="C10266" s="3" t="s">
        <v>11281</v>
      </c>
      <c r="D10266" s="3" t="s">
        <v>16264</v>
      </c>
      <c r="E10266" s="3" t="s">
        <v>16265</v>
      </c>
      <c r="F10266" s="3" t="s">
        <v>16266</v>
      </c>
    </row>
    <row r="10267">
      <c r="A10267" s="3">
        <v>1731.0</v>
      </c>
      <c r="B10267" s="3" t="s">
        <v>19423</v>
      </c>
      <c r="C10267" s="3" t="s">
        <v>11281</v>
      </c>
      <c r="D10267" s="3" t="s">
        <v>16267</v>
      </c>
      <c r="E10267" s="3" t="s">
        <v>16268</v>
      </c>
      <c r="F10267" s="3" t="s">
        <v>16269</v>
      </c>
    </row>
    <row r="10268">
      <c r="A10268" s="3">
        <v>1732.0</v>
      </c>
      <c r="B10268" s="3" t="s">
        <v>19423</v>
      </c>
      <c r="C10268" s="3" t="s">
        <v>11281</v>
      </c>
      <c r="D10268" s="3" t="s">
        <v>16270</v>
      </c>
      <c r="E10268" s="3" t="s">
        <v>16271</v>
      </c>
      <c r="F10268" s="3" t="s">
        <v>16270</v>
      </c>
    </row>
    <row r="10269">
      <c r="A10269" s="3">
        <v>1733.0</v>
      </c>
      <c r="B10269" s="3" t="s">
        <v>19423</v>
      </c>
      <c r="C10269" s="3" t="s">
        <v>11281</v>
      </c>
      <c r="D10269" s="3" t="s">
        <v>16272</v>
      </c>
      <c r="E10269" s="3" t="s">
        <v>16273</v>
      </c>
      <c r="F10269" s="3" t="s">
        <v>16272</v>
      </c>
    </row>
    <row r="10270">
      <c r="A10270" s="3">
        <v>1734.0</v>
      </c>
      <c r="B10270" s="3" t="s">
        <v>19423</v>
      </c>
      <c r="C10270" s="3" t="s">
        <v>11281</v>
      </c>
      <c r="D10270" s="3" t="s">
        <v>3246</v>
      </c>
      <c r="E10270" s="3" t="s">
        <v>3245</v>
      </c>
      <c r="F10270" s="3" t="s">
        <v>3246</v>
      </c>
    </row>
    <row r="10271">
      <c r="A10271" s="3">
        <v>1735.0</v>
      </c>
      <c r="B10271" s="3" t="s">
        <v>19423</v>
      </c>
      <c r="C10271" s="3" t="s">
        <v>11281</v>
      </c>
      <c r="D10271" s="3" t="s">
        <v>16274</v>
      </c>
      <c r="E10271" s="3" t="s">
        <v>16275</v>
      </c>
      <c r="F10271" s="3" t="s">
        <v>16274</v>
      </c>
      <c r="G10271" s="3"/>
      <c r="H10271" s="3" t="s">
        <v>16276</v>
      </c>
    </row>
    <row r="10272">
      <c r="A10272" s="3">
        <v>1736.0</v>
      </c>
      <c r="B10272" s="3" t="s">
        <v>19423</v>
      </c>
      <c r="C10272" s="3" t="s">
        <v>11281</v>
      </c>
      <c r="D10272" s="3" t="s">
        <v>16277</v>
      </c>
      <c r="E10272" s="3" t="s">
        <v>16278</v>
      </c>
      <c r="F10272" s="3" t="s">
        <v>16277</v>
      </c>
    </row>
    <row r="10273">
      <c r="A10273" s="3">
        <v>1737.0</v>
      </c>
      <c r="B10273" s="3" t="s">
        <v>19423</v>
      </c>
      <c r="C10273" s="3" t="s">
        <v>11281</v>
      </c>
      <c r="D10273" s="3" t="s">
        <v>16279</v>
      </c>
      <c r="E10273" s="3" t="s">
        <v>3503</v>
      </c>
      <c r="F10273" s="3" t="s">
        <v>3504</v>
      </c>
    </row>
    <row r="10274">
      <c r="A10274" s="3">
        <v>1738.0</v>
      </c>
      <c r="B10274" s="3" t="s">
        <v>19423</v>
      </c>
      <c r="C10274" s="3" t="s">
        <v>11281</v>
      </c>
      <c r="D10274" s="3" t="s">
        <v>16280</v>
      </c>
      <c r="E10274" s="3" t="s">
        <v>16281</v>
      </c>
      <c r="F10274" s="3" t="s">
        <v>16282</v>
      </c>
    </row>
    <row r="10275">
      <c r="A10275" s="3">
        <v>1739.0</v>
      </c>
      <c r="B10275" s="3" t="s">
        <v>19423</v>
      </c>
      <c r="C10275" s="3" t="s">
        <v>11281</v>
      </c>
      <c r="D10275" s="3" t="s">
        <v>16283</v>
      </c>
      <c r="E10275" s="3" t="s">
        <v>16284</v>
      </c>
      <c r="F10275" s="3" t="s">
        <v>16285</v>
      </c>
    </row>
    <row r="10276">
      <c r="A10276" s="3">
        <v>1740.0</v>
      </c>
      <c r="B10276" s="3" t="s">
        <v>19423</v>
      </c>
      <c r="C10276" s="3" t="s">
        <v>11281</v>
      </c>
      <c r="D10276" s="3" t="s">
        <v>16286</v>
      </c>
      <c r="E10276" s="3" t="s">
        <v>16287</v>
      </c>
      <c r="F10276" s="3" t="s">
        <v>16288</v>
      </c>
    </row>
    <row r="10277">
      <c r="A10277" s="3">
        <v>1741.0</v>
      </c>
      <c r="B10277" s="3" t="s">
        <v>19423</v>
      </c>
      <c r="C10277" s="3" t="s">
        <v>11281</v>
      </c>
      <c r="D10277" s="3" t="s">
        <v>16289</v>
      </c>
      <c r="E10277" s="3" t="s">
        <v>16290</v>
      </c>
      <c r="F10277" s="3" t="s">
        <v>16291</v>
      </c>
    </row>
    <row r="10278">
      <c r="A10278" s="3">
        <v>1742.0</v>
      </c>
      <c r="B10278" s="3" t="s">
        <v>19423</v>
      </c>
      <c r="C10278" s="3" t="s">
        <v>11281</v>
      </c>
      <c r="D10278" s="3" t="s">
        <v>16292</v>
      </c>
      <c r="E10278" s="3" t="s">
        <v>16293</v>
      </c>
      <c r="F10278" s="3" t="s">
        <v>16294</v>
      </c>
    </row>
    <row r="10279">
      <c r="A10279" s="3">
        <v>1743.0</v>
      </c>
      <c r="B10279" s="3" t="s">
        <v>19423</v>
      </c>
      <c r="C10279" s="3" t="s">
        <v>11281</v>
      </c>
      <c r="D10279" s="3" t="s">
        <v>16295</v>
      </c>
      <c r="E10279" s="3" t="s">
        <v>16296</v>
      </c>
      <c r="F10279" s="3" t="s">
        <v>16297</v>
      </c>
    </row>
    <row r="10280">
      <c r="A10280" s="3">
        <v>1744.0</v>
      </c>
      <c r="B10280" s="3" t="s">
        <v>19423</v>
      </c>
      <c r="C10280" s="3" t="s">
        <v>11281</v>
      </c>
      <c r="D10280" s="3" t="s">
        <v>16298</v>
      </c>
      <c r="E10280" s="3" t="s">
        <v>16299</v>
      </c>
      <c r="F10280" s="3" t="s">
        <v>16300</v>
      </c>
    </row>
    <row r="10281">
      <c r="A10281" s="3">
        <v>1745.0</v>
      </c>
      <c r="B10281" s="3" t="s">
        <v>19423</v>
      </c>
      <c r="C10281" s="3" t="s">
        <v>11281</v>
      </c>
      <c r="D10281" s="3" t="s">
        <v>7310</v>
      </c>
      <c r="E10281" s="3" t="s">
        <v>16301</v>
      </c>
      <c r="F10281" s="3" t="s">
        <v>16302</v>
      </c>
    </row>
    <row r="10282">
      <c r="A10282" s="3">
        <v>1746.0</v>
      </c>
      <c r="B10282" s="3" t="s">
        <v>19423</v>
      </c>
      <c r="C10282" s="3" t="s">
        <v>11281</v>
      </c>
      <c r="D10282" s="3" t="s">
        <v>16303</v>
      </c>
      <c r="E10282" s="3" t="s">
        <v>16304</v>
      </c>
      <c r="F10282" s="3" t="s">
        <v>16305</v>
      </c>
    </row>
    <row r="10283">
      <c r="A10283" s="3">
        <v>1747.0</v>
      </c>
      <c r="B10283" s="3" t="s">
        <v>19423</v>
      </c>
      <c r="C10283" s="3" t="s">
        <v>11281</v>
      </c>
      <c r="D10283" s="3" t="s">
        <v>16306</v>
      </c>
      <c r="E10283" s="3" t="s">
        <v>16307</v>
      </c>
      <c r="F10283" s="3" t="s">
        <v>16308</v>
      </c>
    </row>
    <row r="10284">
      <c r="A10284" s="3">
        <v>1748.0</v>
      </c>
      <c r="B10284" s="3" t="s">
        <v>19423</v>
      </c>
      <c r="C10284" s="3" t="s">
        <v>11281</v>
      </c>
      <c r="D10284" s="3" t="s">
        <v>16309</v>
      </c>
      <c r="E10284" s="3" t="s">
        <v>16310</v>
      </c>
      <c r="F10284" s="3" t="s">
        <v>16311</v>
      </c>
    </row>
    <row r="10285">
      <c r="A10285" s="3">
        <v>1749.0</v>
      </c>
      <c r="B10285" s="3" t="s">
        <v>19423</v>
      </c>
      <c r="C10285" s="3" t="s">
        <v>11281</v>
      </c>
      <c r="D10285" s="3" t="s">
        <v>16312</v>
      </c>
      <c r="E10285" s="3" t="s">
        <v>16313</v>
      </c>
      <c r="F10285" s="3" t="s">
        <v>16314</v>
      </c>
    </row>
    <row r="10286">
      <c r="A10286" s="3">
        <v>1750.0</v>
      </c>
      <c r="B10286" s="3" t="s">
        <v>19423</v>
      </c>
      <c r="C10286" s="3" t="s">
        <v>11281</v>
      </c>
      <c r="D10286" s="3" t="s">
        <v>16315</v>
      </c>
      <c r="E10286" s="3" t="s">
        <v>16316</v>
      </c>
      <c r="F10286" s="3" t="s">
        <v>16317</v>
      </c>
    </row>
    <row r="10287">
      <c r="A10287" s="3">
        <v>1751.0</v>
      </c>
      <c r="B10287" s="3" t="s">
        <v>19423</v>
      </c>
      <c r="C10287" s="3" t="s">
        <v>11281</v>
      </c>
      <c r="D10287" s="3" t="s">
        <v>7313</v>
      </c>
      <c r="E10287" s="3" t="s">
        <v>16318</v>
      </c>
      <c r="F10287" s="3" t="s">
        <v>16319</v>
      </c>
    </row>
    <row r="10288">
      <c r="A10288" s="3">
        <v>1752.0</v>
      </c>
      <c r="B10288" s="3" t="s">
        <v>19423</v>
      </c>
      <c r="C10288" s="3" t="s">
        <v>11281</v>
      </c>
      <c r="D10288" s="3" t="s">
        <v>16320</v>
      </c>
      <c r="E10288" s="3" t="s">
        <v>16321</v>
      </c>
      <c r="F10288" s="3" t="s">
        <v>16322</v>
      </c>
    </row>
    <row r="10289">
      <c r="A10289" s="3">
        <v>1753.0</v>
      </c>
      <c r="B10289" s="3" t="s">
        <v>19423</v>
      </c>
      <c r="C10289" s="3" t="s">
        <v>11281</v>
      </c>
      <c r="D10289" s="3" t="s">
        <v>16323</v>
      </c>
      <c r="E10289" s="3" t="s">
        <v>16324</v>
      </c>
      <c r="F10289" s="3" t="s">
        <v>16325</v>
      </c>
    </row>
    <row r="10290">
      <c r="A10290" s="3">
        <v>1754.0</v>
      </c>
      <c r="B10290" s="3" t="s">
        <v>19423</v>
      </c>
      <c r="C10290" s="3" t="s">
        <v>11281</v>
      </c>
      <c r="D10290" s="3" t="s">
        <v>16326</v>
      </c>
      <c r="E10290" s="3" t="s">
        <v>16327</v>
      </c>
      <c r="F10290" s="3" t="s">
        <v>16328</v>
      </c>
      <c r="G10290" s="3"/>
      <c r="H10290" s="3" t="s">
        <v>16329</v>
      </c>
      <c r="I10290" s="3" t="s">
        <v>16330</v>
      </c>
    </row>
    <row r="10291">
      <c r="A10291" s="3">
        <v>1755.0</v>
      </c>
      <c r="B10291" s="3" t="s">
        <v>19423</v>
      </c>
      <c r="C10291" s="3" t="s">
        <v>11281</v>
      </c>
      <c r="D10291" s="3" t="s">
        <v>16331</v>
      </c>
      <c r="E10291" s="3" t="s">
        <v>16332</v>
      </c>
      <c r="F10291" s="3" t="s">
        <v>16333</v>
      </c>
    </row>
    <row r="10292">
      <c r="A10292" s="3">
        <v>1756.0</v>
      </c>
      <c r="B10292" s="3" t="s">
        <v>19423</v>
      </c>
      <c r="C10292" s="3" t="s">
        <v>11281</v>
      </c>
      <c r="D10292" s="3" t="s">
        <v>16334</v>
      </c>
      <c r="E10292" s="3" t="s">
        <v>16335</v>
      </c>
      <c r="F10292" s="3" t="s">
        <v>16336</v>
      </c>
    </row>
    <row r="10293">
      <c r="A10293" s="3">
        <v>1757.0</v>
      </c>
      <c r="B10293" s="3" t="s">
        <v>19423</v>
      </c>
      <c r="C10293" s="3" t="s">
        <v>11281</v>
      </c>
      <c r="D10293" s="3" t="s">
        <v>16337</v>
      </c>
      <c r="E10293" s="3" t="s">
        <v>16338</v>
      </c>
      <c r="F10293" s="3" t="s">
        <v>16339</v>
      </c>
    </row>
    <row r="10294">
      <c r="A10294" s="3">
        <v>1758.0</v>
      </c>
      <c r="B10294" s="3" t="s">
        <v>19423</v>
      </c>
      <c r="C10294" s="3" t="s">
        <v>11281</v>
      </c>
      <c r="D10294" s="3" t="s">
        <v>16340</v>
      </c>
      <c r="E10294" s="3" t="s">
        <v>16341</v>
      </c>
      <c r="F10294" s="3" t="s">
        <v>16342</v>
      </c>
    </row>
    <row r="10295">
      <c r="A10295" s="3">
        <v>1759.0</v>
      </c>
      <c r="B10295" s="3" t="s">
        <v>19423</v>
      </c>
      <c r="C10295" s="3" t="s">
        <v>11281</v>
      </c>
      <c r="D10295" s="3" t="s">
        <v>11240</v>
      </c>
      <c r="E10295" s="3" t="s">
        <v>16343</v>
      </c>
      <c r="F10295" s="3" t="s">
        <v>11240</v>
      </c>
      <c r="G10295" s="3"/>
      <c r="H10295" s="3" t="s">
        <v>16344</v>
      </c>
      <c r="I10295" s="3" t="s">
        <v>16345</v>
      </c>
      <c r="J10295" s="3" t="s">
        <v>16344</v>
      </c>
    </row>
    <row r="10296">
      <c r="A10296" s="3">
        <v>1760.0</v>
      </c>
      <c r="B10296" s="3" t="s">
        <v>19423</v>
      </c>
      <c r="C10296" s="3" t="s">
        <v>11281</v>
      </c>
      <c r="D10296" s="3" t="s">
        <v>16346</v>
      </c>
      <c r="E10296" s="3" t="s">
        <v>16347</v>
      </c>
      <c r="F10296" s="3" t="s">
        <v>16348</v>
      </c>
      <c r="G10296" s="3"/>
      <c r="H10296" s="3" t="s">
        <v>16346</v>
      </c>
    </row>
    <row r="10297">
      <c r="A10297" s="3">
        <v>1761.0</v>
      </c>
      <c r="B10297" s="3" t="s">
        <v>19423</v>
      </c>
      <c r="C10297" s="3" t="s">
        <v>11281</v>
      </c>
      <c r="D10297" s="3" t="s">
        <v>16349</v>
      </c>
      <c r="E10297" s="3" t="s">
        <v>16350</v>
      </c>
      <c r="F10297" s="3" t="s">
        <v>16351</v>
      </c>
    </row>
    <row r="10298">
      <c r="A10298" s="3">
        <v>1762.0</v>
      </c>
      <c r="B10298" s="3" t="s">
        <v>19423</v>
      </c>
      <c r="C10298" s="3" t="s">
        <v>11281</v>
      </c>
      <c r="D10298" s="3" t="s">
        <v>16352</v>
      </c>
      <c r="E10298" s="3" t="s">
        <v>16353</v>
      </c>
      <c r="F10298" s="3" t="s">
        <v>16354</v>
      </c>
    </row>
    <row r="10299">
      <c r="A10299" s="3">
        <v>1763.0</v>
      </c>
      <c r="B10299" s="3" t="s">
        <v>19423</v>
      </c>
      <c r="C10299" s="3" t="s">
        <v>11281</v>
      </c>
      <c r="D10299" s="3" t="s">
        <v>16355</v>
      </c>
      <c r="E10299" s="3" t="s">
        <v>16356</v>
      </c>
      <c r="F10299" s="3" t="s">
        <v>16357</v>
      </c>
    </row>
    <row r="10300">
      <c r="A10300" s="3">
        <v>1764.0</v>
      </c>
      <c r="B10300" s="3" t="s">
        <v>19423</v>
      </c>
      <c r="C10300" s="3" t="s">
        <v>11281</v>
      </c>
      <c r="D10300" s="3" t="s">
        <v>16358</v>
      </c>
      <c r="E10300" s="3" t="s">
        <v>16359</v>
      </c>
      <c r="F10300" s="3" t="s">
        <v>16358</v>
      </c>
    </row>
    <row r="10301">
      <c r="A10301" s="3">
        <v>1765.0</v>
      </c>
      <c r="B10301" s="3" t="s">
        <v>19423</v>
      </c>
      <c r="C10301" s="3" t="s">
        <v>11281</v>
      </c>
      <c r="D10301" s="3" t="s">
        <v>16360</v>
      </c>
      <c r="E10301" s="3" t="s">
        <v>16361</v>
      </c>
      <c r="F10301" s="3" t="s">
        <v>16360</v>
      </c>
    </row>
    <row r="10302">
      <c r="A10302" s="3">
        <v>1766.0</v>
      </c>
      <c r="B10302" s="3" t="s">
        <v>19423</v>
      </c>
      <c r="C10302" s="3" t="s">
        <v>11281</v>
      </c>
      <c r="D10302" s="3" t="s">
        <v>16362</v>
      </c>
      <c r="E10302" s="3" t="s">
        <v>16363</v>
      </c>
      <c r="F10302" s="3" t="s">
        <v>16362</v>
      </c>
      <c r="G10302" s="3"/>
      <c r="H10302" s="3" t="s">
        <v>16364</v>
      </c>
      <c r="I10302" s="3" t="s">
        <v>16365</v>
      </c>
      <c r="J10302" s="3" t="s">
        <v>16366</v>
      </c>
    </row>
    <row r="10303">
      <c r="A10303" s="3">
        <v>1767.0</v>
      </c>
      <c r="B10303" s="3" t="s">
        <v>19423</v>
      </c>
      <c r="C10303" s="3" t="s">
        <v>11281</v>
      </c>
      <c r="D10303" s="3" t="s">
        <v>16367</v>
      </c>
      <c r="E10303" s="3" t="s">
        <v>16368</v>
      </c>
      <c r="F10303" s="3" t="s">
        <v>16367</v>
      </c>
    </row>
    <row r="10304">
      <c r="A10304" s="3">
        <v>1768.0</v>
      </c>
      <c r="B10304" s="3" t="s">
        <v>19423</v>
      </c>
      <c r="C10304" s="3" t="s">
        <v>11281</v>
      </c>
      <c r="D10304" s="3" t="s">
        <v>16369</v>
      </c>
      <c r="E10304" s="3" t="s">
        <v>16370</v>
      </c>
      <c r="F10304" s="3" t="s">
        <v>16369</v>
      </c>
    </row>
    <row r="10305">
      <c r="A10305" s="3">
        <v>1769.0</v>
      </c>
      <c r="B10305" s="3" t="s">
        <v>19423</v>
      </c>
      <c r="C10305" s="3" t="s">
        <v>11281</v>
      </c>
      <c r="D10305" s="3" t="s">
        <v>16371</v>
      </c>
      <c r="E10305" s="3" t="s">
        <v>16372</v>
      </c>
      <c r="F10305" s="3" t="s">
        <v>16371</v>
      </c>
    </row>
    <row r="10306">
      <c r="A10306" s="3">
        <v>1770.0</v>
      </c>
      <c r="B10306" s="3" t="s">
        <v>19423</v>
      </c>
      <c r="C10306" s="3" t="s">
        <v>11281</v>
      </c>
      <c r="D10306" s="3" t="s">
        <v>16373</v>
      </c>
      <c r="E10306" s="3" t="s">
        <v>16374</v>
      </c>
      <c r="F10306" s="3" t="s">
        <v>16373</v>
      </c>
    </row>
    <row r="10307">
      <c r="A10307" s="3">
        <v>1771.0</v>
      </c>
      <c r="B10307" s="3" t="s">
        <v>19423</v>
      </c>
      <c r="C10307" s="3" t="s">
        <v>11281</v>
      </c>
      <c r="D10307" s="3" t="s">
        <v>16375</v>
      </c>
      <c r="E10307" s="3" t="s">
        <v>16376</v>
      </c>
      <c r="F10307" s="3" t="s">
        <v>16375</v>
      </c>
    </row>
    <row r="10308">
      <c r="A10308" s="3">
        <v>1772.0</v>
      </c>
      <c r="B10308" s="3" t="s">
        <v>19423</v>
      </c>
      <c r="C10308" s="3" t="s">
        <v>11281</v>
      </c>
      <c r="D10308" s="3" t="s">
        <v>16377</v>
      </c>
      <c r="E10308" s="3" t="s">
        <v>16378</v>
      </c>
      <c r="F10308" s="3" t="s">
        <v>16377</v>
      </c>
    </row>
    <row r="10309">
      <c r="A10309" s="3">
        <v>1773.0</v>
      </c>
      <c r="B10309" s="3" t="s">
        <v>19423</v>
      </c>
      <c r="C10309" s="3" t="s">
        <v>11281</v>
      </c>
      <c r="D10309" s="3" t="s">
        <v>16379</v>
      </c>
      <c r="E10309" s="3" t="s">
        <v>16380</v>
      </c>
      <c r="F10309" s="3" t="s">
        <v>16379</v>
      </c>
    </row>
    <row r="10310">
      <c r="A10310" s="3">
        <v>1774.0</v>
      </c>
      <c r="B10310" s="3" t="s">
        <v>19423</v>
      </c>
      <c r="C10310" s="3" t="s">
        <v>11281</v>
      </c>
      <c r="D10310" s="3" t="s">
        <v>16381</v>
      </c>
      <c r="E10310" s="3" t="s">
        <v>16382</v>
      </c>
      <c r="F10310" s="3" t="s">
        <v>16383</v>
      </c>
    </row>
    <row r="10311">
      <c r="A10311" s="3">
        <v>1775.0</v>
      </c>
      <c r="B10311" s="3" t="s">
        <v>19423</v>
      </c>
      <c r="C10311" s="3" t="s">
        <v>11281</v>
      </c>
      <c r="D10311" s="3" t="s">
        <v>16384</v>
      </c>
      <c r="E10311" s="3" t="s">
        <v>16385</v>
      </c>
      <c r="F10311" s="3" t="s">
        <v>16386</v>
      </c>
    </row>
    <row r="10312">
      <c r="A10312" s="3">
        <v>1776.0</v>
      </c>
      <c r="B10312" s="3" t="s">
        <v>19423</v>
      </c>
      <c r="C10312" s="3" t="s">
        <v>11281</v>
      </c>
      <c r="D10312" s="3" t="s">
        <v>16387</v>
      </c>
      <c r="E10312" s="3" t="s">
        <v>16388</v>
      </c>
      <c r="F10312" s="3" t="s">
        <v>16389</v>
      </c>
    </row>
    <row r="10313">
      <c r="A10313" s="3">
        <v>1777.0</v>
      </c>
      <c r="B10313" s="3" t="s">
        <v>19423</v>
      </c>
      <c r="C10313" s="3" t="s">
        <v>11281</v>
      </c>
      <c r="D10313" s="3" t="s">
        <v>16390</v>
      </c>
      <c r="E10313" s="3" t="s">
        <v>16391</v>
      </c>
      <c r="F10313" s="3" t="s">
        <v>16392</v>
      </c>
    </row>
    <row r="10314">
      <c r="A10314" s="3">
        <v>1778.0</v>
      </c>
      <c r="B10314" s="3" t="s">
        <v>19423</v>
      </c>
      <c r="C10314" s="3" t="s">
        <v>11281</v>
      </c>
      <c r="D10314" s="3" t="s">
        <v>16393</v>
      </c>
      <c r="E10314" s="3" t="s">
        <v>16394</v>
      </c>
      <c r="F10314" s="3" t="s">
        <v>16393</v>
      </c>
    </row>
    <row r="10315">
      <c r="A10315" s="3">
        <v>1779.0</v>
      </c>
      <c r="B10315" s="3" t="s">
        <v>19423</v>
      </c>
      <c r="C10315" s="3" t="s">
        <v>11281</v>
      </c>
      <c r="D10315" s="3" t="s">
        <v>16395</v>
      </c>
      <c r="E10315" s="3" t="s">
        <v>16396</v>
      </c>
      <c r="F10315" s="3" t="s">
        <v>16395</v>
      </c>
    </row>
    <row r="10316">
      <c r="A10316" s="3">
        <v>1780.0</v>
      </c>
      <c r="B10316" s="3" t="s">
        <v>19423</v>
      </c>
      <c r="C10316" s="3" t="s">
        <v>11281</v>
      </c>
      <c r="D10316" s="3" t="s">
        <v>16397</v>
      </c>
      <c r="E10316" s="3" t="s">
        <v>16398</v>
      </c>
      <c r="F10316" s="3" t="s">
        <v>16397</v>
      </c>
      <c r="G10316" s="3"/>
      <c r="H10316" s="3" t="s">
        <v>16399</v>
      </c>
      <c r="I10316" s="3" t="s">
        <v>16400</v>
      </c>
    </row>
    <row r="10317">
      <c r="A10317" s="3">
        <v>1781.0</v>
      </c>
      <c r="B10317" s="3" t="s">
        <v>19423</v>
      </c>
      <c r="C10317" s="3" t="s">
        <v>11281</v>
      </c>
      <c r="D10317" s="3" t="s">
        <v>8797</v>
      </c>
      <c r="E10317" s="3" t="s">
        <v>8796</v>
      </c>
      <c r="F10317" s="3" t="s">
        <v>8797</v>
      </c>
    </row>
    <row r="10318">
      <c r="A10318" s="3">
        <v>1782.0</v>
      </c>
      <c r="B10318" s="3" t="s">
        <v>19423</v>
      </c>
      <c r="C10318" s="3" t="s">
        <v>11281</v>
      </c>
      <c r="D10318" s="3" t="s">
        <v>16401</v>
      </c>
      <c r="E10318" s="3" t="s">
        <v>16402</v>
      </c>
      <c r="F10318" s="3" t="s">
        <v>16401</v>
      </c>
    </row>
    <row r="10319">
      <c r="A10319" s="3">
        <v>1783.0</v>
      </c>
      <c r="B10319" s="3" t="s">
        <v>19423</v>
      </c>
      <c r="C10319" s="3" t="s">
        <v>11281</v>
      </c>
      <c r="D10319" s="3" t="s">
        <v>16403</v>
      </c>
      <c r="E10319" s="3" t="s">
        <v>16404</v>
      </c>
      <c r="F10319" s="3" t="s">
        <v>16403</v>
      </c>
    </row>
    <row r="10320">
      <c r="A10320" s="3">
        <v>1784.0</v>
      </c>
      <c r="B10320" s="3" t="s">
        <v>19423</v>
      </c>
      <c r="C10320" s="3" t="s">
        <v>11281</v>
      </c>
      <c r="D10320" s="3" t="s">
        <v>16405</v>
      </c>
      <c r="E10320" s="3" t="s">
        <v>16406</v>
      </c>
      <c r="F10320" s="3" t="s">
        <v>16405</v>
      </c>
    </row>
    <row r="10321">
      <c r="A10321" s="3">
        <v>1785.0</v>
      </c>
      <c r="B10321" s="3" t="s">
        <v>19423</v>
      </c>
      <c r="C10321" s="3" t="s">
        <v>11281</v>
      </c>
      <c r="D10321" s="3" t="s">
        <v>16407</v>
      </c>
      <c r="E10321" s="3" t="s">
        <v>16408</v>
      </c>
      <c r="F10321" s="3" t="s">
        <v>16409</v>
      </c>
    </row>
    <row r="10322">
      <c r="A10322" s="3">
        <v>1786.0</v>
      </c>
      <c r="B10322" s="3" t="s">
        <v>19423</v>
      </c>
      <c r="C10322" s="3" t="s">
        <v>11281</v>
      </c>
      <c r="D10322" s="3" t="s">
        <v>16410</v>
      </c>
      <c r="E10322" s="3" t="s">
        <v>16411</v>
      </c>
      <c r="F10322" s="3" t="s">
        <v>16412</v>
      </c>
    </row>
    <row r="10323">
      <c r="A10323" s="3">
        <v>1787.0</v>
      </c>
      <c r="B10323" s="3" t="s">
        <v>19423</v>
      </c>
      <c r="C10323" s="3" t="s">
        <v>11281</v>
      </c>
      <c r="D10323" s="3" t="s">
        <v>16413</v>
      </c>
      <c r="E10323" s="3" t="s">
        <v>16414</v>
      </c>
      <c r="F10323" s="3" t="s">
        <v>16413</v>
      </c>
      <c r="G10323" s="3"/>
      <c r="H10323" s="3" t="s">
        <v>16413</v>
      </c>
      <c r="I10323" s="3" t="s">
        <v>16415</v>
      </c>
      <c r="J10323" s="3" t="s">
        <v>16416</v>
      </c>
    </row>
    <row r="10324">
      <c r="A10324" s="3">
        <v>1788.0</v>
      </c>
      <c r="B10324" s="3" t="s">
        <v>19423</v>
      </c>
      <c r="C10324" s="3" t="s">
        <v>11281</v>
      </c>
      <c r="D10324" s="3" t="s">
        <v>16417</v>
      </c>
      <c r="E10324" s="3" t="s">
        <v>16418</v>
      </c>
      <c r="F10324" s="3" t="s">
        <v>16417</v>
      </c>
    </row>
    <row r="10325">
      <c r="A10325" s="3">
        <v>1789.0</v>
      </c>
      <c r="B10325" s="3" t="s">
        <v>19423</v>
      </c>
      <c r="C10325" s="3" t="s">
        <v>11281</v>
      </c>
      <c r="D10325" s="3" t="s">
        <v>16419</v>
      </c>
      <c r="E10325" s="3" t="s">
        <v>16420</v>
      </c>
      <c r="F10325" s="3" t="s">
        <v>16419</v>
      </c>
    </row>
    <row r="10326">
      <c r="A10326" s="3">
        <v>1790.0</v>
      </c>
      <c r="B10326" s="3" t="s">
        <v>19423</v>
      </c>
      <c r="C10326" s="3" t="s">
        <v>11281</v>
      </c>
      <c r="D10326" s="3" t="s">
        <v>16421</v>
      </c>
      <c r="E10326" s="3" t="s">
        <v>20124</v>
      </c>
      <c r="F10326" s="3" t="s">
        <v>20125</v>
      </c>
    </row>
    <row r="10327">
      <c r="A10327" s="3">
        <v>1791.0</v>
      </c>
      <c r="B10327" s="3" t="s">
        <v>19423</v>
      </c>
      <c r="C10327" s="3" t="s">
        <v>11281</v>
      </c>
      <c r="D10327" s="3" t="s">
        <v>16424</v>
      </c>
      <c r="E10327" s="3" t="s">
        <v>20126</v>
      </c>
      <c r="F10327" s="3" t="s">
        <v>20127</v>
      </c>
    </row>
    <row r="10328">
      <c r="A10328" s="3">
        <v>1792.0</v>
      </c>
      <c r="B10328" s="3" t="s">
        <v>19423</v>
      </c>
      <c r="C10328" s="3" t="s">
        <v>11281</v>
      </c>
      <c r="D10328" s="3" t="s">
        <v>16427</v>
      </c>
      <c r="E10328" s="3" t="s">
        <v>20128</v>
      </c>
      <c r="F10328" s="3" t="s">
        <v>20129</v>
      </c>
    </row>
    <row r="10329">
      <c r="A10329" s="3">
        <v>1793.0</v>
      </c>
      <c r="B10329" s="3" t="s">
        <v>19423</v>
      </c>
      <c r="C10329" s="3" t="s">
        <v>11281</v>
      </c>
      <c r="D10329" s="3" t="s">
        <v>16430</v>
      </c>
      <c r="E10329" s="3" t="s">
        <v>20130</v>
      </c>
      <c r="F10329" s="3" t="s">
        <v>20131</v>
      </c>
    </row>
    <row r="10330">
      <c r="A10330" s="3">
        <v>1794.0</v>
      </c>
      <c r="B10330" s="3" t="s">
        <v>19423</v>
      </c>
      <c r="C10330" s="3" t="s">
        <v>11281</v>
      </c>
      <c r="D10330" s="3" t="s">
        <v>16433</v>
      </c>
      <c r="E10330" s="3" t="s">
        <v>20132</v>
      </c>
      <c r="F10330" s="3" t="s">
        <v>20133</v>
      </c>
    </row>
    <row r="10331">
      <c r="A10331" s="3">
        <v>1795.0</v>
      </c>
      <c r="B10331" s="3" t="s">
        <v>19423</v>
      </c>
      <c r="C10331" s="3" t="s">
        <v>11281</v>
      </c>
      <c r="D10331" s="3" t="s">
        <v>16436</v>
      </c>
      <c r="E10331" s="3" t="s">
        <v>20134</v>
      </c>
      <c r="F10331" s="3" t="s">
        <v>20135</v>
      </c>
    </row>
    <row r="10332">
      <c r="A10332" s="3">
        <v>1796.0</v>
      </c>
      <c r="B10332" s="3" t="s">
        <v>19423</v>
      </c>
      <c r="C10332" s="3" t="s">
        <v>11281</v>
      </c>
      <c r="D10332" s="3" t="s">
        <v>16439</v>
      </c>
      <c r="E10332" s="3" t="s">
        <v>20136</v>
      </c>
      <c r="F10332" s="3" t="s">
        <v>20137</v>
      </c>
    </row>
    <row r="10333">
      <c r="A10333" s="3">
        <v>1797.0</v>
      </c>
      <c r="B10333" s="3" t="s">
        <v>19423</v>
      </c>
      <c r="C10333" s="3" t="s">
        <v>11281</v>
      </c>
      <c r="D10333" s="3" t="s">
        <v>3519</v>
      </c>
      <c r="E10333" s="3" t="s">
        <v>3518</v>
      </c>
      <c r="F10333" s="3" t="s">
        <v>3519</v>
      </c>
    </row>
    <row r="10334">
      <c r="A10334" s="3">
        <v>1798.0</v>
      </c>
      <c r="B10334" s="3" t="s">
        <v>19423</v>
      </c>
      <c r="C10334" s="3" t="s">
        <v>11281</v>
      </c>
      <c r="D10334" s="3" t="s">
        <v>3539</v>
      </c>
      <c r="E10334" s="3" t="s">
        <v>3538</v>
      </c>
      <c r="F10334" s="3" t="s">
        <v>3539</v>
      </c>
      <c r="G10334" s="3"/>
      <c r="H10334" s="3" t="s">
        <v>3557</v>
      </c>
      <c r="I10334" s="3" t="s">
        <v>3558</v>
      </c>
      <c r="J10334" s="3" t="s">
        <v>3557</v>
      </c>
      <c r="K10334" s="3" t="s">
        <v>3562</v>
      </c>
      <c r="L10334" s="3" t="s">
        <v>16442</v>
      </c>
      <c r="M10334" s="3" t="s">
        <v>16443</v>
      </c>
      <c r="N10334" s="3" t="s">
        <v>16444</v>
      </c>
      <c r="O10334" s="3" t="s">
        <v>16445</v>
      </c>
      <c r="P10334" s="3" t="s">
        <v>3569</v>
      </c>
      <c r="Q10334" s="3" t="s">
        <v>3570</v>
      </c>
      <c r="R10334" s="3" t="s">
        <v>3557</v>
      </c>
      <c r="S10334" s="3" t="s">
        <v>3571</v>
      </c>
      <c r="T10334" s="3" t="s">
        <v>3572</v>
      </c>
      <c r="U10334" s="3" t="s">
        <v>3573</v>
      </c>
      <c r="V10334" s="3" t="s">
        <v>9207</v>
      </c>
      <c r="W10334" s="3" t="s">
        <v>16446</v>
      </c>
      <c r="X10334" s="3" t="s">
        <v>16447</v>
      </c>
      <c r="Y10334" s="3" t="s">
        <v>3557</v>
      </c>
      <c r="Z10334" s="3" t="s">
        <v>16448</v>
      </c>
      <c r="AA10334" s="3" t="s">
        <v>16449</v>
      </c>
      <c r="AB10334" s="3" t="s">
        <v>3569</v>
      </c>
      <c r="AC10334" s="3" t="s">
        <v>16450</v>
      </c>
      <c r="AD10334" s="3" t="s">
        <v>4331</v>
      </c>
    </row>
    <row r="10335">
      <c r="A10335" s="3">
        <v>1799.0</v>
      </c>
      <c r="B10335" s="3" t="s">
        <v>19423</v>
      </c>
      <c r="C10335" s="3" t="s">
        <v>11281</v>
      </c>
      <c r="D10335" s="3" t="s">
        <v>16451</v>
      </c>
      <c r="E10335" s="3" t="s">
        <v>16452</v>
      </c>
      <c r="F10335" s="3" t="s">
        <v>16451</v>
      </c>
    </row>
    <row r="10336">
      <c r="A10336" s="3">
        <v>1800.0</v>
      </c>
      <c r="B10336" s="3" t="s">
        <v>19423</v>
      </c>
      <c r="C10336" s="3" t="s">
        <v>11281</v>
      </c>
      <c r="D10336" s="3" t="s">
        <v>16453</v>
      </c>
      <c r="E10336" s="3" t="s">
        <v>16454</v>
      </c>
      <c r="F10336" s="3" t="s">
        <v>16453</v>
      </c>
    </row>
    <row r="10337">
      <c r="A10337" s="3">
        <v>1801.0</v>
      </c>
      <c r="B10337" s="3" t="s">
        <v>19423</v>
      </c>
      <c r="C10337" s="3" t="s">
        <v>11281</v>
      </c>
      <c r="D10337" s="3" t="s">
        <v>8766</v>
      </c>
      <c r="E10337" s="3" t="s">
        <v>8765</v>
      </c>
      <c r="F10337" s="3" t="s">
        <v>8766</v>
      </c>
    </row>
    <row r="10338">
      <c r="A10338" s="3">
        <v>1802.0</v>
      </c>
      <c r="B10338" s="3" t="s">
        <v>19423</v>
      </c>
      <c r="C10338" s="3" t="s">
        <v>11281</v>
      </c>
      <c r="D10338" s="3" t="s">
        <v>16455</v>
      </c>
      <c r="E10338" s="3" t="s">
        <v>16456</v>
      </c>
      <c r="F10338" s="3" t="s">
        <v>16455</v>
      </c>
    </row>
    <row r="10339">
      <c r="A10339" s="3">
        <v>1803.0</v>
      </c>
      <c r="B10339" s="3" t="s">
        <v>19423</v>
      </c>
      <c r="C10339" s="3" t="s">
        <v>11281</v>
      </c>
      <c r="D10339" s="3" t="s">
        <v>16457</v>
      </c>
      <c r="E10339" s="3" t="s">
        <v>16458</v>
      </c>
      <c r="F10339" s="3" t="s">
        <v>16457</v>
      </c>
    </row>
    <row r="10340">
      <c r="A10340" s="3">
        <v>1804.0</v>
      </c>
      <c r="B10340" s="3" t="s">
        <v>19423</v>
      </c>
      <c r="C10340" s="3" t="s">
        <v>11281</v>
      </c>
      <c r="D10340" s="3" t="s">
        <v>3548</v>
      </c>
      <c r="E10340" s="3" t="s">
        <v>3547</v>
      </c>
      <c r="F10340" s="3" t="s">
        <v>3548</v>
      </c>
    </row>
    <row r="10341">
      <c r="A10341" s="3">
        <v>1805.0</v>
      </c>
      <c r="B10341" s="3" t="s">
        <v>19423</v>
      </c>
      <c r="C10341" s="3" t="s">
        <v>11281</v>
      </c>
      <c r="D10341" s="3" t="s">
        <v>16459</v>
      </c>
      <c r="E10341" s="3" t="s">
        <v>16460</v>
      </c>
      <c r="F10341" s="3" t="s">
        <v>16459</v>
      </c>
    </row>
    <row r="10342">
      <c r="A10342" s="3">
        <v>1806.0</v>
      </c>
      <c r="B10342" s="3" t="s">
        <v>19423</v>
      </c>
      <c r="C10342" s="3" t="s">
        <v>11281</v>
      </c>
      <c r="D10342" s="3" t="s">
        <v>16461</v>
      </c>
      <c r="E10342" s="3" t="s">
        <v>16462</v>
      </c>
      <c r="F10342" s="3" t="s">
        <v>16461</v>
      </c>
    </row>
    <row r="10343">
      <c r="A10343" s="3">
        <v>1807.0</v>
      </c>
      <c r="B10343" s="3" t="s">
        <v>19423</v>
      </c>
      <c r="C10343" s="3" t="s">
        <v>11281</v>
      </c>
      <c r="D10343" s="3" t="s">
        <v>16463</v>
      </c>
      <c r="E10343" s="3" t="s">
        <v>16464</v>
      </c>
      <c r="F10343" s="3" t="s">
        <v>16463</v>
      </c>
    </row>
    <row r="10344">
      <c r="A10344" s="3">
        <v>1808.0</v>
      </c>
      <c r="B10344" s="3" t="s">
        <v>19423</v>
      </c>
      <c r="C10344" s="3" t="s">
        <v>11281</v>
      </c>
      <c r="D10344" s="3" t="s">
        <v>16465</v>
      </c>
      <c r="E10344" s="3" t="s">
        <v>16466</v>
      </c>
      <c r="F10344" s="3" t="s">
        <v>16465</v>
      </c>
    </row>
    <row r="10345">
      <c r="A10345" s="3">
        <v>1809.0</v>
      </c>
      <c r="B10345" s="3" t="s">
        <v>19423</v>
      </c>
      <c r="C10345" s="3" t="s">
        <v>11281</v>
      </c>
      <c r="D10345" s="3" t="s">
        <v>16467</v>
      </c>
      <c r="E10345" s="3" t="s">
        <v>16468</v>
      </c>
      <c r="F10345" s="3" t="s">
        <v>16467</v>
      </c>
    </row>
    <row r="10346">
      <c r="A10346" s="3">
        <v>1810.0</v>
      </c>
      <c r="B10346" s="3" t="s">
        <v>19423</v>
      </c>
      <c r="C10346" s="3" t="s">
        <v>11281</v>
      </c>
      <c r="D10346" s="3" t="s">
        <v>16469</v>
      </c>
      <c r="E10346" s="3" t="s">
        <v>16470</v>
      </c>
      <c r="F10346" s="3" t="s">
        <v>16469</v>
      </c>
    </row>
    <row r="10347">
      <c r="A10347" s="3">
        <v>1811.0</v>
      </c>
      <c r="B10347" s="3" t="s">
        <v>19423</v>
      </c>
      <c r="C10347" s="3" t="s">
        <v>11281</v>
      </c>
      <c r="D10347" s="3" t="s">
        <v>3610</v>
      </c>
      <c r="E10347" s="3" t="s">
        <v>3609</v>
      </c>
      <c r="F10347" s="3" t="s">
        <v>3610</v>
      </c>
      <c r="G10347" s="3"/>
      <c r="H10347" s="3" t="s">
        <v>3516</v>
      </c>
      <c r="I10347" s="3" t="s">
        <v>3512</v>
      </c>
    </row>
    <row r="10348">
      <c r="A10348" s="3">
        <v>1812.0</v>
      </c>
      <c r="B10348" s="3" t="s">
        <v>19423</v>
      </c>
      <c r="C10348" s="3" t="s">
        <v>11281</v>
      </c>
      <c r="D10348" s="3" t="s">
        <v>16471</v>
      </c>
      <c r="E10348" s="3" t="s">
        <v>16472</v>
      </c>
      <c r="F10348" s="3" t="s">
        <v>16473</v>
      </c>
    </row>
    <row r="10349">
      <c r="A10349" s="3">
        <v>1813.0</v>
      </c>
      <c r="B10349" s="3" t="s">
        <v>19423</v>
      </c>
      <c r="C10349" s="3" t="s">
        <v>11281</v>
      </c>
      <c r="D10349" s="3" t="s">
        <v>16474</v>
      </c>
      <c r="E10349" s="3" t="s">
        <v>16475</v>
      </c>
      <c r="F10349" s="3" t="s">
        <v>16476</v>
      </c>
    </row>
    <row r="10350">
      <c r="A10350" s="3">
        <v>1814.0</v>
      </c>
      <c r="B10350" s="3" t="s">
        <v>19423</v>
      </c>
      <c r="C10350" s="3" t="s">
        <v>11281</v>
      </c>
      <c r="D10350" s="3" t="s">
        <v>16477</v>
      </c>
      <c r="E10350" s="3" t="s">
        <v>16478</v>
      </c>
      <c r="F10350" s="3" t="s">
        <v>16477</v>
      </c>
    </row>
    <row r="10351">
      <c r="A10351" s="3">
        <v>1815.0</v>
      </c>
      <c r="B10351" s="3" t="s">
        <v>19423</v>
      </c>
      <c r="C10351" s="3" t="s">
        <v>11281</v>
      </c>
      <c r="D10351" s="3" t="s">
        <v>16479</v>
      </c>
      <c r="E10351" s="3" t="s">
        <v>16480</v>
      </c>
      <c r="F10351" s="3" t="s">
        <v>16479</v>
      </c>
      <c r="G10351" s="3"/>
      <c r="H10351" s="3" t="s">
        <v>16481</v>
      </c>
      <c r="I10351" s="3" t="s">
        <v>16482</v>
      </c>
      <c r="J10351" s="3" t="s">
        <v>16482</v>
      </c>
      <c r="K10351" s="3" t="s">
        <v>16482</v>
      </c>
      <c r="L10351" s="3" t="s">
        <v>16482</v>
      </c>
      <c r="M10351" s="3" t="s">
        <v>16483</v>
      </c>
      <c r="N10351" s="3" t="s">
        <v>16484</v>
      </c>
      <c r="O10351" s="3" t="s">
        <v>16482</v>
      </c>
    </row>
    <row r="10352">
      <c r="A10352" s="3">
        <v>1816.0</v>
      </c>
      <c r="B10352" s="3" t="s">
        <v>19423</v>
      </c>
      <c r="C10352" s="3" t="s">
        <v>11281</v>
      </c>
      <c r="D10352" s="3" t="s">
        <v>16485</v>
      </c>
      <c r="E10352" s="3" t="s">
        <v>16486</v>
      </c>
      <c r="F10352" s="3" t="s">
        <v>16485</v>
      </c>
    </row>
    <row r="10353">
      <c r="A10353" s="3">
        <v>1817.0</v>
      </c>
      <c r="B10353" s="3" t="s">
        <v>19423</v>
      </c>
      <c r="C10353" s="3" t="s">
        <v>11281</v>
      </c>
      <c r="D10353" s="3" t="s">
        <v>16487</v>
      </c>
      <c r="E10353" s="3" t="s">
        <v>16488</v>
      </c>
      <c r="F10353" s="3" t="s">
        <v>16487</v>
      </c>
    </row>
    <row r="10354">
      <c r="A10354" s="3">
        <v>1818.0</v>
      </c>
      <c r="B10354" s="3" t="s">
        <v>19423</v>
      </c>
      <c r="C10354" s="3" t="s">
        <v>11281</v>
      </c>
      <c r="D10354" s="3" t="s">
        <v>16489</v>
      </c>
      <c r="E10354" s="3" t="s">
        <v>16490</v>
      </c>
      <c r="F10354" s="3" t="s">
        <v>16489</v>
      </c>
    </row>
    <row r="10355">
      <c r="A10355" s="3">
        <v>1819.0</v>
      </c>
      <c r="B10355" s="3" t="s">
        <v>19423</v>
      </c>
      <c r="C10355" s="3" t="s">
        <v>11281</v>
      </c>
      <c r="D10355" s="3" t="s">
        <v>3624</v>
      </c>
      <c r="E10355" s="3" t="s">
        <v>3623</v>
      </c>
      <c r="F10355" s="3" t="s">
        <v>3624</v>
      </c>
    </row>
    <row r="10356">
      <c r="A10356" s="3">
        <v>1820.0</v>
      </c>
      <c r="B10356" s="3" t="s">
        <v>19423</v>
      </c>
      <c r="C10356" s="3" t="s">
        <v>11281</v>
      </c>
      <c r="D10356" s="3" t="s">
        <v>7340</v>
      </c>
      <c r="E10356" s="3" t="s">
        <v>7341</v>
      </c>
      <c r="F10356" s="3" t="s">
        <v>7340</v>
      </c>
    </row>
    <row r="10357">
      <c r="A10357" s="3">
        <v>1821.0</v>
      </c>
      <c r="B10357" s="3" t="s">
        <v>19423</v>
      </c>
      <c r="C10357" s="3" t="s">
        <v>11281</v>
      </c>
      <c r="D10357" s="3" t="s">
        <v>16491</v>
      </c>
      <c r="E10357" s="3" t="s">
        <v>20138</v>
      </c>
      <c r="F10357" s="3" t="s">
        <v>20139</v>
      </c>
      <c r="G10357" s="3"/>
      <c r="H10357" s="3" t="s">
        <v>16492</v>
      </c>
      <c r="I10357" s="3" t="s">
        <v>16493</v>
      </c>
      <c r="J10357" s="3" t="s">
        <v>16494</v>
      </c>
      <c r="K10357" s="3" t="s">
        <v>16495</v>
      </c>
      <c r="L10357" s="3" t="s">
        <v>16496</v>
      </c>
      <c r="M10357" s="3" t="s">
        <v>16497</v>
      </c>
      <c r="N10357" s="3" t="s">
        <v>16498</v>
      </c>
      <c r="O10357" s="3" t="s">
        <v>16499</v>
      </c>
      <c r="P10357" s="3" t="s">
        <v>16500</v>
      </c>
      <c r="Q10357" s="3" t="s">
        <v>16501</v>
      </c>
      <c r="R10357" s="3" t="s">
        <v>16502</v>
      </c>
      <c r="S10357" s="3" t="s">
        <v>10776</v>
      </c>
      <c r="T10357" s="3" t="s">
        <v>16503</v>
      </c>
      <c r="U10357" s="3" t="s">
        <v>16504</v>
      </c>
    </row>
    <row r="10358">
      <c r="A10358" s="3">
        <v>1822.0</v>
      </c>
      <c r="B10358" s="3" t="s">
        <v>19423</v>
      </c>
      <c r="C10358" s="3" t="s">
        <v>11281</v>
      </c>
      <c r="D10358" s="3" t="s">
        <v>16505</v>
      </c>
      <c r="E10358" s="3" t="s">
        <v>20140</v>
      </c>
      <c r="F10358" s="3" t="s">
        <v>20141</v>
      </c>
    </row>
    <row r="10359">
      <c r="A10359" s="3">
        <v>1823.0</v>
      </c>
      <c r="B10359" s="3" t="s">
        <v>19423</v>
      </c>
      <c r="C10359" s="3" t="s">
        <v>11281</v>
      </c>
      <c r="D10359" s="3" t="s">
        <v>16508</v>
      </c>
      <c r="E10359" s="3" t="s">
        <v>20142</v>
      </c>
      <c r="F10359" s="3" t="s">
        <v>20143</v>
      </c>
    </row>
    <row r="10360">
      <c r="A10360" s="3">
        <v>1824.0</v>
      </c>
      <c r="B10360" s="3" t="s">
        <v>19423</v>
      </c>
      <c r="C10360" s="3" t="s">
        <v>11281</v>
      </c>
      <c r="D10360" s="3" t="s">
        <v>16511</v>
      </c>
      <c r="E10360" s="3" t="s">
        <v>20144</v>
      </c>
      <c r="F10360" s="3" t="s">
        <v>20145</v>
      </c>
    </row>
    <row r="10361">
      <c r="A10361" s="3">
        <v>1825.0</v>
      </c>
      <c r="B10361" s="3" t="s">
        <v>19423</v>
      </c>
      <c r="C10361" s="3" t="s">
        <v>11281</v>
      </c>
      <c r="D10361" s="3" t="s">
        <v>16514</v>
      </c>
      <c r="E10361" s="3" t="s">
        <v>20146</v>
      </c>
      <c r="F10361" s="3" t="s">
        <v>20147</v>
      </c>
    </row>
    <row r="10362">
      <c r="A10362" s="3">
        <v>1826.0</v>
      </c>
      <c r="B10362" s="3" t="s">
        <v>19423</v>
      </c>
      <c r="C10362" s="3" t="s">
        <v>11281</v>
      </c>
      <c r="D10362" s="3" t="s">
        <v>16517</v>
      </c>
      <c r="E10362" s="3" t="s">
        <v>20148</v>
      </c>
      <c r="F10362" s="3" t="s">
        <v>20149</v>
      </c>
    </row>
    <row r="10363">
      <c r="A10363" s="3">
        <v>1827.0</v>
      </c>
      <c r="B10363" s="3" t="s">
        <v>19423</v>
      </c>
      <c r="C10363" s="3" t="s">
        <v>11281</v>
      </c>
      <c r="D10363" s="3" t="s">
        <v>16520</v>
      </c>
      <c r="E10363" s="3" t="s">
        <v>20150</v>
      </c>
      <c r="F10363" s="3" t="s">
        <v>20151</v>
      </c>
    </row>
    <row r="10364">
      <c r="A10364" s="3">
        <v>1828.0</v>
      </c>
      <c r="B10364" s="3" t="s">
        <v>19423</v>
      </c>
      <c r="C10364" s="3" t="s">
        <v>11281</v>
      </c>
      <c r="D10364" s="3" t="s">
        <v>16523</v>
      </c>
      <c r="E10364" s="3" t="s">
        <v>20152</v>
      </c>
      <c r="F10364" s="3" t="s">
        <v>20153</v>
      </c>
    </row>
    <row r="10365">
      <c r="A10365" s="3">
        <v>1829.0</v>
      </c>
      <c r="B10365" s="3" t="s">
        <v>19423</v>
      </c>
      <c r="C10365" s="3" t="s">
        <v>11281</v>
      </c>
      <c r="D10365" s="3" t="s">
        <v>16526</v>
      </c>
      <c r="E10365" s="3" t="s">
        <v>16527</v>
      </c>
      <c r="F10365" s="3" t="s">
        <v>16526</v>
      </c>
    </row>
    <row r="10366">
      <c r="A10366" s="3">
        <v>1830.0</v>
      </c>
      <c r="B10366" s="3" t="s">
        <v>19423</v>
      </c>
      <c r="C10366" s="3" t="s">
        <v>11281</v>
      </c>
      <c r="D10366" s="3" t="s">
        <v>16528</v>
      </c>
      <c r="E10366" s="3" t="s">
        <v>16529</v>
      </c>
      <c r="F10366" s="3" t="s">
        <v>16528</v>
      </c>
    </row>
    <row r="10367">
      <c r="A10367" s="3">
        <v>1831.0</v>
      </c>
      <c r="B10367" s="3" t="s">
        <v>19423</v>
      </c>
      <c r="C10367" s="3" t="s">
        <v>11281</v>
      </c>
      <c r="D10367" s="3" t="s">
        <v>16530</v>
      </c>
      <c r="E10367" s="3" t="s">
        <v>16531</v>
      </c>
      <c r="F10367" s="3" t="s">
        <v>16530</v>
      </c>
    </row>
    <row r="10368">
      <c r="A10368" s="3">
        <v>1832.0</v>
      </c>
      <c r="B10368" s="3" t="s">
        <v>19423</v>
      </c>
      <c r="C10368" s="3" t="s">
        <v>11281</v>
      </c>
      <c r="D10368" s="3" t="s">
        <v>16532</v>
      </c>
      <c r="E10368" s="3" t="s">
        <v>16533</v>
      </c>
      <c r="F10368" s="3" t="s">
        <v>16532</v>
      </c>
    </row>
    <row r="10369">
      <c r="A10369" s="3">
        <v>1833.0</v>
      </c>
      <c r="B10369" s="3" t="s">
        <v>19423</v>
      </c>
      <c r="C10369" s="3" t="s">
        <v>11281</v>
      </c>
      <c r="D10369" s="3" t="s">
        <v>16534</v>
      </c>
      <c r="E10369" s="3" t="s">
        <v>20154</v>
      </c>
      <c r="F10369" s="3" t="s">
        <v>20155</v>
      </c>
    </row>
    <row r="10370">
      <c r="A10370" s="3">
        <v>1834.0</v>
      </c>
      <c r="B10370" s="3" t="s">
        <v>19423</v>
      </c>
      <c r="C10370" s="3" t="s">
        <v>11281</v>
      </c>
      <c r="D10370" s="3" t="s">
        <v>16535</v>
      </c>
      <c r="E10370" s="3" t="s">
        <v>20156</v>
      </c>
      <c r="F10370" s="3" t="s">
        <v>20157</v>
      </c>
    </row>
    <row r="10371">
      <c r="A10371" s="3">
        <v>1835.0</v>
      </c>
      <c r="B10371" s="3" t="s">
        <v>19423</v>
      </c>
      <c r="C10371" s="3" t="s">
        <v>11281</v>
      </c>
      <c r="D10371" s="3" t="s">
        <v>16536</v>
      </c>
      <c r="E10371" s="3" t="s">
        <v>20158</v>
      </c>
      <c r="F10371" s="3" t="s">
        <v>20159</v>
      </c>
    </row>
    <row r="10372">
      <c r="A10372" s="3">
        <v>1836.0</v>
      </c>
      <c r="B10372" s="3" t="s">
        <v>19423</v>
      </c>
      <c r="C10372" s="3" t="s">
        <v>11281</v>
      </c>
      <c r="D10372" s="3" t="s">
        <v>16537</v>
      </c>
      <c r="E10372" s="3" t="s">
        <v>20160</v>
      </c>
      <c r="F10372" s="3" t="s">
        <v>20161</v>
      </c>
    </row>
    <row r="10373">
      <c r="A10373" s="3">
        <v>1837.0</v>
      </c>
      <c r="B10373" s="3" t="s">
        <v>19423</v>
      </c>
      <c r="C10373" s="3" t="s">
        <v>11281</v>
      </c>
      <c r="D10373" s="3" t="s">
        <v>16538</v>
      </c>
      <c r="E10373" s="3" t="s">
        <v>20162</v>
      </c>
      <c r="F10373" s="3" t="s">
        <v>20163</v>
      </c>
    </row>
    <row r="10374">
      <c r="A10374" s="3">
        <v>1838.0</v>
      </c>
      <c r="B10374" s="3" t="s">
        <v>19423</v>
      </c>
      <c r="C10374" s="3" t="s">
        <v>11281</v>
      </c>
      <c r="D10374" s="3" t="s">
        <v>16539</v>
      </c>
      <c r="E10374" s="3" t="s">
        <v>20164</v>
      </c>
      <c r="F10374" s="3" t="s">
        <v>20165</v>
      </c>
    </row>
    <row r="10375">
      <c r="A10375" s="3">
        <v>1839.0</v>
      </c>
      <c r="B10375" s="3" t="s">
        <v>19423</v>
      </c>
      <c r="C10375" s="3" t="s">
        <v>11281</v>
      </c>
      <c r="D10375" s="3" t="s">
        <v>16540</v>
      </c>
      <c r="E10375" s="3" t="s">
        <v>20166</v>
      </c>
      <c r="F10375" s="3" t="s">
        <v>20167</v>
      </c>
    </row>
    <row r="10376">
      <c r="A10376" s="3">
        <v>1840.0</v>
      </c>
      <c r="B10376" s="3" t="s">
        <v>19423</v>
      </c>
      <c r="C10376" s="3" t="s">
        <v>11281</v>
      </c>
      <c r="D10376" s="3" t="s">
        <v>149</v>
      </c>
      <c r="E10376" s="3" t="s">
        <v>150</v>
      </c>
      <c r="F10376" s="3" t="s">
        <v>149</v>
      </c>
    </row>
    <row r="10377">
      <c r="A10377" s="3">
        <v>1841.0</v>
      </c>
      <c r="B10377" s="3" t="s">
        <v>19423</v>
      </c>
      <c r="C10377" s="3" t="s">
        <v>11281</v>
      </c>
      <c r="D10377" s="3" t="s">
        <v>7372</v>
      </c>
      <c r="E10377" s="3" t="s">
        <v>7373</v>
      </c>
      <c r="F10377" s="3" t="s">
        <v>7374</v>
      </c>
      <c r="G10377" s="3"/>
      <c r="H10377" s="3" t="s">
        <v>7372</v>
      </c>
      <c r="I10377" s="3" t="s">
        <v>7375</v>
      </c>
    </row>
    <row r="10378">
      <c r="A10378" s="3">
        <v>1842.0</v>
      </c>
      <c r="B10378" s="3" t="s">
        <v>19423</v>
      </c>
      <c r="C10378" s="3" t="s">
        <v>11281</v>
      </c>
      <c r="D10378" s="3" t="s">
        <v>16541</v>
      </c>
      <c r="E10378" s="3" t="s">
        <v>20168</v>
      </c>
      <c r="F10378" s="3" t="s">
        <v>20169</v>
      </c>
    </row>
    <row r="10379">
      <c r="A10379" s="3">
        <v>1843.0</v>
      </c>
      <c r="B10379" s="3" t="s">
        <v>19423</v>
      </c>
      <c r="C10379" s="3" t="s">
        <v>11281</v>
      </c>
      <c r="D10379" s="3" t="s">
        <v>16544</v>
      </c>
      <c r="E10379" s="3" t="s">
        <v>20170</v>
      </c>
      <c r="F10379" s="3" t="s">
        <v>20171</v>
      </c>
    </row>
    <row r="10380">
      <c r="A10380" s="3">
        <v>1844.0</v>
      </c>
      <c r="B10380" s="3" t="s">
        <v>19423</v>
      </c>
      <c r="C10380" s="3" t="s">
        <v>11281</v>
      </c>
      <c r="D10380" s="3" t="s">
        <v>7376</v>
      </c>
      <c r="E10380" s="3" t="s">
        <v>16547</v>
      </c>
      <c r="F10380" s="3" t="s">
        <v>16548</v>
      </c>
    </row>
    <row r="10381">
      <c r="A10381" s="3">
        <v>1845.0</v>
      </c>
      <c r="B10381" s="3" t="s">
        <v>19423</v>
      </c>
      <c r="C10381" s="3" t="s">
        <v>11281</v>
      </c>
      <c r="D10381" s="3" t="s">
        <v>16549</v>
      </c>
      <c r="E10381" s="3" t="s">
        <v>16550</v>
      </c>
      <c r="F10381" s="3" t="s">
        <v>7374</v>
      </c>
    </row>
    <row r="10382">
      <c r="A10382" s="3">
        <v>1846.0</v>
      </c>
      <c r="B10382" s="3" t="s">
        <v>19423</v>
      </c>
      <c r="C10382" s="3" t="s">
        <v>11281</v>
      </c>
      <c r="D10382" s="3" t="s">
        <v>16551</v>
      </c>
      <c r="E10382" s="3" t="s">
        <v>16552</v>
      </c>
      <c r="F10382" s="3" t="s">
        <v>16553</v>
      </c>
    </row>
    <row r="10383">
      <c r="A10383" s="3">
        <v>1847.0</v>
      </c>
      <c r="B10383" s="3" t="s">
        <v>19423</v>
      </c>
      <c r="C10383" s="3" t="s">
        <v>11281</v>
      </c>
      <c r="D10383" s="3" t="s">
        <v>16554</v>
      </c>
      <c r="E10383" s="3" t="s">
        <v>16555</v>
      </c>
      <c r="F10383" s="3" t="s">
        <v>16556</v>
      </c>
    </row>
    <row r="10384">
      <c r="A10384" s="3">
        <v>1848.0</v>
      </c>
      <c r="B10384" s="3" t="s">
        <v>19423</v>
      </c>
      <c r="C10384" s="3" t="s">
        <v>11281</v>
      </c>
      <c r="D10384" s="3" t="s">
        <v>16557</v>
      </c>
      <c r="E10384" s="3" t="s">
        <v>16558</v>
      </c>
      <c r="F10384" s="3" t="s">
        <v>16559</v>
      </c>
    </row>
    <row r="10385">
      <c r="A10385" s="3">
        <v>1849.0</v>
      </c>
      <c r="B10385" s="3" t="s">
        <v>19423</v>
      </c>
      <c r="C10385" s="3" t="s">
        <v>11281</v>
      </c>
      <c r="D10385" s="3" t="s">
        <v>16560</v>
      </c>
      <c r="E10385" s="3" t="s">
        <v>16561</v>
      </c>
      <c r="F10385" s="3" t="s">
        <v>16562</v>
      </c>
    </row>
    <row r="10386">
      <c r="A10386" s="3">
        <v>1850.0</v>
      </c>
      <c r="B10386" s="3" t="s">
        <v>19423</v>
      </c>
      <c r="C10386" s="3" t="s">
        <v>11281</v>
      </c>
      <c r="D10386" s="3" t="s">
        <v>16563</v>
      </c>
      <c r="E10386" s="3" t="s">
        <v>16564</v>
      </c>
      <c r="F10386" s="3" t="s">
        <v>16565</v>
      </c>
    </row>
    <row r="10387">
      <c r="A10387" s="3">
        <v>1851.0</v>
      </c>
      <c r="B10387" s="3" t="s">
        <v>19423</v>
      </c>
      <c r="C10387" s="3" t="s">
        <v>11281</v>
      </c>
      <c r="D10387" s="3" t="s">
        <v>16566</v>
      </c>
      <c r="E10387" s="3" t="s">
        <v>16567</v>
      </c>
      <c r="F10387" s="3" t="s">
        <v>16568</v>
      </c>
    </row>
    <row r="10388">
      <c r="A10388" s="3">
        <v>1852.0</v>
      </c>
      <c r="B10388" s="3" t="s">
        <v>19423</v>
      </c>
      <c r="C10388" s="3" t="s">
        <v>11281</v>
      </c>
      <c r="D10388" s="3" t="s">
        <v>16569</v>
      </c>
      <c r="E10388" s="3" t="s">
        <v>16570</v>
      </c>
      <c r="F10388" s="3" t="s">
        <v>16571</v>
      </c>
    </row>
    <row r="10389">
      <c r="A10389" s="3">
        <v>1853.0</v>
      </c>
      <c r="B10389" s="3" t="s">
        <v>19423</v>
      </c>
      <c r="C10389" s="3" t="s">
        <v>11281</v>
      </c>
      <c r="D10389" s="3" t="s">
        <v>16572</v>
      </c>
      <c r="E10389" s="3" t="s">
        <v>16573</v>
      </c>
      <c r="F10389" s="3" t="s">
        <v>16548</v>
      </c>
    </row>
    <row r="10390">
      <c r="A10390" s="3">
        <v>1854.0</v>
      </c>
      <c r="B10390" s="3" t="s">
        <v>19423</v>
      </c>
      <c r="C10390" s="3" t="s">
        <v>11281</v>
      </c>
      <c r="D10390" s="3" t="s">
        <v>159</v>
      </c>
      <c r="E10390" s="3" t="s">
        <v>7378</v>
      </c>
      <c r="F10390" s="3" t="s">
        <v>159</v>
      </c>
      <c r="G10390" s="3"/>
      <c r="H10390" s="3" t="s">
        <v>159</v>
      </c>
      <c r="I10390" s="3" t="s">
        <v>3744</v>
      </c>
      <c r="J10390" s="3" t="s">
        <v>3745</v>
      </c>
      <c r="K10390" s="3">
        <v>1000.0</v>
      </c>
      <c r="L10390" s="3" t="s">
        <v>3131</v>
      </c>
      <c r="M10390" s="3" t="s">
        <v>3750</v>
      </c>
      <c r="N10390" s="3" t="s">
        <v>3751</v>
      </c>
      <c r="O10390" s="3" t="s">
        <v>3752</v>
      </c>
      <c r="P10390" s="3" t="s">
        <v>369</v>
      </c>
      <c r="Q10390" s="3" t="s">
        <v>3753</v>
      </c>
      <c r="R10390" s="3" t="s">
        <v>3754</v>
      </c>
    </row>
    <row r="10391">
      <c r="A10391" s="3">
        <v>1855.0</v>
      </c>
      <c r="B10391" s="3" t="s">
        <v>19423</v>
      </c>
      <c r="C10391" s="3" t="s">
        <v>11281</v>
      </c>
      <c r="D10391" s="3" t="s">
        <v>3731</v>
      </c>
      <c r="E10391" s="3" t="s">
        <v>7380</v>
      </c>
      <c r="F10391" s="3" t="s">
        <v>3731</v>
      </c>
    </row>
    <row r="10392">
      <c r="A10392" s="3">
        <v>1856.0</v>
      </c>
      <c r="B10392" s="3" t="s">
        <v>19423</v>
      </c>
      <c r="C10392" s="3" t="s">
        <v>11281</v>
      </c>
      <c r="D10392" s="3" t="s">
        <v>16574</v>
      </c>
      <c r="E10392" s="3" t="s">
        <v>16575</v>
      </c>
      <c r="F10392" s="3" t="s">
        <v>16574</v>
      </c>
    </row>
    <row r="10393">
      <c r="A10393" s="3">
        <v>1857.0</v>
      </c>
      <c r="B10393" s="3" t="s">
        <v>19423</v>
      </c>
      <c r="C10393" s="3" t="s">
        <v>11281</v>
      </c>
      <c r="D10393" s="3" t="s">
        <v>16576</v>
      </c>
      <c r="E10393" s="3" t="s">
        <v>16577</v>
      </c>
      <c r="F10393" s="3" t="s">
        <v>16576</v>
      </c>
      <c r="G10393" s="3"/>
      <c r="H10393" s="3" t="s">
        <v>16578</v>
      </c>
      <c r="I10393" s="3" t="s">
        <v>16578</v>
      </c>
      <c r="J10393" s="3" t="s">
        <v>16578</v>
      </c>
      <c r="K10393" s="3" t="s">
        <v>16579</v>
      </c>
      <c r="L10393" s="3" t="s">
        <v>16580</v>
      </c>
      <c r="M10393" s="3" t="s">
        <v>16581</v>
      </c>
      <c r="N10393" s="3" t="s">
        <v>3282</v>
      </c>
      <c r="O10393" s="3" t="s">
        <v>16582</v>
      </c>
    </row>
    <row r="10394">
      <c r="A10394" s="3">
        <v>1858.0</v>
      </c>
      <c r="B10394" s="3" t="s">
        <v>19423</v>
      </c>
      <c r="C10394" s="3" t="s">
        <v>11281</v>
      </c>
      <c r="D10394" s="3" t="s">
        <v>16583</v>
      </c>
      <c r="E10394" s="3" t="s">
        <v>16584</v>
      </c>
      <c r="F10394" s="3" t="s">
        <v>16583</v>
      </c>
    </row>
    <row r="10395">
      <c r="A10395" s="3">
        <v>1859.0</v>
      </c>
      <c r="B10395" s="3" t="s">
        <v>19423</v>
      </c>
      <c r="C10395" s="3" t="s">
        <v>11281</v>
      </c>
      <c r="D10395" s="3" t="s">
        <v>16585</v>
      </c>
      <c r="E10395" s="3" t="s">
        <v>16586</v>
      </c>
      <c r="F10395" s="3" t="s">
        <v>16585</v>
      </c>
    </row>
    <row r="10396">
      <c r="A10396" s="3">
        <v>1860.0</v>
      </c>
      <c r="B10396" s="3" t="s">
        <v>19423</v>
      </c>
      <c r="C10396" s="3" t="s">
        <v>11281</v>
      </c>
      <c r="D10396" s="3" t="s">
        <v>16587</v>
      </c>
      <c r="E10396" s="3" t="s">
        <v>16588</v>
      </c>
      <c r="F10396" s="3" t="s">
        <v>16587</v>
      </c>
    </row>
    <row r="10397">
      <c r="A10397" s="3">
        <v>1861.0</v>
      </c>
      <c r="B10397" s="3" t="s">
        <v>19423</v>
      </c>
      <c r="C10397" s="3" t="s">
        <v>11281</v>
      </c>
      <c r="D10397" s="3" t="s">
        <v>16589</v>
      </c>
      <c r="E10397" s="3" t="s">
        <v>20172</v>
      </c>
      <c r="F10397" s="3" t="s">
        <v>20173</v>
      </c>
    </row>
    <row r="10398">
      <c r="A10398" s="3">
        <v>1862.0</v>
      </c>
      <c r="B10398" s="3" t="s">
        <v>19423</v>
      </c>
      <c r="C10398" s="3" t="s">
        <v>11281</v>
      </c>
      <c r="D10398" s="3" t="s">
        <v>16592</v>
      </c>
      <c r="E10398" s="3" t="s">
        <v>20174</v>
      </c>
      <c r="F10398" s="3" t="s">
        <v>20175</v>
      </c>
    </row>
    <row r="10399">
      <c r="A10399" s="3">
        <v>1863.0</v>
      </c>
      <c r="B10399" s="3" t="s">
        <v>19423</v>
      </c>
      <c r="C10399" s="3" t="s">
        <v>11281</v>
      </c>
      <c r="D10399" s="3" t="s">
        <v>16595</v>
      </c>
      <c r="E10399" s="3" t="s">
        <v>20176</v>
      </c>
      <c r="F10399" s="3" t="s">
        <v>20177</v>
      </c>
    </row>
    <row r="10400">
      <c r="A10400" s="3">
        <v>1864.0</v>
      </c>
      <c r="B10400" s="3" t="s">
        <v>19423</v>
      </c>
      <c r="C10400" s="3" t="s">
        <v>11281</v>
      </c>
      <c r="D10400" s="3" t="s">
        <v>16598</v>
      </c>
      <c r="E10400" s="3" t="s">
        <v>20178</v>
      </c>
      <c r="F10400" s="3" t="s">
        <v>20179</v>
      </c>
    </row>
    <row r="10401">
      <c r="A10401" s="3">
        <v>1865.0</v>
      </c>
      <c r="B10401" s="3" t="s">
        <v>19423</v>
      </c>
      <c r="C10401" s="3" t="s">
        <v>11281</v>
      </c>
      <c r="D10401" s="3" t="s">
        <v>16601</v>
      </c>
      <c r="E10401" s="3" t="s">
        <v>20180</v>
      </c>
      <c r="F10401" s="3" t="s">
        <v>20181</v>
      </c>
    </row>
    <row r="10402">
      <c r="A10402" s="3">
        <v>1866.0</v>
      </c>
      <c r="B10402" s="3" t="s">
        <v>19423</v>
      </c>
      <c r="C10402" s="3" t="s">
        <v>11281</v>
      </c>
      <c r="D10402" s="3" t="s">
        <v>16604</v>
      </c>
      <c r="E10402" s="3" t="s">
        <v>20182</v>
      </c>
      <c r="F10402" s="3" t="s">
        <v>20183</v>
      </c>
    </row>
    <row r="10403">
      <c r="A10403" s="3">
        <v>1867.0</v>
      </c>
      <c r="B10403" s="3" t="s">
        <v>19423</v>
      </c>
      <c r="C10403" s="3" t="s">
        <v>11281</v>
      </c>
      <c r="D10403" s="3" t="s">
        <v>16607</v>
      </c>
      <c r="E10403" s="3" t="s">
        <v>20184</v>
      </c>
      <c r="F10403" s="3" t="s">
        <v>20185</v>
      </c>
    </row>
    <row r="10404">
      <c r="A10404" s="3">
        <v>1868.0</v>
      </c>
      <c r="B10404" s="3" t="s">
        <v>19423</v>
      </c>
      <c r="C10404" s="3" t="s">
        <v>11281</v>
      </c>
      <c r="D10404" s="3" t="s">
        <v>3740</v>
      </c>
      <c r="E10404" s="3" t="s">
        <v>7382</v>
      </c>
      <c r="F10404" s="3" t="s">
        <v>3740</v>
      </c>
    </row>
    <row r="10405">
      <c r="A10405" s="3">
        <v>1869.0</v>
      </c>
      <c r="B10405" s="3" t="s">
        <v>19423</v>
      </c>
      <c r="C10405" s="3" t="s">
        <v>11281</v>
      </c>
      <c r="D10405" s="3" t="s">
        <v>16610</v>
      </c>
      <c r="E10405" s="3" t="s">
        <v>16611</v>
      </c>
      <c r="F10405" s="3" t="s">
        <v>16610</v>
      </c>
    </row>
    <row r="10406">
      <c r="A10406" s="3">
        <v>1870.0</v>
      </c>
      <c r="B10406" s="3" t="s">
        <v>19423</v>
      </c>
      <c r="C10406" s="3" t="s">
        <v>11281</v>
      </c>
      <c r="D10406" s="3" t="s">
        <v>16612</v>
      </c>
      <c r="E10406" s="3" t="s">
        <v>16613</v>
      </c>
      <c r="F10406" s="3" t="s">
        <v>16614</v>
      </c>
    </row>
    <row r="10407">
      <c r="A10407" s="3">
        <v>1871.0</v>
      </c>
      <c r="B10407" s="3" t="s">
        <v>19423</v>
      </c>
      <c r="C10407" s="3" t="s">
        <v>11281</v>
      </c>
      <c r="D10407" s="3" t="s">
        <v>16615</v>
      </c>
      <c r="E10407" s="3" t="s">
        <v>16616</v>
      </c>
      <c r="F10407" s="3" t="s">
        <v>16617</v>
      </c>
    </row>
    <row r="10408">
      <c r="A10408" s="3">
        <v>1872.0</v>
      </c>
      <c r="B10408" s="3" t="s">
        <v>19423</v>
      </c>
      <c r="C10408" s="3" t="s">
        <v>11281</v>
      </c>
      <c r="D10408" s="3" t="s">
        <v>16618</v>
      </c>
      <c r="E10408" s="3" t="s">
        <v>16619</v>
      </c>
      <c r="F10408" s="3" t="s">
        <v>16618</v>
      </c>
      <c r="G10408" s="3"/>
      <c r="H10408" s="3" t="s">
        <v>3744</v>
      </c>
      <c r="I10408" s="3" t="s">
        <v>3745</v>
      </c>
      <c r="J10408" s="3">
        <v>1000.0</v>
      </c>
      <c r="K10408" s="3" t="s">
        <v>3131</v>
      </c>
      <c r="L10408" s="3" t="s">
        <v>3750</v>
      </c>
      <c r="M10408" s="3" t="s">
        <v>3751</v>
      </c>
      <c r="N10408" s="3" t="s">
        <v>3752</v>
      </c>
      <c r="O10408" s="3" t="s">
        <v>369</v>
      </c>
      <c r="P10408" s="3" t="s">
        <v>3753</v>
      </c>
      <c r="Q10408" s="3" t="s">
        <v>3754</v>
      </c>
    </row>
    <row r="10409">
      <c r="A10409" s="3">
        <v>1873.0</v>
      </c>
      <c r="B10409" s="3" t="s">
        <v>19423</v>
      </c>
      <c r="C10409" s="3" t="s">
        <v>11281</v>
      </c>
      <c r="D10409" s="3" t="s">
        <v>16620</v>
      </c>
      <c r="E10409" s="3" t="s">
        <v>16621</v>
      </c>
      <c r="F10409" s="3" t="s">
        <v>16620</v>
      </c>
      <c r="G10409" s="3"/>
      <c r="H10409" s="3" t="s">
        <v>16622</v>
      </c>
    </row>
    <row r="10410">
      <c r="A10410" s="3">
        <v>1874.0</v>
      </c>
      <c r="B10410" s="3" t="s">
        <v>19423</v>
      </c>
      <c r="C10410" s="3" t="s">
        <v>11281</v>
      </c>
      <c r="D10410" s="3" t="s">
        <v>3765</v>
      </c>
      <c r="E10410" s="3" t="s">
        <v>7384</v>
      </c>
      <c r="F10410" s="3" t="s">
        <v>3765</v>
      </c>
    </row>
    <row r="10411">
      <c r="A10411" s="3">
        <v>1875.0</v>
      </c>
      <c r="B10411" s="3" t="s">
        <v>19423</v>
      </c>
      <c r="C10411" s="3" t="s">
        <v>11281</v>
      </c>
      <c r="D10411" s="3" t="s">
        <v>16623</v>
      </c>
      <c r="E10411" s="3" t="s">
        <v>16624</v>
      </c>
      <c r="F10411" s="3" t="s">
        <v>16623</v>
      </c>
    </row>
    <row r="10412">
      <c r="A10412" s="3">
        <v>1876.0</v>
      </c>
      <c r="B10412" s="3" t="s">
        <v>19423</v>
      </c>
      <c r="C10412" s="3" t="s">
        <v>11281</v>
      </c>
      <c r="D10412" s="3" t="s">
        <v>16625</v>
      </c>
      <c r="E10412" s="3" t="s">
        <v>16626</v>
      </c>
      <c r="F10412" s="3" t="s">
        <v>16625</v>
      </c>
      <c r="G10412" s="3"/>
      <c r="H10412" s="3" t="s">
        <v>16627</v>
      </c>
      <c r="I10412" s="3" t="s">
        <v>16628</v>
      </c>
      <c r="J10412" s="3" t="s">
        <v>16629</v>
      </c>
      <c r="K10412" s="3" t="s">
        <v>3335</v>
      </c>
      <c r="L10412" s="3" t="s">
        <v>16630</v>
      </c>
    </row>
    <row r="10413">
      <c r="A10413" s="3">
        <v>1877.0</v>
      </c>
      <c r="B10413" s="3" t="s">
        <v>19423</v>
      </c>
      <c r="C10413" s="3" t="s">
        <v>11281</v>
      </c>
      <c r="D10413" s="3" t="s">
        <v>16631</v>
      </c>
      <c r="E10413" s="3" t="s">
        <v>16632</v>
      </c>
      <c r="F10413" s="3" t="s">
        <v>16631</v>
      </c>
    </row>
    <row r="10414">
      <c r="A10414" s="3">
        <v>1878.0</v>
      </c>
      <c r="B10414" s="3" t="s">
        <v>19423</v>
      </c>
      <c r="C10414" s="3" t="s">
        <v>11281</v>
      </c>
      <c r="D10414" s="3" t="s">
        <v>16633</v>
      </c>
      <c r="E10414" s="3" t="s">
        <v>16634</v>
      </c>
      <c r="F10414" s="3" t="s">
        <v>16633</v>
      </c>
    </row>
    <row r="10415">
      <c r="A10415" s="3">
        <v>1879.0</v>
      </c>
      <c r="B10415" s="3" t="s">
        <v>19423</v>
      </c>
      <c r="C10415" s="3" t="s">
        <v>11281</v>
      </c>
      <c r="D10415" s="3" t="s">
        <v>16635</v>
      </c>
      <c r="E10415" s="3" t="s">
        <v>16636</v>
      </c>
      <c r="F10415" s="3" t="s">
        <v>16635</v>
      </c>
    </row>
    <row r="10416">
      <c r="A10416" s="3">
        <v>1880.0</v>
      </c>
      <c r="B10416" s="3" t="s">
        <v>19423</v>
      </c>
      <c r="C10416" s="3" t="s">
        <v>11281</v>
      </c>
      <c r="D10416" s="3" t="s">
        <v>3774</v>
      </c>
      <c r="E10416" s="3" t="s">
        <v>7386</v>
      </c>
      <c r="F10416" s="3" t="s">
        <v>3774</v>
      </c>
    </row>
    <row r="10417">
      <c r="A10417" s="3">
        <v>1881.0</v>
      </c>
      <c r="B10417" s="3" t="s">
        <v>19423</v>
      </c>
      <c r="C10417" s="3" t="s">
        <v>11281</v>
      </c>
      <c r="D10417" s="3" t="s">
        <v>3799</v>
      </c>
      <c r="E10417" s="3" t="s">
        <v>7391</v>
      </c>
      <c r="F10417" s="3" t="s">
        <v>3799</v>
      </c>
      <c r="G10417" s="3"/>
      <c r="H10417" s="3" t="s">
        <v>2681</v>
      </c>
      <c r="I10417" s="3" t="s">
        <v>16637</v>
      </c>
      <c r="J10417" s="3" t="s">
        <v>3811</v>
      </c>
      <c r="K10417" s="3" t="s">
        <v>3811</v>
      </c>
      <c r="L10417" s="3" t="s">
        <v>16638</v>
      </c>
    </row>
    <row r="10418">
      <c r="A10418" s="3">
        <v>1882.0</v>
      </c>
      <c r="B10418" s="3" t="s">
        <v>19423</v>
      </c>
      <c r="C10418" s="3" t="s">
        <v>11281</v>
      </c>
      <c r="D10418" s="3" t="s">
        <v>16639</v>
      </c>
      <c r="E10418" s="3" t="s">
        <v>16640</v>
      </c>
      <c r="F10418" s="3" t="s">
        <v>16639</v>
      </c>
    </row>
    <row r="10419">
      <c r="A10419" s="3">
        <v>1883.0</v>
      </c>
      <c r="B10419" s="3" t="s">
        <v>19423</v>
      </c>
      <c r="C10419" s="3" t="s">
        <v>11281</v>
      </c>
      <c r="D10419" s="3" t="s">
        <v>16641</v>
      </c>
      <c r="E10419" s="3" t="s">
        <v>16642</v>
      </c>
      <c r="F10419" s="3" t="s">
        <v>16641</v>
      </c>
    </row>
    <row r="10420">
      <c r="A10420" s="3">
        <v>1884.0</v>
      </c>
      <c r="B10420" s="3" t="s">
        <v>19423</v>
      </c>
      <c r="C10420" s="3" t="s">
        <v>11281</v>
      </c>
      <c r="D10420" s="3" t="s">
        <v>16643</v>
      </c>
      <c r="E10420" s="3" t="s">
        <v>16644</v>
      </c>
      <c r="F10420" s="3" t="s">
        <v>16643</v>
      </c>
      <c r="G10420" s="3"/>
      <c r="H10420" s="3" t="s">
        <v>3811</v>
      </c>
      <c r="I10420" s="3" t="s">
        <v>16645</v>
      </c>
      <c r="J10420" s="3" t="s">
        <v>16646</v>
      </c>
    </row>
    <row r="10421">
      <c r="A10421" s="3">
        <v>1885.0</v>
      </c>
      <c r="B10421" s="3" t="s">
        <v>19423</v>
      </c>
      <c r="C10421" s="3" t="s">
        <v>11281</v>
      </c>
      <c r="D10421" s="3" t="s">
        <v>16647</v>
      </c>
      <c r="E10421" s="3" t="s">
        <v>16648</v>
      </c>
      <c r="F10421" s="3" t="s">
        <v>16647</v>
      </c>
    </row>
    <row r="10422">
      <c r="A10422" s="3">
        <v>1886.0</v>
      </c>
      <c r="B10422" s="3" t="s">
        <v>19423</v>
      </c>
      <c r="C10422" s="3" t="s">
        <v>11281</v>
      </c>
      <c r="D10422" s="3" t="s">
        <v>16649</v>
      </c>
      <c r="E10422" s="3" t="s">
        <v>16650</v>
      </c>
      <c r="F10422" s="3" t="s">
        <v>16649</v>
      </c>
    </row>
    <row r="10423">
      <c r="A10423" s="3">
        <v>1887.0</v>
      </c>
      <c r="B10423" s="3" t="s">
        <v>19423</v>
      </c>
      <c r="C10423" s="3" t="s">
        <v>11281</v>
      </c>
      <c r="D10423" s="3" t="s">
        <v>16651</v>
      </c>
      <c r="E10423" s="3" t="s">
        <v>16652</v>
      </c>
      <c r="F10423" s="3" t="s">
        <v>16651</v>
      </c>
    </row>
    <row r="10424">
      <c r="A10424" s="3">
        <v>1888.0</v>
      </c>
      <c r="B10424" s="3" t="s">
        <v>19423</v>
      </c>
      <c r="C10424" s="3" t="s">
        <v>11281</v>
      </c>
      <c r="D10424" s="3" t="s">
        <v>3808</v>
      </c>
      <c r="E10424" s="3" t="s">
        <v>7393</v>
      </c>
      <c r="F10424" s="3" t="s">
        <v>3808</v>
      </c>
    </row>
    <row r="10425">
      <c r="A10425" s="3">
        <v>1889.0</v>
      </c>
      <c r="B10425" s="3" t="s">
        <v>19423</v>
      </c>
      <c r="C10425" s="3" t="s">
        <v>11281</v>
      </c>
      <c r="D10425" s="3" t="s">
        <v>16653</v>
      </c>
      <c r="E10425" s="3" t="s">
        <v>20186</v>
      </c>
      <c r="F10425" s="3" t="s">
        <v>20187</v>
      </c>
    </row>
    <row r="10426">
      <c r="A10426" s="3">
        <v>1890.0</v>
      </c>
      <c r="B10426" s="3" t="s">
        <v>19423</v>
      </c>
      <c r="C10426" s="3" t="s">
        <v>11281</v>
      </c>
      <c r="D10426" s="3" t="s">
        <v>16656</v>
      </c>
      <c r="E10426" s="3" t="s">
        <v>20188</v>
      </c>
      <c r="F10426" s="3" t="s">
        <v>20189</v>
      </c>
    </row>
    <row r="10427">
      <c r="A10427" s="3">
        <v>1891.0</v>
      </c>
      <c r="B10427" s="3" t="s">
        <v>19423</v>
      </c>
      <c r="C10427" s="3" t="s">
        <v>11281</v>
      </c>
      <c r="D10427" s="3" t="s">
        <v>16659</v>
      </c>
      <c r="E10427" s="3" t="s">
        <v>20190</v>
      </c>
      <c r="F10427" s="3" t="s">
        <v>20191</v>
      </c>
    </row>
    <row r="10428">
      <c r="A10428" s="3">
        <v>1892.0</v>
      </c>
      <c r="B10428" s="3" t="s">
        <v>19423</v>
      </c>
      <c r="C10428" s="3" t="s">
        <v>11281</v>
      </c>
      <c r="D10428" s="3" t="s">
        <v>16662</v>
      </c>
      <c r="E10428" s="3" t="s">
        <v>20192</v>
      </c>
      <c r="F10428" s="3" t="s">
        <v>20193</v>
      </c>
    </row>
    <row r="10429">
      <c r="A10429" s="3">
        <v>1893.0</v>
      </c>
      <c r="B10429" s="3" t="s">
        <v>19423</v>
      </c>
      <c r="C10429" s="3" t="s">
        <v>11281</v>
      </c>
      <c r="D10429" s="3" t="s">
        <v>16665</v>
      </c>
      <c r="E10429" s="3" t="s">
        <v>20194</v>
      </c>
      <c r="F10429" s="3" t="s">
        <v>20195</v>
      </c>
    </row>
    <row r="10430">
      <c r="A10430" s="3">
        <v>1894.0</v>
      </c>
      <c r="B10430" s="3" t="s">
        <v>19423</v>
      </c>
      <c r="C10430" s="3" t="s">
        <v>11281</v>
      </c>
      <c r="D10430" s="3" t="s">
        <v>16668</v>
      </c>
      <c r="E10430" s="3" t="s">
        <v>20196</v>
      </c>
      <c r="F10430" s="3" t="s">
        <v>20197</v>
      </c>
    </row>
    <row r="10431">
      <c r="A10431" s="3">
        <v>1895.0</v>
      </c>
      <c r="B10431" s="3" t="s">
        <v>19423</v>
      </c>
      <c r="C10431" s="3" t="s">
        <v>11281</v>
      </c>
      <c r="D10431" s="3" t="s">
        <v>16671</v>
      </c>
      <c r="E10431" s="3" t="s">
        <v>20198</v>
      </c>
      <c r="F10431" s="3" t="s">
        <v>20199</v>
      </c>
    </row>
    <row r="10432">
      <c r="A10432" s="3">
        <v>1896.0</v>
      </c>
      <c r="B10432" s="3" t="s">
        <v>19423</v>
      </c>
      <c r="C10432" s="3" t="s">
        <v>11281</v>
      </c>
      <c r="D10432" s="3" t="s">
        <v>16674</v>
      </c>
      <c r="E10432" s="3" t="s">
        <v>16675</v>
      </c>
      <c r="F10432" s="3" t="s">
        <v>16674</v>
      </c>
    </row>
    <row r="10433">
      <c r="A10433" s="3">
        <v>1897.0</v>
      </c>
      <c r="B10433" s="3" t="s">
        <v>19423</v>
      </c>
      <c r="C10433" s="3" t="s">
        <v>11281</v>
      </c>
      <c r="D10433" s="3" t="s">
        <v>16676</v>
      </c>
      <c r="E10433" s="3" t="s">
        <v>16677</v>
      </c>
      <c r="F10433" s="3" t="s">
        <v>16676</v>
      </c>
    </row>
    <row r="10434">
      <c r="A10434" s="3">
        <v>1898.0</v>
      </c>
      <c r="B10434" s="3" t="s">
        <v>19423</v>
      </c>
      <c r="C10434" s="3" t="s">
        <v>11281</v>
      </c>
      <c r="D10434" s="3" t="s">
        <v>16678</v>
      </c>
      <c r="E10434" s="3" t="s">
        <v>16679</v>
      </c>
      <c r="F10434" s="3" t="s">
        <v>16678</v>
      </c>
    </row>
    <row r="10435">
      <c r="A10435" s="3">
        <v>1899.0</v>
      </c>
      <c r="B10435" s="3" t="s">
        <v>19423</v>
      </c>
      <c r="C10435" s="3" t="s">
        <v>11281</v>
      </c>
      <c r="D10435" s="3" t="s">
        <v>16680</v>
      </c>
      <c r="E10435" s="3" t="s">
        <v>16681</v>
      </c>
      <c r="F10435" s="3" t="s">
        <v>16680</v>
      </c>
    </row>
    <row r="10436">
      <c r="A10436" s="3">
        <v>1900.0</v>
      </c>
      <c r="B10436" s="3" t="s">
        <v>19423</v>
      </c>
      <c r="C10436" s="3" t="s">
        <v>11281</v>
      </c>
      <c r="D10436" s="3" t="s">
        <v>16682</v>
      </c>
      <c r="E10436" s="3" t="s">
        <v>16683</v>
      </c>
      <c r="F10436" s="3" t="s">
        <v>16682</v>
      </c>
    </row>
    <row r="10437">
      <c r="A10437" s="3">
        <v>1901.0</v>
      </c>
      <c r="B10437" s="3" t="s">
        <v>19423</v>
      </c>
      <c r="C10437" s="3" t="s">
        <v>11281</v>
      </c>
      <c r="D10437" s="3" t="s">
        <v>16684</v>
      </c>
      <c r="E10437" s="3" t="s">
        <v>16685</v>
      </c>
      <c r="F10437" s="3" t="s">
        <v>16684</v>
      </c>
    </row>
    <row r="10438">
      <c r="A10438" s="3">
        <v>1902.0</v>
      </c>
      <c r="B10438" s="3" t="s">
        <v>19423</v>
      </c>
      <c r="C10438" s="3" t="s">
        <v>11281</v>
      </c>
      <c r="D10438" s="3" t="s">
        <v>16686</v>
      </c>
      <c r="E10438" s="3" t="s">
        <v>16687</v>
      </c>
      <c r="F10438" s="3" t="s">
        <v>16686</v>
      </c>
    </row>
    <row r="10439">
      <c r="A10439" s="3">
        <v>1903.0</v>
      </c>
      <c r="B10439" s="3" t="s">
        <v>19423</v>
      </c>
      <c r="C10439" s="3" t="s">
        <v>11281</v>
      </c>
      <c r="D10439" s="3" t="s">
        <v>16688</v>
      </c>
      <c r="E10439" s="3" t="s">
        <v>16689</v>
      </c>
      <c r="F10439" s="3" t="s">
        <v>16688</v>
      </c>
    </row>
    <row r="10440">
      <c r="A10440" s="3">
        <v>1904.0</v>
      </c>
      <c r="B10440" s="3" t="s">
        <v>19423</v>
      </c>
      <c r="C10440" s="3" t="s">
        <v>11281</v>
      </c>
      <c r="D10440" s="3" t="s">
        <v>16690</v>
      </c>
      <c r="E10440" s="3" t="s">
        <v>16691</v>
      </c>
      <c r="F10440" s="3" t="s">
        <v>16690</v>
      </c>
      <c r="G10440" s="3"/>
      <c r="H10440" s="3" t="s">
        <v>16692</v>
      </c>
      <c r="I10440" s="3" t="s">
        <v>16693</v>
      </c>
      <c r="J10440" s="3" t="s">
        <v>16694</v>
      </c>
    </row>
    <row r="10441">
      <c r="A10441" s="3">
        <v>1905.0</v>
      </c>
      <c r="B10441" s="3" t="s">
        <v>19423</v>
      </c>
      <c r="C10441" s="3" t="s">
        <v>11281</v>
      </c>
      <c r="D10441" s="3" t="s">
        <v>16695</v>
      </c>
      <c r="E10441" s="3" t="s">
        <v>16696</v>
      </c>
      <c r="F10441" s="3" t="s">
        <v>16697</v>
      </c>
    </row>
    <row r="10442">
      <c r="A10442" s="3">
        <v>1906.0</v>
      </c>
      <c r="B10442" s="3" t="s">
        <v>19423</v>
      </c>
      <c r="C10442" s="3" t="s">
        <v>11281</v>
      </c>
      <c r="D10442" s="3" t="s">
        <v>16698</v>
      </c>
      <c r="E10442" s="3" t="s">
        <v>16699</v>
      </c>
      <c r="F10442" s="3" t="s">
        <v>16698</v>
      </c>
    </row>
    <row r="10443">
      <c r="A10443" s="3">
        <v>1907.0</v>
      </c>
      <c r="B10443" s="3" t="s">
        <v>19423</v>
      </c>
      <c r="C10443" s="3" t="s">
        <v>11281</v>
      </c>
      <c r="D10443" s="3" t="s">
        <v>16700</v>
      </c>
      <c r="E10443" s="3" t="s">
        <v>16701</v>
      </c>
      <c r="F10443" s="3" t="s">
        <v>16700</v>
      </c>
    </row>
    <row r="10444">
      <c r="A10444" s="3">
        <v>1908.0</v>
      </c>
      <c r="B10444" s="3" t="s">
        <v>19423</v>
      </c>
      <c r="C10444" s="3" t="s">
        <v>11281</v>
      </c>
      <c r="D10444" s="3" t="s">
        <v>16702</v>
      </c>
      <c r="E10444" s="3" t="s">
        <v>16703</v>
      </c>
      <c r="F10444" s="3" t="s">
        <v>16702</v>
      </c>
      <c r="G10444" s="3"/>
      <c r="H10444" s="3" t="s">
        <v>9633</v>
      </c>
      <c r="I10444" s="3" t="s">
        <v>16704</v>
      </c>
      <c r="J10444" s="3" t="s">
        <v>5748</v>
      </c>
      <c r="K10444" s="3" t="s">
        <v>16705</v>
      </c>
      <c r="L10444" s="3" t="s">
        <v>16706</v>
      </c>
      <c r="M10444" s="3" t="s">
        <v>3036</v>
      </c>
      <c r="N10444" s="3" t="s">
        <v>12310</v>
      </c>
      <c r="O10444" s="3" t="s">
        <v>16707</v>
      </c>
      <c r="P10444" s="3" t="s">
        <v>9633</v>
      </c>
      <c r="Q10444" s="3" t="s">
        <v>9633</v>
      </c>
      <c r="R10444" s="3" t="s">
        <v>1619</v>
      </c>
      <c r="S10444" s="3" t="s">
        <v>3036</v>
      </c>
      <c r="T10444" s="3" t="s">
        <v>6973</v>
      </c>
      <c r="U10444" s="3" t="s">
        <v>16708</v>
      </c>
    </row>
    <row r="10445">
      <c r="A10445" s="3">
        <v>1909.0</v>
      </c>
      <c r="B10445" s="3" t="s">
        <v>19423</v>
      </c>
      <c r="C10445" s="3" t="s">
        <v>11281</v>
      </c>
      <c r="D10445" s="3" t="s">
        <v>16709</v>
      </c>
      <c r="E10445" s="3" t="s">
        <v>16710</v>
      </c>
      <c r="F10445" s="3" t="s">
        <v>16709</v>
      </c>
    </row>
    <row r="10446">
      <c r="A10446" s="3">
        <v>1910.0</v>
      </c>
      <c r="B10446" s="3" t="s">
        <v>19423</v>
      </c>
      <c r="C10446" s="3" t="s">
        <v>11281</v>
      </c>
      <c r="D10446" s="3" t="s">
        <v>16711</v>
      </c>
      <c r="E10446" s="3" t="s">
        <v>16712</v>
      </c>
      <c r="F10446" s="3" t="s">
        <v>16711</v>
      </c>
    </row>
    <row r="10447">
      <c r="A10447" s="3">
        <v>1911.0</v>
      </c>
      <c r="B10447" s="3" t="s">
        <v>19423</v>
      </c>
      <c r="C10447" s="3" t="s">
        <v>11281</v>
      </c>
      <c r="D10447" s="3" t="s">
        <v>16713</v>
      </c>
      <c r="E10447" s="3" t="s">
        <v>16714</v>
      </c>
      <c r="F10447" s="3" t="s">
        <v>16713</v>
      </c>
    </row>
    <row r="10448">
      <c r="A10448" s="3">
        <v>1912.0</v>
      </c>
      <c r="B10448" s="3" t="s">
        <v>19423</v>
      </c>
      <c r="C10448" s="3" t="s">
        <v>11281</v>
      </c>
      <c r="D10448" s="3" t="s">
        <v>16715</v>
      </c>
      <c r="E10448" s="3" t="s">
        <v>16716</v>
      </c>
      <c r="F10448" s="3" t="s">
        <v>16715</v>
      </c>
    </row>
    <row r="10449">
      <c r="A10449" s="3">
        <v>1913.0</v>
      </c>
      <c r="B10449" s="3" t="s">
        <v>19423</v>
      </c>
      <c r="C10449" s="3" t="s">
        <v>11281</v>
      </c>
      <c r="D10449" s="3" t="s">
        <v>16717</v>
      </c>
      <c r="E10449" s="3" t="s">
        <v>16718</v>
      </c>
      <c r="F10449" s="3" t="s">
        <v>16717</v>
      </c>
      <c r="G10449" s="3"/>
      <c r="H10449" s="3" t="s">
        <v>16719</v>
      </c>
    </row>
    <row r="10450">
      <c r="A10450" s="3">
        <v>1914.0</v>
      </c>
      <c r="B10450" s="3" t="s">
        <v>19423</v>
      </c>
      <c r="C10450" s="3" t="s">
        <v>11281</v>
      </c>
      <c r="D10450" s="3" t="s">
        <v>16720</v>
      </c>
      <c r="E10450" s="3" t="s">
        <v>16721</v>
      </c>
      <c r="F10450" s="3" t="s">
        <v>16720</v>
      </c>
    </row>
    <row r="10451">
      <c r="A10451" s="3">
        <v>1915.0</v>
      </c>
      <c r="B10451" s="3" t="s">
        <v>19423</v>
      </c>
      <c r="C10451" s="3" t="s">
        <v>11281</v>
      </c>
      <c r="D10451" s="3" t="s">
        <v>3900</v>
      </c>
      <c r="E10451" s="3" t="s">
        <v>7400</v>
      </c>
      <c r="F10451" s="3" t="s">
        <v>3900</v>
      </c>
    </row>
    <row r="10452">
      <c r="A10452" s="3">
        <v>1916.0</v>
      </c>
      <c r="B10452" s="3" t="s">
        <v>19423</v>
      </c>
      <c r="C10452" s="3" t="s">
        <v>11281</v>
      </c>
      <c r="D10452" s="3" t="s">
        <v>8807</v>
      </c>
      <c r="E10452" s="3" t="s">
        <v>8806</v>
      </c>
      <c r="F10452" s="3" t="s">
        <v>8807</v>
      </c>
      <c r="G10452" s="3"/>
      <c r="H10452" s="3" t="s">
        <v>3694</v>
      </c>
      <c r="I10452" s="3" t="s">
        <v>3694</v>
      </c>
    </row>
    <row r="10453">
      <c r="A10453" s="3">
        <v>1917.0</v>
      </c>
      <c r="B10453" s="3" t="s">
        <v>19423</v>
      </c>
      <c r="C10453" s="3" t="s">
        <v>11281</v>
      </c>
      <c r="D10453" s="3" t="s">
        <v>3906</v>
      </c>
      <c r="E10453" s="3" t="s">
        <v>16722</v>
      </c>
      <c r="F10453" s="3" t="s">
        <v>3906</v>
      </c>
    </row>
    <row r="10454">
      <c r="A10454" s="3">
        <v>1918.0</v>
      </c>
      <c r="B10454" s="3" t="s">
        <v>19423</v>
      </c>
      <c r="C10454" s="3" t="s">
        <v>11281</v>
      </c>
      <c r="D10454" s="3" t="s">
        <v>4110</v>
      </c>
      <c r="E10454" s="3" t="s">
        <v>16723</v>
      </c>
      <c r="F10454" s="3" t="s">
        <v>4110</v>
      </c>
    </row>
    <row r="10455">
      <c r="A10455" s="3">
        <v>1919.0</v>
      </c>
      <c r="B10455" s="3" t="s">
        <v>19423</v>
      </c>
      <c r="C10455" s="3" t="s">
        <v>11281</v>
      </c>
      <c r="D10455" s="3" t="s">
        <v>16724</v>
      </c>
      <c r="E10455" s="3" t="s">
        <v>16725</v>
      </c>
      <c r="F10455" s="3" t="s">
        <v>16724</v>
      </c>
    </row>
    <row r="10456">
      <c r="A10456" s="3">
        <v>1920.0</v>
      </c>
      <c r="B10456" s="3" t="s">
        <v>19423</v>
      </c>
      <c r="C10456" s="3" t="s">
        <v>11281</v>
      </c>
      <c r="D10456" s="3" t="s">
        <v>16726</v>
      </c>
      <c r="E10456" s="3" t="s">
        <v>16727</v>
      </c>
      <c r="F10456" s="3" t="s">
        <v>16726</v>
      </c>
    </row>
    <row r="10457">
      <c r="A10457" s="3">
        <v>1921.0</v>
      </c>
      <c r="B10457" s="3" t="s">
        <v>19423</v>
      </c>
      <c r="C10457" s="3" t="s">
        <v>11281</v>
      </c>
      <c r="D10457" s="3" t="s">
        <v>16728</v>
      </c>
      <c r="E10457" s="3" t="s">
        <v>16729</v>
      </c>
      <c r="F10457" s="3" t="s">
        <v>16728</v>
      </c>
    </row>
    <row r="10458">
      <c r="A10458" s="3">
        <v>1922.0</v>
      </c>
      <c r="B10458" s="3" t="s">
        <v>19423</v>
      </c>
      <c r="C10458" s="3" t="s">
        <v>11281</v>
      </c>
      <c r="D10458" s="3" t="s">
        <v>16730</v>
      </c>
      <c r="E10458" s="3" t="s">
        <v>16731</v>
      </c>
      <c r="F10458" s="3" t="s">
        <v>16730</v>
      </c>
    </row>
    <row r="10459">
      <c r="A10459" s="3">
        <v>1923.0</v>
      </c>
      <c r="B10459" s="3" t="s">
        <v>19423</v>
      </c>
      <c r="C10459" s="3" t="s">
        <v>11281</v>
      </c>
      <c r="D10459" s="3" t="s">
        <v>16732</v>
      </c>
      <c r="E10459" s="3" t="s">
        <v>16733</v>
      </c>
      <c r="F10459" s="3" t="s">
        <v>16732</v>
      </c>
    </row>
    <row r="10460">
      <c r="A10460" s="3">
        <v>1924.0</v>
      </c>
      <c r="B10460" s="3" t="s">
        <v>19423</v>
      </c>
      <c r="C10460" s="3" t="s">
        <v>11281</v>
      </c>
      <c r="D10460" s="3" t="s">
        <v>3913</v>
      </c>
      <c r="E10460" s="3" t="s">
        <v>7401</v>
      </c>
      <c r="F10460" s="3" t="s">
        <v>3913</v>
      </c>
    </row>
    <row r="10461">
      <c r="A10461" s="3">
        <v>1925.0</v>
      </c>
      <c r="B10461" s="3" t="s">
        <v>19423</v>
      </c>
      <c r="C10461" s="3" t="s">
        <v>11281</v>
      </c>
      <c r="D10461" s="3" t="s">
        <v>3929</v>
      </c>
      <c r="E10461" s="3" t="s">
        <v>7403</v>
      </c>
      <c r="F10461" s="3" t="s">
        <v>3929</v>
      </c>
    </row>
    <row r="10462">
      <c r="A10462" s="3">
        <v>1926.0</v>
      </c>
      <c r="B10462" s="3" t="s">
        <v>19423</v>
      </c>
      <c r="C10462" s="3" t="s">
        <v>11281</v>
      </c>
      <c r="D10462" s="3" t="s">
        <v>3943</v>
      </c>
      <c r="E10462" s="3" t="s">
        <v>7405</v>
      </c>
      <c r="F10462" s="3" t="s">
        <v>3943</v>
      </c>
    </row>
    <row r="10463">
      <c r="A10463" s="3">
        <v>1927.0</v>
      </c>
      <c r="B10463" s="3" t="s">
        <v>19423</v>
      </c>
      <c r="C10463" s="3" t="s">
        <v>11281</v>
      </c>
      <c r="D10463" s="3" t="s">
        <v>16734</v>
      </c>
      <c r="E10463" s="3" t="s">
        <v>16735</v>
      </c>
      <c r="F10463" s="3" t="s">
        <v>16736</v>
      </c>
    </row>
    <row r="10464">
      <c r="A10464" s="3">
        <v>1928.0</v>
      </c>
      <c r="B10464" s="3" t="s">
        <v>19423</v>
      </c>
      <c r="C10464" s="3" t="s">
        <v>11281</v>
      </c>
      <c r="D10464" s="3" t="s">
        <v>16737</v>
      </c>
      <c r="E10464" s="3" t="s">
        <v>16738</v>
      </c>
      <c r="F10464" s="3" t="s">
        <v>16739</v>
      </c>
    </row>
    <row r="10465">
      <c r="A10465" s="3">
        <v>1929.0</v>
      </c>
      <c r="B10465" s="3" t="s">
        <v>19423</v>
      </c>
      <c r="C10465" s="3" t="s">
        <v>11281</v>
      </c>
      <c r="D10465" s="3" t="s">
        <v>16740</v>
      </c>
      <c r="E10465" s="3" t="s">
        <v>16741</v>
      </c>
      <c r="F10465" s="3" t="s">
        <v>16742</v>
      </c>
    </row>
    <row r="10466">
      <c r="A10466" s="3">
        <v>1930.0</v>
      </c>
      <c r="B10466" s="3" t="s">
        <v>19423</v>
      </c>
      <c r="C10466" s="3" t="s">
        <v>11281</v>
      </c>
      <c r="D10466" s="3" t="s">
        <v>16743</v>
      </c>
      <c r="E10466" s="3" t="s">
        <v>16744</v>
      </c>
      <c r="F10466" s="3" t="s">
        <v>16745</v>
      </c>
    </row>
    <row r="10467">
      <c r="A10467" s="3">
        <v>1931.0</v>
      </c>
      <c r="B10467" s="3" t="s">
        <v>19423</v>
      </c>
      <c r="C10467" s="3" t="s">
        <v>11281</v>
      </c>
      <c r="D10467" s="3" t="s">
        <v>16746</v>
      </c>
      <c r="E10467" s="3" t="s">
        <v>16747</v>
      </c>
      <c r="F10467" s="3" t="s">
        <v>16748</v>
      </c>
    </row>
    <row r="10468">
      <c r="A10468" s="3">
        <v>1932.0</v>
      </c>
      <c r="B10468" s="3" t="s">
        <v>19423</v>
      </c>
      <c r="C10468" s="3" t="s">
        <v>11281</v>
      </c>
      <c r="D10468" s="3" t="s">
        <v>16749</v>
      </c>
      <c r="E10468" s="3" t="s">
        <v>16750</v>
      </c>
      <c r="F10468" s="3" t="s">
        <v>16751</v>
      </c>
    </row>
    <row r="10469">
      <c r="A10469" s="3">
        <v>1933.0</v>
      </c>
      <c r="B10469" s="3" t="s">
        <v>19423</v>
      </c>
      <c r="C10469" s="3" t="s">
        <v>11281</v>
      </c>
      <c r="D10469" s="3" t="s">
        <v>16752</v>
      </c>
      <c r="E10469" s="3" t="s">
        <v>16753</v>
      </c>
      <c r="F10469" s="3" t="s">
        <v>16754</v>
      </c>
    </row>
    <row r="10470">
      <c r="A10470" s="3">
        <v>1934.0</v>
      </c>
      <c r="B10470" s="3" t="s">
        <v>19423</v>
      </c>
      <c r="C10470" s="3" t="s">
        <v>11281</v>
      </c>
      <c r="D10470" s="3" t="s">
        <v>16755</v>
      </c>
      <c r="E10470" s="3" t="s">
        <v>16756</v>
      </c>
      <c r="F10470" s="3" t="s">
        <v>16755</v>
      </c>
    </row>
    <row r="10471">
      <c r="A10471" s="3">
        <v>1935.0</v>
      </c>
      <c r="B10471" s="3" t="s">
        <v>19423</v>
      </c>
      <c r="C10471" s="3" t="s">
        <v>11281</v>
      </c>
      <c r="D10471" s="3" t="s">
        <v>16757</v>
      </c>
      <c r="E10471" s="3" t="s">
        <v>20200</v>
      </c>
      <c r="F10471" s="3" t="s">
        <v>20201</v>
      </c>
    </row>
    <row r="10472">
      <c r="A10472" s="3">
        <v>1936.0</v>
      </c>
      <c r="B10472" s="3" t="s">
        <v>19423</v>
      </c>
      <c r="C10472" s="3" t="s">
        <v>11281</v>
      </c>
      <c r="D10472" s="3" t="s">
        <v>16758</v>
      </c>
      <c r="E10472" s="3" t="s">
        <v>20202</v>
      </c>
      <c r="F10472" s="3" t="s">
        <v>20203</v>
      </c>
    </row>
    <row r="10473">
      <c r="A10473" s="3">
        <v>1937.0</v>
      </c>
      <c r="B10473" s="3" t="s">
        <v>19423</v>
      </c>
      <c r="C10473" s="3" t="s">
        <v>11281</v>
      </c>
      <c r="D10473" s="3" t="s">
        <v>16759</v>
      </c>
      <c r="E10473" s="3" t="s">
        <v>20204</v>
      </c>
      <c r="F10473" s="3" t="s">
        <v>20205</v>
      </c>
    </row>
    <row r="10474">
      <c r="A10474" s="3">
        <v>1938.0</v>
      </c>
      <c r="B10474" s="3" t="s">
        <v>19423</v>
      </c>
      <c r="C10474" s="3" t="s">
        <v>11281</v>
      </c>
      <c r="D10474" s="3" t="s">
        <v>16760</v>
      </c>
      <c r="E10474" s="3" t="s">
        <v>16761</v>
      </c>
      <c r="F10474" s="3" t="s">
        <v>16762</v>
      </c>
    </row>
    <row r="10475">
      <c r="A10475" s="3">
        <v>1939.0</v>
      </c>
      <c r="B10475" s="3" t="s">
        <v>19423</v>
      </c>
      <c r="C10475" s="3" t="s">
        <v>11281</v>
      </c>
      <c r="D10475" s="3" t="s">
        <v>16763</v>
      </c>
      <c r="E10475" s="3" t="s">
        <v>16764</v>
      </c>
      <c r="F10475" s="3" t="s">
        <v>16765</v>
      </c>
    </row>
    <row r="10476">
      <c r="A10476" s="3">
        <v>1940.0</v>
      </c>
      <c r="B10476" s="3" t="s">
        <v>19423</v>
      </c>
      <c r="C10476" s="3" t="s">
        <v>11281</v>
      </c>
      <c r="D10476" s="3" t="s">
        <v>16766</v>
      </c>
      <c r="E10476" s="3" t="s">
        <v>16767</v>
      </c>
      <c r="F10476" s="3" t="s">
        <v>16768</v>
      </c>
    </row>
    <row r="10477">
      <c r="A10477" s="3">
        <v>1941.0</v>
      </c>
      <c r="B10477" s="3" t="s">
        <v>19423</v>
      </c>
      <c r="C10477" s="3" t="s">
        <v>11281</v>
      </c>
      <c r="D10477" s="3" t="s">
        <v>16769</v>
      </c>
      <c r="E10477" s="3" t="s">
        <v>16770</v>
      </c>
      <c r="F10477" s="3" t="s">
        <v>16771</v>
      </c>
    </row>
    <row r="10478">
      <c r="A10478" s="3">
        <v>1942.0</v>
      </c>
      <c r="B10478" s="3" t="s">
        <v>19423</v>
      </c>
      <c r="C10478" s="3" t="s">
        <v>11281</v>
      </c>
      <c r="D10478" s="3" t="s">
        <v>16772</v>
      </c>
      <c r="E10478" s="3" t="s">
        <v>16773</v>
      </c>
      <c r="F10478" s="3" t="s">
        <v>16774</v>
      </c>
    </row>
    <row r="10479">
      <c r="A10479" s="3">
        <v>1943.0</v>
      </c>
      <c r="B10479" s="3" t="s">
        <v>19423</v>
      </c>
      <c r="C10479" s="3" t="s">
        <v>11281</v>
      </c>
      <c r="D10479" s="3" t="s">
        <v>16775</v>
      </c>
      <c r="E10479" s="3" t="s">
        <v>16776</v>
      </c>
      <c r="F10479" s="3" t="s">
        <v>16777</v>
      </c>
    </row>
    <row r="10480">
      <c r="A10480" s="3">
        <v>1944.0</v>
      </c>
      <c r="B10480" s="3" t="s">
        <v>19423</v>
      </c>
      <c r="C10480" s="3" t="s">
        <v>11281</v>
      </c>
      <c r="D10480" s="3" t="s">
        <v>16778</v>
      </c>
      <c r="E10480" s="3" t="s">
        <v>16779</v>
      </c>
      <c r="F10480" s="3" t="s">
        <v>16780</v>
      </c>
    </row>
    <row r="10481">
      <c r="A10481" s="3">
        <v>1945.0</v>
      </c>
      <c r="B10481" s="3" t="s">
        <v>19423</v>
      </c>
      <c r="C10481" s="3" t="s">
        <v>11281</v>
      </c>
      <c r="D10481" s="3" t="s">
        <v>16781</v>
      </c>
      <c r="E10481" s="3" t="s">
        <v>16782</v>
      </c>
      <c r="F10481" s="3" t="s">
        <v>16783</v>
      </c>
    </row>
    <row r="10482">
      <c r="A10482" s="3">
        <v>1946.0</v>
      </c>
      <c r="B10482" s="3" t="s">
        <v>19423</v>
      </c>
      <c r="C10482" s="3" t="s">
        <v>11281</v>
      </c>
      <c r="D10482" s="3" t="s">
        <v>16784</v>
      </c>
      <c r="E10482" s="3" t="s">
        <v>16785</v>
      </c>
      <c r="F10482" s="3" t="s">
        <v>16786</v>
      </c>
    </row>
    <row r="10483">
      <c r="A10483" s="3">
        <v>1947.0</v>
      </c>
      <c r="B10483" s="3" t="s">
        <v>19423</v>
      </c>
      <c r="C10483" s="3" t="s">
        <v>11281</v>
      </c>
      <c r="D10483" s="3" t="s">
        <v>16787</v>
      </c>
      <c r="E10483" s="3" t="s">
        <v>16788</v>
      </c>
      <c r="F10483" s="3" t="s">
        <v>16789</v>
      </c>
    </row>
    <row r="10484">
      <c r="A10484" s="3">
        <v>1948.0</v>
      </c>
      <c r="B10484" s="3" t="s">
        <v>19423</v>
      </c>
      <c r="C10484" s="3" t="s">
        <v>11281</v>
      </c>
      <c r="D10484" s="3" t="s">
        <v>16790</v>
      </c>
      <c r="E10484" s="3" t="s">
        <v>16791</v>
      </c>
      <c r="F10484" s="3" t="s">
        <v>16792</v>
      </c>
    </row>
    <row r="10485">
      <c r="A10485" s="3">
        <v>1949.0</v>
      </c>
      <c r="B10485" s="3" t="s">
        <v>19423</v>
      </c>
      <c r="C10485" s="3" t="s">
        <v>11281</v>
      </c>
      <c r="D10485" s="3" t="s">
        <v>16793</v>
      </c>
      <c r="E10485" s="3" t="s">
        <v>16794</v>
      </c>
      <c r="F10485" s="3" t="s">
        <v>16795</v>
      </c>
    </row>
    <row r="10486">
      <c r="A10486" s="3">
        <v>1950.0</v>
      </c>
      <c r="B10486" s="3" t="s">
        <v>19423</v>
      </c>
      <c r="C10486" s="3" t="s">
        <v>11281</v>
      </c>
      <c r="D10486" s="3" t="s">
        <v>4021</v>
      </c>
      <c r="E10486" s="3" t="s">
        <v>7422</v>
      </c>
      <c r="F10486" s="3" t="s">
        <v>4021</v>
      </c>
      <c r="G10486" s="3"/>
      <c r="H10486" s="3" t="s">
        <v>16796</v>
      </c>
      <c r="I10486" s="3" t="s">
        <v>16797</v>
      </c>
    </row>
    <row r="10487">
      <c r="A10487" s="3">
        <v>1951.0</v>
      </c>
      <c r="B10487" s="3" t="s">
        <v>19423</v>
      </c>
      <c r="C10487" s="3" t="s">
        <v>11281</v>
      </c>
      <c r="D10487" s="3" t="s">
        <v>16798</v>
      </c>
      <c r="E10487" s="3" t="s">
        <v>16799</v>
      </c>
      <c r="F10487" s="3" t="s">
        <v>16798</v>
      </c>
    </row>
    <row r="10488">
      <c r="A10488" s="3">
        <v>1952.0</v>
      </c>
      <c r="B10488" s="3" t="s">
        <v>19423</v>
      </c>
      <c r="C10488" s="3" t="s">
        <v>11281</v>
      </c>
      <c r="D10488" s="3" t="s">
        <v>4030</v>
      </c>
      <c r="E10488" s="3" t="s">
        <v>7425</v>
      </c>
      <c r="F10488" s="3" t="s">
        <v>4030</v>
      </c>
    </row>
    <row r="10489">
      <c r="A10489" s="3">
        <v>1953.0</v>
      </c>
      <c r="B10489" s="3" t="s">
        <v>19423</v>
      </c>
      <c r="C10489" s="3" t="s">
        <v>11281</v>
      </c>
      <c r="D10489" s="3" t="s">
        <v>16800</v>
      </c>
      <c r="E10489" s="3" t="s">
        <v>16801</v>
      </c>
      <c r="F10489" s="3" t="s">
        <v>16800</v>
      </c>
    </row>
    <row r="10490">
      <c r="A10490" s="3">
        <v>1954.0</v>
      </c>
      <c r="B10490" s="3" t="s">
        <v>19423</v>
      </c>
      <c r="C10490" s="3" t="s">
        <v>11281</v>
      </c>
      <c r="D10490" s="3" t="s">
        <v>16802</v>
      </c>
      <c r="E10490" s="3" t="s">
        <v>16803</v>
      </c>
      <c r="F10490" s="3" t="s">
        <v>16802</v>
      </c>
    </row>
    <row r="10491">
      <c r="A10491" s="3">
        <v>1955.0</v>
      </c>
      <c r="B10491" s="3" t="s">
        <v>19423</v>
      </c>
      <c r="C10491" s="3" t="s">
        <v>11281</v>
      </c>
      <c r="D10491" s="3" t="s">
        <v>16804</v>
      </c>
      <c r="E10491" s="3" t="s">
        <v>20206</v>
      </c>
      <c r="F10491" s="3" t="s">
        <v>20207</v>
      </c>
    </row>
    <row r="10492">
      <c r="A10492" s="3">
        <v>1956.0</v>
      </c>
      <c r="B10492" s="3" t="s">
        <v>19423</v>
      </c>
      <c r="C10492" s="3" t="s">
        <v>11281</v>
      </c>
      <c r="D10492" s="3" t="s">
        <v>16807</v>
      </c>
      <c r="E10492" s="3" t="s">
        <v>20208</v>
      </c>
      <c r="F10492" s="3" t="s">
        <v>20209</v>
      </c>
    </row>
    <row r="10493">
      <c r="A10493" s="3">
        <v>1957.0</v>
      </c>
      <c r="B10493" s="3" t="s">
        <v>19423</v>
      </c>
      <c r="C10493" s="3" t="s">
        <v>11281</v>
      </c>
      <c r="D10493" s="3" t="s">
        <v>16810</v>
      </c>
      <c r="E10493" s="3" t="s">
        <v>20210</v>
      </c>
      <c r="F10493" s="3" t="s">
        <v>20211</v>
      </c>
    </row>
    <row r="10494">
      <c r="A10494" s="3">
        <v>1958.0</v>
      </c>
      <c r="B10494" s="3" t="s">
        <v>19423</v>
      </c>
      <c r="C10494" s="3" t="s">
        <v>11281</v>
      </c>
      <c r="D10494" s="3" t="s">
        <v>16813</v>
      </c>
      <c r="E10494" s="3" t="s">
        <v>20212</v>
      </c>
      <c r="F10494" s="3" t="s">
        <v>20213</v>
      </c>
    </row>
    <row r="10495">
      <c r="A10495" s="3">
        <v>1959.0</v>
      </c>
      <c r="B10495" s="3" t="s">
        <v>19423</v>
      </c>
      <c r="C10495" s="3" t="s">
        <v>11281</v>
      </c>
      <c r="D10495" s="3" t="s">
        <v>16816</v>
      </c>
      <c r="E10495" s="3" t="s">
        <v>20214</v>
      </c>
      <c r="F10495" s="3" t="s">
        <v>20215</v>
      </c>
    </row>
    <row r="10496">
      <c r="A10496" s="3">
        <v>1960.0</v>
      </c>
      <c r="B10496" s="3" t="s">
        <v>19423</v>
      </c>
      <c r="C10496" s="3" t="s">
        <v>11281</v>
      </c>
      <c r="D10496" s="3" t="s">
        <v>16819</v>
      </c>
      <c r="E10496" s="3" t="s">
        <v>20216</v>
      </c>
      <c r="F10496" s="3" t="s">
        <v>20217</v>
      </c>
    </row>
    <row r="10497">
      <c r="A10497" s="3">
        <v>1961.0</v>
      </c>
      <c r="B10497" s="3" t="s">
        <v>19423</v>
      </c>
      <c r="C10497" s="3" t="s">
        <v>11281</v>
      </c>
      <c r="D10497" s="3" t="s">
        <v>16822</v>
      </c>
      <c r="E10497" s="3" t="s">
        <v>20218</v>
      </c>
      <c r="F10497" s="3" t="s">
        <v>20219</v>
      </c>
    </row>
    <row r="10498">
      <c r="A10498" s="3">
        <v>1962.0</v>
      </c>
      <c r="B10498" s="3" t="s">
        <v>19423</v>
      </c>
      <c r="C10498" s="3" t="s">
        <v>11281</v>
      </c>
      <c r="D10498" s="3" t="s">
        <v>16825</v>
      </c>
      <c r="E10498" s="3" t="s">
        <v>16826</v>
      </c>
      <c r="F10498" s="3" t="s">
        <v>16825</v>
      </c>
    </row>
    <row r="10499">
      <c r="A10499" s="3">
        <v>1963.0</v>
      </c>
      <c r="B10499" s="3" t="s">
        <v>19423</v>
      </c>
      <c r="C10499" s="3" t="s">
        <v>11281</v>
      </c>
      <c r="D10499" s="3" t="s">
        <v>16827</v>
      </c>
      <c r="E10499" s="3" t="s">
        <v>16828</v>
      </c>
      <c r="F10499" s="3" t="s">
        <v>16827</v>
      </c>
    </row>
    <row r="10500">
      <c r="A10500" s="3">
        <v>1964.0</v>
      </c>
      <c r="B10500" s="3" t="s">
        <v>19423</v>
      </c>
      <c r="C10500" s="3" t="s">
        <v>11281</v>
      </c>
      <c r="D10500" s="3" t="s">
        <v>16829</v>
      </c>
      <c r="E10500" s="3" t="s">
        <v>16830</v>
      </c>
      <c r="F10500" s="3" t="s">
        <v>16829</v>
      </c>
    </row>
    <row r="10501">
      <c r="A10501" s="3">
        <v>1965.0</v>
      </c>
      <c r="B10501" s="3" t="s">
        <v>19423</v>
      </c>
      <c r="C10501" s="3" t="s">
        <v>11281</v>
      </c>
      <c r="D10501" s="3" t="s">
        <v>16831</v>
      </c>
      <c r="E10501" s="3" t="s">
        <v>16832</v>
      </c>
      <c r="F10501" s="3" t="s">
        <v>16831</v>
      </c>
    </row>
    <row r="10502">
      <c r="A10502" s="3">
        <v>1966.0</v>
      </c>
      <c r="B10502" s="3" t="s">
        <v>19423</v>
      </c>
      <c r="C10502" s="3" t="s">
        <v>11281</v>
      </c>
      <c r="D10502" s="3" t="s">
        <v>16833</v>
      </c>
      <c r="E10502" s="3" t="s">
        <v>16834</v>
      </c>
      <c r="F10502" s="3" t="s">
        <v>16833</v>
      </c>
    </row>
    <row r="10503">
      <c r="A10503" s="3">
        <v>1967.0</v>
      </c>
      <c r="B10503" s="3" t="s">
        <v>19423</v>
      </c>
      <c r="C10503" s="3" t="s">
        <v>11281</v>
      </c>
      <c r="D10503" s="3" t="s">
        <v>16835</v>
      </c>
      <c r="E10503" s="3" t="s">
        <v>16836</v>
      </c>
      <c r="F10503" s="3" t="s">
        <v>16837</v>
      </c>
    </row>
    <row r="10504">
      <c r="A10504" s="3">
        <v>1968.0</v>
      </c>
      <c r="B10504" s="3" t="s">
        <v>19423</v>
      </c>
      <c r="C10504" s="3" t="s">
        <v>11281</v>
      </c>
      <c r="D10504" s="3" t="s">
        <v>16838</v>
      </c>
      <c r="E10504" s="3" t="s">
        <v>16839</v>
      </c>
      <c r="F10504" s="3" t="s">
        <v>16840</v>
      </c>
    </row>
    <row r="10505">
      <c r="A10505" s="3">
        <v>1969.0</v>
      </c>
      <c r="B10505" s="3" t="s">
        <v>19423</v>
      </c>
      <c r="C10505" s="3" t="s">
        <v>11281</v>
      </c>
      <c r="D10505" s="3" t="s">
        <v>16841</v>
      </c>
      <c r="E10505" s="3" t="s">
        <v>16842</v>
      </c>
      <c r="F10505" s="3" t="s">
        <v>16843</v>
      </c>
    </row>
    <row r="10506">
      <c r="A10506" s="3">
        <v>1970.0</v>
      </c>
      <c r="B10506" s="3" t="s">
        <v>19423</v>
      </c>
      <c r="C10506" s="3" t="s">
        <v>11281</v>
      </c>
      <c r="D10506" s="3" t="s">
        <v>16844</v>
      </c>
      <c r="E10506" s="3" t="s">
        <v>16845</v>
      </c>
      <c r="F10506" s="3" t="s">
        <v>16846</v>
      </c>
    </row>
    <row r="10507">
      <c r="A10507" s="3">
        <v>1971.0</v>
      </c>
      <c r="B10507" s="3" t="s">
        <v>19423</v>
      </c>
      <c r="C10507" s="3" t="s">
        <v>11281</v>
      </c>
      <c r="D10507" s="3" t="s">
        <v>16847</v>
      </c>
      <c r="E10507" s="3" t="s">
        <v>16848</v>
      </c>
      <c r="F10507" s="3" t="s">
        <v>16849</v>
      </c>
    </row>
    <row r="10508">
      <c r="A10508" s="3">
        <v>1972.0</v>
      </c>
      <c r="B10508" s="3" t="s">
        <v>19423</v>
      </c>
      <c r="C10508" s="3" t="s">
        <v>11281</v>
      </c>
      <c r="D10508" s="3" t="s">
        <v>16850</v>
      </c>
      <c r="E10508" s="3" t="s">
        <v>16851</v>
      </c>
      <c r="F10508" s="3" t="s">
        <v>16852</v>
      </c>
    </row>
    <row r="10509">
      <c r="A10509" s="3">
        <v>1973.0</v>
      </c>
      <c r="B10509" s="3" t="s">
        <v>19423</v>
      </c>
      <c r="C10509" s="3" t="s">
        <v>11281</v>
      </c>
      <c r="D10509" s="3" t="s">
        <v>16853</v>
      </c>
      <c r="E10509" s="3" t="s">
        <v>16854</v>
      </c>
      <c r="F10509" s="3" t="s">
        <v>16855</v>
      </c>
    </row>
    <row r="10510">
      <c r="A10510" s="3">
        <v>1974.0</v>
      </c>
      <c r="B10510" s="3" t="s">
        <v>19423</v>
      </c>
      <c r="C10510" s="3" t="s">
        <v>11281</v>
      </c>
      <c r="D10510" s="3" t="s">
        <v>16856</v>
      </c>
      <c r="E10510" s="3" t="s">
        <v>16857</v>
      </c>
      <c r="F10510" s="3" t="s">
        <v>16856</v>
      </c>
      <c r="G10510" s="3"/>
      <c r="H10510" s="3" t="s">
        <v>11725</v>
      </c>
      <c r="I10510" s="3" t="s">
        <v>11726</v>
      </c>
      <c r="J10510" s="3" t="s">
        <v>11727</v>
      </c>
    </row>
    <row r="10511">
      <c r="A10511" s="3">
        <v>1975.0</v>
      </c>
      <c r="B10511" s="3" t="s">
        <v>19423</v>
      </c>
      <c r="C10511" s="3" t="s">
        <v>11281</v>
      </c>
      <c r="D10511" s="3" t="s">
        <v>16858</v>
      </c>
      <c r="E10511" s="3" t="s">
        <v>20220</v>
      </c>
      <c r="F10511" s="3" t="s">
        <v>20221</v>
      </c>
      <c r="G10511" s="3"/>
      <c r="H10511" s="3" t="s">
        <v>16858</v>
      </c>
      <c r="I10511" s="3" t="s">
        <v>16858</v>
      </c>
    </row>
    <row r="10512">
      <c r="A10512" s="3">
        <v>1976.0</v>
      </c>
      <c r="B10512" s="3" t="s">
        <v>19423</v>
      </c>
      <c r="C10512" s="3" t="s">
        <v>11281</v>
      </c>
      <c r="D10512" s="3" t="s">
        <v>16861</v>
      </c>
      <c r="E10512" s="3" t="s">
        <v>20222</v>
      </c>
      <c r="F10512" s="3" t="s">
        <v>20223</v>
      </c>
    </row>
    <row r="10513">
      <c r="A10513" s="3">
        <v>1977.0</v>
      </c>
      <c r="B10513" s="3" t="s">
        <v>19423</v>
      </c>
      <c r="C10513" s="3" t="s">
        <v>11281</v>
      </c>
      <c r="D10513" s="3" t="s">
        <v>16864</v>
      </c>
      <c r="E10513" s="3" t="s">
        <v>20224</v>
      </c>
      <c r="F10513" s="3" t="s">
        <v>20225</v>
      </c>
    </row>
    <row r="10514">
      <c r="A10514" s="3">
        <v>1978.0</v>
      </c>
      <c r="B10514" s="3" t="s">
        <v>19423</v>
      </c>
      <c r="C10514" s="3" t="s">
        <v>11281</v>
      </c>
      <c r="D10514" s="3" t="s">
        <v>16867</v>
      </c>
      <c r="E10514" s="3" t="s">
        <v>20226</v>
      </c>
      <c r="F10514" s="3" t="s">
        <v>20227</v>
      </c>
    </row>
    <row r="10515">
      <c r="A10515" s="3">
        <v>1979.0</v>
      </c>
      <c r="B10515" s="3" t="s">
        <v>19423</v>
      </c>
      <c r="C10515" s="3" t="s">
        <v>11281</v>
      </c>
      <c r="D10515" s="3" t="s">
        <v>16870</v>
      </c>
      <c r="E10515" s="3" t="s">
        <v>20228</v>
      </c>
      <c r="F10515" s="3" t="s">
        <v>20229</v>
      </c>
    </row>
    <row r="10516">
      <c r="A10516" s="3">
        <v>1980.0</v>
      </c>
      <c r="B10516" s="3" t="s">
        <v>19423</v>
      </c>
      <c r="C10516" s="3" t="s">
        <v>11281</v>
      </c>
      <c r="D10516" s="3" t="s">
        <v>16873</v>
      </c>
      <c r="E10516" s="3" t="s">
        <v>20230</v>
      </c>
      <c r="F10516" s="3" t="s">
        <v>20231</v>
      </c>
    </row>
    <row r="10517">
      <c r="A10517" s="3">
        <v>1981.0</v>
      </c>
      <c r="B10517" s="3" t="s">
        <v>19423</v>
      </c>
      <c r="C10517" s="3" t="s">
        <v>11281</v>
      </c>
      <c r="D10517" s="3" t="s">
        <v>16876</v>
      </c>
      <c r="E10517" s="3" t="s">
        <v>20232</v>
      </c>
      <c r="F10517" s="3" t="s">
        <v>20233</v>
      </c>
    </row>
    <row r="10518">
      <c r="A10518" s="3">
        <v>1982.0</v>
      </c>
      <c r="B10518" s="3" t="s">
        <v>19423</v>
      </c>
      <c r="C10518" s="3" t="s">
        <v>11281</v>
      </c>
      <c r="D10518" s="3" t="s">
        <v>16879</v>
      </c>
      <c r="E10518" s="3" t="s">
        <v>20234</v>
      </c>
      <c r="F10518" s="3" t="s">
        <v>20235</v>
      </c>
    </row>
    <row r="10519">
      <c r="A10519" s="3">
        <v>1983.0</v>
      </c>
      <c r="B10519" s="3" t="s">
        <v>19423</v>
      </c>
      <c r="C10519" s="3" t="s">
        <v>11281</v>
      </c>
      <c r="D10519" s="3" t="s">
        <v>16882</v>
      </c>
      <c r="E10519" s="3" t="s">
        <v>16883</v>
      </c>
      <c r="F10519" s="3" t="s">
        <v>16882</v>
      </c>
    </row>
    <row r="10520">
      <c r="A10520" s="3">
        <v>1984.0</v>
      </c>
      <c r="B10520" s="3" t="s">
        <v>19423</v>
      </c>
      <c r="C10520" s="3" t="s">
        <v>11281</v>
      </c>
      <c r="D10520" s="3" t="s">
        <v>16884</v>
      </c>
      <c r="E10520" s="3" t="s">
        <v>16885</v>
      </c>
      <c r="F10520" s="3" t="s">
        <v>16884</v>
      </c>
    </row>
    <row r="10521">
      <c r="A10521" s="3">
        <v>1985.0</v>
      </c>
      <c r="B10521" s="3" t="s">
        <v>19423</v>
      </c>
      <c r="C10521" s="3" t="s">
        <v>11281</v>
      </c>
      <c r="D10521" s="3" t="s">
        <v>16886</v>
      </c>
      <c r="E10521" s="3" t="s">
        <v>16887</v>
      </c>
      <c r="F10521" s="3" t="s">
        <v>16886</v>
      </c>
      <c r="G10521" s="3"/>
      <c r="H10521" s="3" t="s">
        <v>16886</v>
      </c>
    </row>
    <row r="10522">
      <c r="A10522" s="3">
        <v>1986.0</v>
      </c>
      <c r="B10522" s="3" t="s">
        <v>19423</v>
      </c>
      <c r="C10522" s="3" t="s">
        <v>11281</v>
      </c>
      <c r="D10522" s="3" t="s">
        <v>16888</v>
      </c>
      <c r="E10522" s="3" t="s">
        <v>16889</v>
      </c>
      <c r="F10522" s="3" t="s">
        <v>16888</v>
      </c>
      <c r="G10522" s="3"/>
      <c r="H10522" s="3" t="s">
        <v>16890</v>
      </c>
      <c r="I10522" s="3" t="s">
        <v>419</v>
      </c>
      <c r="J10522" s="3" t="s">
        <v>9229</v>
      </c>
      <c r="K10522" s="3" t="s">
        <v>9229</v>
      </c>
    </row>
    <row r="10523">
      <c r="A10523" s="3">
        <v>1987.0</v>
      </c>
      <c r="B10523" s="3" t="s">
        <v>19423</v>
      </c>
      <c r="C10523" s="3" t="s">
        <v>11281</v>
      </c>
      <c r="D10523" s="3" t="s">
        <v>16891</v>
      </c>
      <c r="E10523" s="3" t="s">
        <v>16892</v>
      </c>
      <c r="F10523" s="3" t="s">
        <v>16891</v>
      </c>
    </row>
    <row r="10524">
      <c r="A10524" s="3">
        <v>1988.0</v>
      </c>
      <c r="B10524" s="3" t="s">
        <v>19423</v>
      </c>
      <c r="C10524" s="3" t="s">
        <v>11281</v>
      </c>
      <c r="D10524" s="3" t="s">
        <v>16893</v>
      </c>
      <c r="E10524" s="3" t="s">
        <v>16894</v>
      </c>
      <c r="F10524" s="3" t="s">
        <v>16893</v>
      </c>
    </row>
    <row r="10525">
      <c r="A10525" s="3">
        <v>1989.0</v>
      </c>
      <c r="B10525" s="3" t="s">
        <v>19423</v>
      </c>
      <c r="C10525" s="3" t="s">
        <v>11281</v>
      </c>
      <c r="D10525" s="3" t="s">
        <v>16895</v>
      </c>
      <c r="E10525" s="3" t="s">
        <v>16896</v>
      </c>
      <c r="F10525" s="3" t="s">
        <v>16895</v>
      </c>
    </row>
    <row r="10526">
      <c r="A10526" s="3">
        <v>1990.0</v>
      </c>
      <c r="B10526" s="3" t="s">
        <v>19423</v>
      </c>
      <c r="C10526" s="3" t="s">
        <v>11281</v>
      </c>
      <c r="D10526" s="3" t="s">
        <v>16897</v>
      </c>
      <c r="E10526" s="3" t="s">
        <v>16898</v>
      </c>
      <c r="F10526" s="3" t="s">
        <v>16897</v>
      </c>
    </row>
    <row r="10527">
      <c r="A10527" s="3">
        <v>1991.0</v>
      </c>
      <c r="B10527" s="3" t="s">
        <v>19423</v>
      </c>
      <c r="C10527" s="3" t="s">
        <v>11281</v>
      </c>
      <c r="D10527" s="3" t="s">
        <v>16899</v>
      </c>
      <c r="E10527" s="3" t="s">
        <v>16900</v>
      </c>
      <c r="F10527" s="3" t="s">
        <v>16899</v>
      </c>
    </row>
    <row r="10528">
      <c r="A10528" s="3">
        <v>1992.0</v>
      </c>
      <c r="B10528" s="3" t="s">
        <v>19423</v>
      </c>
      <c r="C10528" s="3" t="s">
        <v>11281</v>
      </c>
      <c r="D10528" s="3" t="s">
        <v>16901</v>
      </c>
      <c r="E10528" s="3" t="s">
        <v>16902</v>
      </c>
      <c r="F10528" s="3" t="s">
        <v>16901</v>
      </c>
    </row>
    <row r="10529">
      <c r="A10529" s="3">
        <v>1993.0</v>
      </c>
      <c r="B10529" s="3" t="s">
        <v>19423</v>
      </c>
      <c r="C10529" s="3" t="s">
        <v>11281</v>
      </c>
      <c r="D10529" s="3" t="s">
        <v>16903</v>
      </c>
      <c r="E10529" s="3" t="s">
        <v>16904</v>
      </c>
      <c r="F10529" s="3" t="s">
        <v>16903</v>
      </c>
    </row>
    <row r="10530">
      <c r="A10530" s="3">
        <v>1994.0</v>
      </c>
      <c r="B10530" s="3" t="s">
        <v>19423</v>
      </c>
      <c r="C10530" s="3" t="s">
        <v>11281</v>
      </c>
      <c r="D10530" s="3" t="s">
        <v>4086</v>
      </c>
      <c r="E10530" s="3" t="s">
        <v>7444</v>
      </c>
      <c r="F10530" s="3" t="s">
        <v>4086</v>
      </c>
      <c r="G10530" s="3"/>
      <c r="H10530" s="3" t="s">
        <v>16905</v>
      </c>
    </row>
    <row r="10531">
      <c r="A10531" s="3">
        <v>1995.0</v>
      </c>
      <c r="B10531" s="3" t="s">
        <v>19423</v>
      </c>
      <c r="C10531" s="3" t="s">
        <v>11281</v>
      </c>
      <c r="D10531" s="3" t="s">
        <v>4072</v>
      </c>
      <c r="E10531" s="3" t="s">
        <v>7436</v>
      </c>
      <c r="F10531" s="3" t="s">
        <v>4072</v>
      </c>
      <c r="G10531" s="3"/>
      <c r="H10531" s="3" t="s">
        <v>16906</v>
      </c>
      <c r="I10531" s="3" t="s">
        <v>16907</v>
      </c>
    </row>
    <row r="10532">
      <c r="A10532" s="3">
        <v>1996.0</v>
      </c>
      <c r="B10532" s="3" t="s">
        <v>19423</v>
      </c>
      <c r="C10532" s="3" t="s">
        <v>11281</v>
      </c>
      <c r="D10532" s="3" t="s">
        <v>16908</v>
      </c>
      <c r="E10532" s="3" t="s">
        <v>16909</v>
      </c>
      <c r="F10532" s="3" t="s">
        <v>16908</v>
      </c>
    </row>
    <row r="10533">
      <c r="A10533" s="3">
        <v>1997.0</v>
      </c>
      <c r="B10533" s="3" t="s">
        <v>19423</v>
      </c>
      <c r="C10533" s="3" t="s">
        <v>11281</v>
      </c>
      <c r="D10533" s="3" t="s">
        <v>16910</v>
      </c>
      <c r="E10533" s="3" t="s">
        <v>16911</v>
      </c>
      <c r="F10533" s="3" t="s">
        <v>16910</v>
      </c>
    </row>
    <row r="10534">
      <c r="A10534" s="3">
        <v>1998.0</v>
      </c>
      <c r="B10534" s="3" t="s">
        <v>19423</v>
      </c>
      <c r="C10534" s="3" t="s">
        <v>11281</v>
      </c>
      <c r="D10534" s="3" t="s">
        <v>16912</v>
      </c>
      <c r="E10534" s="3" t="s">
        <v>16913</v>
      </c>
      <c r="F10534" s="3" t="s">
        <v>16912</v>
      </c>
    </row>
    <row r="10535">
      <c r="A10535" s="3">
        <v>1999.0</v>
      </c>
      <c r="B10535" s="3" t="s">
        <v>19423</v>
      </c>
      <c r="C10535" s="3" t="s">
        <v>11281</v>
      </c>
      <c r="D10535" s="3" t="s">
        <v>4081</v>
      </c>
      <c r="E10535" s="3" t="s">
        <v>7442</v>
      </c>
      <c r="F10535" s="3" t="s">
        <v>4081</v>
      </c>
    </row>
    <row r="10536">
      <c r="A10536" s="3">
        <v>2000.0</v>
      </c>
      <c r="B10536" s="3" t="s">
        <v>19423</v>
      </c>
      <c r="C10536" s="3" t="s">
        <v>11281</v>
      </c>
      <c r="D10536" s="3" t="s">
        <v>16914</v>
      </c>
      <c r="E10536" s="3" t="s">
        <v>16915</v>
      </c>
      <c r="F10536" s="3" t="s">
        <v>16916</v>
      </c>
      <c r="G10536" s="3"/>
      <c r="H10536" s="3" t="s">
        <v>16914</v>
      </c>
      <c r="I10536" s="3" t="s">
        <v>16914</v>
      </c>
      <c r="J10536" s="3" t="s">
        <v>16917</v>
      </c>
    </row>
    <row r="10537">
      <c r="A10537" s="3">
        <v>2001.0</v>
      </c>
      <c r="B10537" s="3" t="s">
        <v>19423</v>
      </c>
      <c r="C10537" s="3" t="s">
        <v>11281</v>
      </c>
      <c r="D10537" s="3" t="s">
        <v>16918</v>
      </c>
      <c r="E10537" s="3" t="s">
        <v>16919</v>
      </c>
      <c r="F10537" s="3" t="s">
        <v>16918</v>
      </c>
    </row>
    <row r="10538">
      <c r="A10538" s="3">
        <v>2002.0</v>
      </c>
      <c r="B10538" s="3" t="s">
        <v>19423</v>
      </c>
      <c r="C10538" s="3" t="s">
        <v>11281</v>
      </c>
      <c r="D10538" s="3" t="s">
        <v>16920</v>
      </c>
      <c r="E10538" s="3" t="s">
        <v>16921</v>
      </c>
      <c r="F10538" s="3" t="s">
        <v>16920</v>
      </c>
    </row>
    <row r="10539">
      <c r="A10539" s="3">
        <v>2003.0</v>
      </c>
      <c r="B10539" s="3" t="s">
        <v>19423</v>
      </c>
      <c r="C10539" s="3" t="s">
        <v>11281</v>
      </c>
      <c r="D10539" s="3" t="s">
        <v>16922</v>
      </c>
      <c r="E10539" s="3" t="s">
        <v>16923</v>
      </c>
      <c r="F10539" s="3" t="s">
        <v>16922</v>
      </c>
    </row>
    <row r="10540">
      <c r="A10540" s="3">
        <v>2004.0</v>
      </c>
      <c r="B10540" s="3" t="s">
        <v>19423</v>
      </c>
      <c r="C10540" s="3" t="s">
        <v>11281</v>
      </c>
      <c r="D10540" s="3" t="s">
        <v>16924</v>
      </c>
      <c r="E10540" s="3" t="s">
        <v>16925</v>
      </c>
      <c r="F10540" s="3" t="s">
        <v>16924</v>
      </c>
      <c r="G10540" s="3"/>
      <c r="H10540" s="3" t="s">
        <v>16926</v>
      </c>
      <c r="I10540" s="3" t="s">
        <v>16927</v>
      </c>
      <c r="J10540" s="3" t="s">
        <v>16928</v>
      </c>
      <c r="K10540" s="3" t="s">
        <v>16929</v>
      </c>
    </row>
    <row r="10541">
      <c r="A10541" s="3">
        <v>2005.0</v>
      </c>
      <c r="B10541" s="3" t="s">
        <v>19423</v>
      </c>
      <c r="C10541" s="3" t="s">
        <v>11281</v>
      </c>
      <c r="D10541" s="3" t="s">
        <v>16930</v>
      </c>
      <c r="E10541" s="3" t="s">
        <v>16931</v>
      </c>
      <c r="F10541" s="3" t="s">
        <v>16930</v>
      </c>
    </row>
    <row r="10542">
      <c r="A10542" s="3">
        <v>2006.0</v>
      </c>
      <c r="B10542" s="3" t="s">
        <v>19423</v>
      </c>
      <c r="C10542" s="3" t="s">
        <v>11281</v>
      </c>
      <c r="D10542" s="3" t="s">
        <v>16932</v>
      </c>
      <c r="E10542" s="3" t="s">
        <v>16933</v>
      </c>
      <c r="F10542" s="3" t="s">
        <v>16932</v>
      </c>
    </row>
    <row r="10543">
      <c r="A10543" s="3">
        <v>2007.0</v>
      </c>
      <c r="B10543" s="3" t="s">
        <v>19423</v>
      </c>
      <c r="C10543" s="3" t="s">
        <v>11281</v>
      </c>
      <c r="D10543" s="3" t="s">
        <v>16934</v>
      </c>
      <c r="E10543" s="3" t="s">
        <v>16935</v>
      </c>
      <c r="F10543" s="3" t="s">
        <v>16934</v>
      </c>
    </row>
    <row r="10544">
      <c r="A10544" s="3">
        <v>2008.0</v>
      </c>
      <c r="B10544" s="3" t="s">
        <v>19423</v>
      </c>
      <c r="C10544" s="3" t="s">
        <v>11281</v>
      </c>
      <c r="D10544" s="3" t="s">
        <v>16936</v>
      </c>
      <c r="E10544" s="3" t="s">
        <v>16937</v>
      </c>
      <c r="F10544" s="3" t="s">
        <v>16936</v>
      </c>
    </row>
    <row r="10545">
      <c r="A10545" s="3">
        <v>2009.0</v>
      </c>
      <c r="B10545" s="3" t="s">
        <v>19423</v>
      </c>
      <c r="C10545" s="3" t="s">
        <v>11281</v>
      </c>
      <c r="D10545" s="3" t="s">
        <v>16938</v>
      </c>
      <c r="E10545" s="3" t="s">
        <v>16939</v>
      </c>
      <c r="F10545" s="3" t="s">
        <v>16938</v>
      </c>
    </row>
    <row r="10546">
      <c r="A10546" s="3">
        <v>2010.0</v>
      </c>
      <c r="B10546" s="3" t="s">
        <v>19423</v>
      </c>
      <c r="C10546" s="3" t="s">
        <v>11281</v>
      </c>
      <c r="D10546" s="3" t="s">
        <v>16940</v>
      </c>
      <c r="E10546" s="3" t="s">
        <v>16941</v>
      </c>
      <c r="F10546" s="3" t="s">
        <v>16940</v>
      </c>
    </row>
    <row r="10547">
      <c r="A10547" s="3">
        <v>2011.0</v>
      </c>
      <c r="B10547" s="3" t="s">
        <v>19423</v>
      </c>
      <c r="C10547" s="3" t="s">
        <v>11281</v>
      </c>
      <c r="D10547" s="3" t="s">
        <v>16942</v>
      </c>
      <c r="E10547" s="3" t="s">
        <v>16943</v>
      </c>
      <c r="F10547" s="3" t="s">
        <v>16942</v>
      </c>
    </row>
    <row r="10548">
      <c r="A10548" s="3">
        <v>2012.0</v>
      </c>
      <c r="B10548" s="3" t="s">
        <v>19423</v>
      </c>
      <c r="C10548" s="3" t="s">
        <v>11281</v>
      </c>
      <c r="D10548" s="3" t="s">
        <v>16944</v>
      </c>
      <c r="E10548" s="3" t="s">
        <v>16945</v>
      </c>
      <c r="F10548" s="3" t="s">
        <v>16944</v>
      </c>
    </row>
    <row r="10549">
      <c r="A10549" s="3">
        <v>2013.0</v>
      </c>
      <c r="B10549" s="3" t="s">
        <v>19423</v>
      </c>
      <c r="C10549" s="3" t="s">
        <v>11281</v>
      </c>
      <c r="D10549" s="3" t="s">
        <v>16946</v>
      </c>
      <c r="E10549" s="3" t="s">
        <v>16947</v>
      </c>
      <c r="F10549" s="3" t="s">
        <v>16946</v>
      </c>
    </row>
    <row r="10550">
      <c r="A10550" s="3">
        <v>2014.0</v>
      </c>
      <c r="B10550" s="3" t="s">
        <v>19423</v>
      </c>
      <c r="C10550" s="3" t="s">
        <v>11281</v>
      </c>
      <c r="D10550" s="3" t="s">
        <v>16948</v>
      </c>
      <c r="E10550" s="3" t="s">
        <v>16949</v>
      </c>
      <c r="F10550" s="3" t="s">
        <v>16948</v>
      </c>
    </row>
    <row r="10551">
      <c r="A10551" s="3">
        <v>2015.0</v>
      </c>
      <c r="B10551" s="3" t="s">
        <v>19423</v>
      </c>
      <c r="C10551" s="3" t="s">
        <v>11281</v>
      </c>
      <c r="D10551" s="3" t="s">
        <v>16950</v>
      </c>
      <c r="E10551" s="3" t="s">
        <v>16951</v>
      </c>
      <c r="F10551" s="3" t="s">
        <v>16950</v>
      </c>
    </row>
    <row r="10552">
      <c r="A10552" s="3">
        <v>2016.0</v>
      </c>
      <c r="B10552" s="3" t="s">
        <v>19423</v>
      </c>
      <c r="C10552" s="3" t="s">
        <v>11281</v>
      </c>
      <c r="D10552" s="3" t="s">
        <v>16952</v>
      </c>
      <c r="E10552" s="3" t="s">
        <v>16953</v>
      </c>
      <c r="F10552" s="3" t="s">
        <v>16952</v>
      </c>
    </row>
    <row r="10553">
      <c r="A10553" s="3">
        <v>2017.0</v>
      </c>
      <c r="B10553" s="3" t="s">
        <v>19423</v>
      </c>
      <c r="C10553" s="3" t="s">
        <v>11281</v>
      </c>
      <c r="D10553" s="3" t="s">
        <v>16954</v>
      </c>
      <c r="E10553" s="3" t="s">
        <v>16955</v>
      </c>
      <c r="F10553" s="3" t="s">
        <v>16954</v>
      </c>
    </row>
    <row r="10554">
      <c r="A10554" s="3">
        <v>2018.0</v>
      </c>
      <c r="B10554" s="3" t="s">
        <v>19423</v>
      </c>
      <c r="C10554" s="3" t="s">
        <v>11281</v>
      </c>
      <c r="D10554" s="3" t="s">
        <v>16956</v>
      </c>
      <c r="E10554" s="3" t="s">
        <v>16957</v>
      </c>
      <c r="F10554" s="3" t="s">
        <v>16956</v>
      </c>
    </row>
    <row r="10555">
      <c r="A10555" s="3">
        <v>2019.0</v>
      </c>
      <c r="B10555" s="3" t="s">
        <v>19423</v>
      </c>
      <c r="C10555" s="3" t="s">
        <v>11281</v>
      </c>
      <c r="D10555" s="3" t="s">
        <v>16958</v>
      </c>
      <c r="E10555" s="3" t="s">
        <v>16959</v>
      </c>
      <c r="F10555" s="3" t="s">
        <v>16958</v>
      </c>
      <c r="G10555" s="3"/>
      <c r="H10555" s="3" t="s">
        <v>13729</v>
      </c>
      <c r="I10555" s="3" t="s">
        <v>13730</v>
      </c>
      <c r="J10555" s="3" t="s">
        <v>13731</v>
      </c>
      <c r="K10555" s="3" t="s">
        <v>13732</v>
      </c>
      <c r="L10555" s="3" t="s">
        <v>13733</v>
      </c>
      <c r="M10555" s="3" t="s">
        <v>13734</v>
      </c>
      <c r="N10555" s="3" t="s">
        <v>13735</v>
      </c>
      <c r="O10555" s="3" t="s">
        <v>6845</v>
      </c>
      <c r="P10555" s="3" t="s">
        <v>6846</v>
      </c>
      <c r="Q10555" s="3" t="s">
        <v>6841</v>
      </c>
    </row>
    <row r="10556">
      <c r="A10556" s="3">
        <v>2020.0</v>
      </c>
      <c r="B10556" s="3" t="s">
        <v>19423</v>
      </c>
      <c r="C10556" s="3" t="s">
        <v>11281</v>
      </c>
      <c r="D10556" s="3" t="s">
        <v>16960</v>
      </c>
      <c r="E10556" s="3" t="s">
        <v>16961</v>
      </c>
      <c r="F10556" s="3" t="s">
        <v>16960</v>
      </c>
    </row>
    <row r="10557">
      <c r="A10557" s="3">
        <v>2021.0</v>
      </c>
      <c r="B10557" s="3" t="s">
        <v>19423</v>
      </c>
      <c r="C10557" s="3" t="s">
        <v>11281</v>
      </c>
      <c r="D10557" s="3" t="s">
        <v>16962</v>
      </c>
      <c r="E10557" s="3" t="s">
        <v>16963</v>
      </c>
      <c r="F10557" s="3" t="s">
        <v>16962</v>
      </c>
    </row>
    <row r="10558">
      <c r="A10558" s="3">
        <v>2022.0</v>
      </c>
      <c r="B10558" s="3" t="s">
        <v>19423</v>
      </c>
      <c r="C10558" s="3" t="s">
        <v>11281</v>
      </c>
      <c r="D10558" s="3" t="s">
        <v>16964</v>
      </c>
      <c r="E10558" s="3" t="s">
        <v>16965</v>
      </c>
      <c r="F10558" s="3" t="s">
        <v>16964</v>
      </c>
    </row>
    <row r="10559">
      <c r="A10559" s="3">
        <v>2023.0</v>
      </c>
      <c r="B10559" s="3" t="s">
        <v>19423</v>
      </c>
      <c r="C10559" s="3" t="s">
        <v>11281</v>
      </c>
      <c r="D10559" s="3" t="s">
        <v>16966</v>
      </c>
      <c r="E10559" s="3" t="s">
        <v>16967</v>
      </c>
      <c r="F10559" s="3" t="s">
        <v>16966</v>
      </c>
    </row>
    <row r="10560">
      <c r="A10560" s="3">
        <v>2024.0</v>
      </c>
      <c r="B10560" s="3" t="s">
        <v>19423</v>
      </c>
      <c r="C10560" s="3" t="s">
        <v>11281</v>
      </c>
      <c r="D10560" s="3" t="s">
        <v>16968</v>
      </c>
      <c r="E10560" s="3" t="s">
        <v>16969</v>
      </c>
      <c r="F10560" s="3" t="s">
        <v>16968</v>
      </c>
    </row>
    <row r="10561">
      <c r="A10561" s="3">
        <v>2025.0</v>
      </c>
      <c r="B10561" s="3" t="s">
        <v>19423</v>
      </c>
      <c r="C10561" s="3" t="s">
        <v>11281</v>
      </c>
      <c r="D10561" s="3" t="s">
        <v>16970</v>
      </c>
      <c r="E10561" s="3" t="s">
        <v>20236</v>
      </c>
      <c r="F10561" s="3" t="s">
        <v>20237</v>
      </c>
    </row>
    <row r="10562">
      <c r="A10562" s="3">
        <v>2026.0</v>
      </c>
      <c r="B10562" s="3" t="s">
        <v>19423</v>
      </c>
      <c r="C10562" s="3" t="s">
        <v>11281</v>
      </c>
      <c r="D10562" s="3" t="s">
        <v>7454</v>
      </c>
      <c r="E10562" s="3" t="s">
        <v>7455</v>
      </c>
      <c r="F10562" s="3" t="s">
        <v>7454</v>
      </c>
    </row>
    <row r="10563">
      <c r="A10563" s="3">
        <v>2027.0</v>
      </c>
      <c r="B10563" s="3" t="s">
        <v>19423</v>
      </c>
      <c r="C10563" s="3" t="s">
        <v>11281</v>
      </c>
      <c r="D10563" s="3" t="s">
        <v>16971</v>
      </c>
      <c r="E10563" s="3" t="s">
        <v>16972</v>
      </c>
      <c r="F10563" s="3" t="s">
        <v>16973</v>
      </c>
    </row>
    <row r="10564">
      <c r="A10564" s="3">
        <v>2028.0</v>
      </c>
      <c r="B10564" s="3" t="s">
        <v>19423</v>
      </c>
      <c r="C10564" s="3" t="s">
        <v>11281</v>
      </c>
      <c r="D10564" s="3" t="s">
        <v>16974</v>
      </c>
      <c r="E10564" s="3" t="s">
        <v>16975</v>
      </c>
      <c r="F10564" s="3" t="s">
        <v>16976</v>
      </c>
    </row>
    <row r="10565">
      <c r="A10565" s="3">
        <v>2029.0</v>
      </c>
      <c r="B10565" s="3" t="s">
        <v>19423</v>
      </c>
      <c r="C10565" s="3" t="s">
        <v>11281</v>
      </c>
      <c r="D10565" s="3" t="s">
        <v>16977</v>
      </c>
      <c r="E10565" s="3" t="s">
        <v>16978</v>
      </c>
      <c r="F10565" s="3" t="s">
        <v>16979</v>
      </c>
    </row>
    <row r="10566">
      <c r="A10566" s="3">
        <v>2030.0</v>
      </c>
      <c r="B10566" s="3" t="s">
        <v>19423</v>
      </c>
      <c r="C10566" s="3" t="s">
        <v>11281</v>
      </c>
      <c r="D10566" s="3" t="s">
        <v>16980</v>
      </c>
      <c r="E10566" s="3" t="s">
        <v>16981</v>
      </c>
      <c r="F10566" s="3" t="s">
        <v>16982</v>
      </c>
      <c r="G10566" s="3"/>
      <c r="H10566" s="3" t="s">
        <v>16983</v>
      </c>
      <c r="I10566" s="3" t="s">
        <v>16984</v>
      </c>
    </row>
    <row r="10567">
      <c r="A10567" s="3">
        <v>2031.0</v>
      </c>
      <c r="B10567" s="3" t="s">
        <v>19423</v>
      </c>
      <c r="C10567" s="3" t="s">
        <v>11281</v>
      </c>
      <c r="D10567" s="3" t="s">
        <v>16985</v>
      </c>
      <c r="E10567" s="3" t="s">
        <v>16986</v>
      </c>
      <c r="F10567" s="3" t="s">
        <v>16987</v>
      </c>
    </row>
    <row r="10568">
      <c r="A10568" s="3">
        <v>2032.0</v>
      </c>
      <c r="B10568" s="3" t="s">
        <v>19423</v>
      </c>
      <c r="C10568" s="3" t="s">
        <v>11281</v>
      </c>
      <c r="D10568" s="3" t="s">
        <v>16988</v>
      </c>
      <c r="E10568" s="3" t="s">
        <v>16989</v>
      </c>
      <c r="F10568" s="3" t="s">
        <v>16988</v>
      </c>
    </row>
    <row r="10569">
      <c r="A10569" s="3">
        <v>2033.0</v>
      </c>
      <c r="B10569" s="3" t="s">
        <v>19423</v>
      </c>
      <c r="C10569" s="3" t="s">
        <v>11281</v>
      </c>
      <c r="D10569" s="3" t="s">
        <v>16990</v>
      </c>
      <c r="E10569" s="3" t="s">
        <v>16991</v>
      </c>
      <c r="F10569" s="3" t="s">
        <v>16990</v>
      </c>
    </row>
    <row r="10570">
      <c r="A10570" s="3">
        <v>2034.0</v>
      </c>
      <c r="B10570" s="3" t="s">
        <v>19423</v>
      </c>
      <c r="C10570" s="3" t="s">
        <v>11281</v>
      </c>
      <c r="D10570" s="3" t="s">
        <v>4142</v>
      </c>
      <c r="E10570" s="3" t="s">
        <v>4141</v>
      </c>
      <c r="F10570" s="3" t="s">
        <v>4142</v>
      </c>
    </row>
    <row r="10571">
      <c r="A10571" s="3">
        <v>2035.0</v>
      </c>
      <c r="B10571" s="3" t="s">
        <v>19423</v>
      </c>
      <c r="C10571" s="3" t="s">
        <v>11281</v>
      </c>
      <c r="D10571" s="3" t="s">
        <v>4151</v>
      </c>
      <c r="E10571" s="3" t="s">
        <v>4150</v>
      </c>
      <c r="F10571" s="3" t="s">
        <v>4151</v>
      </c>
    </row>
    <row r="10572">
      <c r="A10572" s="3">
        <v>2036.0</v>
      </c>
      <c r="B10572" s="3" t="s">
        <v>19423</v>
      </c>
      <c r="C10572" s="3" t="s">
        <v>11281</v>
      </c>
      <c r="D10572" s="3" t="s">
        <v>16992</v>
      </c>
      <c r="E10572" s="3" t="s">
        <v>16993</v>
      </c>
      <c r="F10572" s="3" t="s">
        <v>16994</v>
      </c>
    </row>
    <row r="10573">
      <c r="A10573" s="3">
        <v>2037.0</v>
      </c>
      <c r="B10573" s="3" t="s">
        <v>19423</v>
      </c>
      <c r="C10573" s="3" t="s">
        <v>11281</v>
      </c>
      <c r="D10573" s="3" t="s">
        <v>16995</v>
      </c>
      <c r="E10573" s="3" t="s">
        <v>16996</v>
      </c>
      <c r="F10573" s="3" t="s">
        <v>16997</v>
      </c>
    </row>
    <row r="10574">
      <c r="A10574" s="3">
        <v>2038.0</v>
      </c>
      <c r="B10574" s="3" t="s">
        <v>19423</v>
      </c>
      <c r="C10574" s="3" t="s">
        <v>11281</v>
      </c>
      <c r="D10574" s="3" t="s">
        <v>16998</v>
      </c>
      <c r="E10574" s="3" t="s">
        <v>20238</v>
      </c>
      <c r="F10574" s="3" t="s">
        <v>20239</v>
      </c>
      <c r="G10574" s="3"/>
      <c r="H10574" s="3" t="s">
        <v>10666</v>
      </c>
      <c r="I10574" s="3" t="s">
        <v>10667</v>
      </c>
      <c r="J10574" s="3" t="s">
        <v>10666</v>
      </c>
      <c r="K10574" s="3" t="s">
        <v>10666</v>
      </c>
    </row>
    <row r="10575">
      <c r="A10575" s="3">
        <v>2039.0</v>
      </c>
      <c r="B10575" s="3" t="s">
        <v>19423</v>
      </c>
      <c r="C10575" s="3" t="s">
        <v>11281</v>
      </c>
      <c r="D10575" s="3" t="s">
        <v>4162</v>
      </c>
      <c r="E10575" s="3" t="s">
        <v>4161</v>
      </c>
      <c r="F10575" s="3" t="s">
        <v>4162</v>
      </c>
    </row>
    <row r="10576">
      <c r="A10576" s="3">
        <v>2040.0</v>
      </c>
      <c r="B10576" s="3" t="s">
        <v>19423</v>
      </c>
      <c r="C10576" s="3" t="s">
        <v>11281</v>
      </c>
      <c r="D10576" s="3" t="s">
        <v>8152</v>
      </c>
      <c r="E10576" s="3" t="s">
        <v>8151</v>
      </c>
      <c r="F10576" s="3" t="s">
        <v>8152</v>
      </c>
      <c r="G10576" s="3"/>
      <c r="H10576" s="3" t="s">
        <v>17001</v>
      </c>
      <c r="I10576" s="3" t="s">
        <v>17002</v>
      </c>
    </row>
    <row r="10577">
      <c r="A10577" s="3">
        <v>2041.0</v>
      </c>
      <c r="B10577" s="3" t="s">
        <v>19423</v>
      </c>
      <c r="C10577" s="3" t="s">
        <v>11281</v>
      </c>
      <c r="D10577" s="3" t="s">
        <v>4119</v>
      </c>
      <c r="E10577" s="3" t="s">
        <v>4118</v>
      </c>
      <c r="F10577" s="3" t="s">
        <v>4119</v>
      </c>
      <c r="G10577" s="3"/>
      <c r="H10577" s="3" t="s">
        <v>17003</v>
      </c>
      <c r="I10577" s="3" t="s">
        <v>4119</v>
      </c>
      <c r="J10577" s="3" t="s">
        <v>17004</v>
      </c>
    </row>
    <row r="10578">
      <c r="A10578" s="3">
        <v>2042.0</v>
      </c>
      <c r="B10578" s="3" t="s">
        <v>19423</v>
      </c>
      <c r="C10578" s="3" t="s">
        <v>11281</v>
      </c>
      <c r="D10578" s="3" t="s">
        <v>17005</v>
      </c>
      <c r="E10578" s="3" t="s">
        <v>20240</v>
      </c>
      <c r="F10578" s="3" t="s">
        <v>20241</v>
      </c>
    </row>
    <row r="10579">
      <c r="A10579" s="3">
        <v>2043.0</v>
      </c>
      <c r="B10579" s="3" t="s">
        <v>19423</v>
      </c>
      <c r="C10579" s="3" t="s">
        <v>11281</v>
      </c>
      <c r="D10579" s="3" t="s">
        <v>17008</v>
      </c>
      <c r="E10579" s="3" t="s">
        <v>20242</v>
      </c>
      <c r="F10579" s="3" t="s">
        <v>20243</v>
      </c>
    </row>
    <row r="10580">
      <c r="A10580" s="3">
        <v>2044.0</v>
      </c>
      <c r="B10580" s="3" t="s">
        <v>19423</v>
      </c>
      <c r="C10580" s="3" t="s">
        <v>11281</v>
      </c>
      <c r="D10580" s="3" t="s">
        <v>17011</v>
      </c>
      <c r="E10580" s="3" t="s">
        <v>20244</v>
      </c>
      <c r="F10580" s="3" t="s">
        <v>20245</v>
      </c>
    </row>
    <row r="10581">
      <c r="A10581" s="3">
        <v>2045.0</v>
      </c>
      <c r="B10581" s="3" t="s">
        <v>19423</v>
      </c>
      <c r="C10581" s="3" t="s">
        <v>11281</v>
      </c>
      <c r="D10581" s="3" t="s">
        <v>17014</v>
      </c>
      <c r="E10581" s="3" t="s">
        <v>20246</v>
      </c>
      <c r="F10581" s="3" t="s">
        <v>20247</v>
      </c>
    </row>
    <row r="10582">
      <c r="A10582" s="3">
        <v>2046.0</v>
      </c>
      <c r="B10582" s="3" t="s">
        <v>19423</v>
      </c>
      <c r="C10582" s="3" t="s">
        <v>11281</v>
      </c>
      <c r="D10582" s="3" t="s">
        <v>17017</v>
      </c>
      <c r="E10582" s="3" t="s">
        <v>20248</v>
      </c>
      <c r="F10582" s="3" t="s">
        <v>20249</v>
      </c>
    </row>
    <row r="10583">
      <c r="A10583" s="3">
        <v>2047.0</v>
      </c>
      <c r="B10583" s="3" t="s">
        <v>19423</v>
      </c>
      <c r="C10583" s="3" t="s">
        <v>11281</v>
      </c>
      <c r="D10583" s="3" t="s">
        <v>17020</v>
      </c>
      <c r="E10583" s="3" t="s">
        <v>20250</v>
      </c>
      <c r="F10583" s="3" t="s">
        <v>20251</v>
      </c>
    </row>
    <row r="10584">
      <c r="A10584" s="3">
        <v>2048.0</v>
      </c>
      <c r="B10584" s="3" t="s">
        <v>19423</v>
      </c>
      <c r="C10584" s="3" t="s">
        <v>11281</v>
      </c>
      <c r="D10584" s="3" t="s">
        <v>17023</v>
      </c>
      <c r="E10584" s="3" t="s">
        <v>20252</v>
      </c>
      <c r="F10584" s="3" t="s">
        <v>20253</v>
      </c>
    </row>
    <row r="10585">
      <c r="A10585" s="3">
        <v>2049.0</v>
      </c>
      <c r="B10585" s="3" t="s">
        <v>19423</v>
      </c>
      <c r="C10585" s="3" t="s">
        <v>11281</v>
      </c>
      <c r="D10585" s="3" t="s">
        <v>17026</v>
      </c>
      <c r="E10585" s="3" t="s">
        <v>17027</v>
      </c>
      <c r="F10585" s="3" t="s">
        <v>17026</v>
      </c>
    </row>
    <row r="10586">
      <c r="A10586" s="3">
        <v>2050.0</v>
      </c>
      <c r="B10586" s="3" t="s">
        <v>19423</v>
      </c>
      <c r="C10586" s="3" t="s">
        <v>11281</v>
      </c>
      <c r="D10586" s="3" t="s">
        <v>4175</v>
      </c>
      <c r="E10586" s="3" t="s">
        <v>4174</v>
      </c>
      <c r="F10586" s="3" t="s">
        <v>4175</v>
      </c>
    </row>
    <row r="10587">
      <c r="A10587" s="3">
        <v>2051.0</v>
      </c>
      <c r="B10587" s="3" t="s">
        <v>19423</v>
      </c>
      <c r="C10587" s="3" t="s">
        <v>11281</v>
      </c>
      <c r="D10587" s="3" t="s">
        <v>4164</v>
      </c>
      <c r="E10587" s="3" t="s">
        <v>4165</v>
      </c>
      <c r="F10587" s="3" t="s">
        <v>4164</v>
      </c>
      <c r="G10587" s="3"/>
      <c r="H10587" s="3" t="s">
        <v>17028</v>
      </c>
      <c r="I10587" s="3" t="s">
        <v>17029</v>
      </c>
    </row>
    <row r="10588">
      <c r="A10588" s="3">
        <v>2052.0</v>
      </c>
      <c r="B10588" s="3" t="s">
        <v>19423</v>
      </c>
      <c r="C10588" s="3" t="s">
        <v>11281</v>
      </c>
      <c r="D10588" s="3" t="s">
        <v>4184</v>
      </c>
      <c r="E10588" s="3" t="s">
        <v>4183</v>
      </c>
      <c r="F10588" s="3" t="s">
        <v>4184</v>
      </c>
    </row>
    <row r="10589">
      <c r="A10589" s="3">
        <v>2053.0</v>
      </c>
      <c r="B10589" s="3" t="s">
        <v>19423</v>
      </c>
      <c r="C10589" s="3" t="s">
        <v>11281</v>
      </c>
      <c r="D10589" s="3" t="s">
        <v>17030</v>
      </c>
      <c r="E10589" s="3" t="s">
        <v>17031</v>
      </c>
      <c r="F10589" s="3" t="s">
        <v>17030</v>
      </c>
      <c r="G10589" s="3"/>
      <c r="H10589" s="3" t="s">
        <v>17032</v>
      </c>
    </row>
    <row r="10590">
      <c r="A10590" s="3">
        <v>2054.0</v>
      </c>
      <c r="B10590" s="3" t="s">
        <v>19423</v>
      </c>
      <c r="C10590" s="3" t="s">
        <v>11281</v>
      </c>
      <c r="D10590" s="3" t="s">
        <v>17033</v>
      </c>
      <c r="E10590" s="3" t="s">
        <v>17034</v>
      </c>
      <c r="F10590" s="3" t="s">
        <v>17033</v>
      </c>
    </row>
    <row r="10591">
      <c r="A10591" s="3">
        <v>2055.0</v>
      </c>
      <c r="B10591" s="3" t="s">
        <v>19423</v>
      </c>
      <c r="C10591" s="3" t="s">
        <v>11281</v>
      </c>
      <c r="D10591" s="3" t="s">
        <v>17035</v>
      </c>
      <c r="E10591" s="3" t="s">
        <v>17036</v>
      </c>
      <c r="F10591" s="3" t="s">
        <v>17035</v>
      </c>
      <c r="G10591" s="3"/>
      <c r="H10591" s="3" t="s">
        <v>17037</v>
      </c>
      <c r="I10591" s="3" t="s">
        <v>17038</v>
      </c>
      <c r="J10591" s="3" t="s">
        <v>17035</v>
      </c>
      <c r="K10591" s="3" t="s">
        <v>17039</v>
      </c>
      <c r="L10591" s="3" t="s">
        <v>17040</v>
      </c>
      <c r="M10591" s="3" t="s">
        <v>17041</v>
      </c>
      <c r="N10591" s="3" t="s">
        <v>17042</v>
      </c>
      <c r="O10591" s="3" t="s">
        <v>17043</v>
      </c>
      <c r="P10591" s="3" t="s">
        <v>17044</v>
      </c>
      <c r="Q10591" s="3" t="s">
        <v>17045</v>
      </c>
      <c r="R10591" s="3" t="s">
        <v>17035</v>
      </c>
      <c r="S10591" s="3" t="s">
        <v>17035</v>
      </c>
      <c r="T10591" s="3" t="s">
        <v>17035</v>
      </c>
      <c r="U10591" s="3" t="s">
        <v>17035</v>
      </c>
      <c r="V10591" s="3" t="s">
        <v>17035</v>
      </c>
      <c r="W10591" s="3" t="s">
        <v>17035</v>
      </c>
      <c r="X10591" s="3" t="s">
        <v>17035</v>
      </c>
      <c r="Y10591" s="3" t="s">
        <v>17039</v>
      </c>
      <c r="Z10591" s="3" t="s">
        <v>17046</v>
      </c>
      <c r="AA10591" s="3" t="s">
        <v>17047</v>
      </c>
    </row>
    <row r="10592">
      <c r="A10592" s="3">
        <v>2056.0</v>
      </c>
      <c r="B10592" s="3" t="s">
        <v>19423</v>
      </c>
      <c r="C10592" s="3" t="s">
        <v>11281</v>
      </c>
      <c r="D10592" s="3" t="s">
        <v>17048</v>
      </c>
      <c r="E10592" s="3" t="s">
        <v>20254</v>
      </c>
      <c r="F10592" s="3" t="s">
        <v>20255</v>
      </c>
    </row>
    <row r="10593">
      <c r="A10593" s="3">
        <v>2057.0</v>
      </c>
      <c r="B10593" s="3" t="s">
        <v>19423</v>
      </c>
      <c r="C10593" s="3" t="s">
        <v>11281</v>
      </c>
      <c r="D10593" s="3" t="s">
        <v>17051</v>
      </c>
      <c r="E10593" s="3" t="s">
        <v>20256</v>
      </c>
      <c r="F10593" s="3" t="s">
        <v>20257</v>
      </c>
    </row>
    <row r="10594">
      <c r="A10594" s="3">
        <v>2058.0</v>
      </c>
      <c r="B10594" s="3" t="s">
        <v>19423</v>
      </c>
      <c r="C10594" s="3" t="s">
        <v>11281</v>
      </c>
      <c r="D10594" s="3" t="s">
        <v>17054</v>
      </c>
      <c r="E10594" s="3" t="s">
        <v>20258</v>
      </c>
      <c r="F10594" s="3" t="s">
        <v>20259</v>
      </c>
      <c r="G10594" s="3"/>
      <c r="H10594" s="3" t="s">
        <v>17057</v>
      </c>
      <c r="I10594" s="3" t="s">
        <v>17058</v>
      </c>
    </row>
    <row r="10595">
      <c r="A10595" s="3">
        <v>2059.0</v>
      </c>
      <c r="B10595" s="3" t="s">
        <v>19423</v>
      </c>
      <c r="C10595" s="3" t="s">
        <v>11281</v>
      </c>
      <c r="D10595" s="3" t="s">
        <v>17059</v>
      </c>
      <c r="E10595" s="3" t="s">
        <v>20260</v>
      </c>
      <c r="F10595" s="3" t="s">
        <v>20261</v>
      </c>
    </row>
    <row r="10596">
      <c r="A10596" s="3">
        <v>2060.0</v>
      </c>
      <c r="B10596" s="3" t="s">
        <v>19423</v>
      </c>
      <c r="C10596" s="3" t="s">
        <v>11281</v>
      </c>
      <c r="D10596" s="3" t="s">
        <v>17062</v>
      </c>
      <c r="E10596" s="3" t="s">
        <v>20262</v>
      </c>
      <c r="F10596" s="3" t="s">
        <v>20263</v>
      </c>
    </row>
    <row r="10597">
      <c r="A10597" s="3">
        <v>2061.0</v>
      </c>
      <c r="B10597" s="3" t="s">
        <v>19423</v>
      </c>
      <c r="C10597" s="3" t="s">
        <v>11281</v>
      </c>
      <c r="D10597" s="3" t="s">
        <v>17065</v>
      </c>
      <c r="E10597" s="3" t="s">
        <v>20264</v>
      </c>
      <c r="F10597" s="3" t="s">
        <v>20265</v>
      </c>
    </row>
    <row r="10598">
      <c r="A10598" s="3">
        <v>2062.0</v>
      </c>
      <c r="B10598" s="3" t="s">
        <v>19423</v>
      </c>
      <c r="C10598" s="3" t="s">
        <v>11281</v>
      </c>
      <c r="D10598" s="3" t="s">
        <v>17068</v>
      </c>
      <c r="E10598" s="3" t="s">
        <v>20266</v>
      </c>
      <c r="F10598" s="3" t="s">
        <v>20267</v>
      </c>
    </row>
    <row r="10599">
      <c r="A10599" s="3">
        <v>2063.0</v>
      </c>
      <c r="B10599" s="3" t="s">
        <v>19423</v>
      </c>
      <c r="C10599" s="3" t="s">
        <v>11281</v>
      </c>
      <c r="D10599" s="3" t="s">
        <v>17071</v>
      </c>
      <c r="E10599" s="3" t="s">
        <v>17072</v>
      </c>
      <c r="F10599" s="3" t="s">
        <v>17071</v>
      </c>
    </row>
    <row r="10600">
      <c r="A10600" s="3">
        <v>2064.0</v>
      </c>
      <c r="B10600" s="3" t="s">
        <v>19423</v>
      </c>
      <c r="C10600" s="3" t="s">
        <v>11281</v>
      </c>
      <c r="D10600" s="3" t="s">
        <v>17073</v>
      </c>
      <c r="E10600" s="3" t="s">
        <v>20268</v>
      </c>
      <c r="F10600" s="3" t="s">
        <v>20269</v>
      </c>
    </row>
    <row r="10601">
      <c r="A10601" s="3">
        <v>2065.0</v>
      </c>
      <c r="B10601" s="3" t="s">
        <v>19423</v>
      </c>
      <c r="C10601" s="3" t="s">
        <v>11281</v>
      </c>
      <c r="D10601" s="3" t="s">
        <v>17076</v>
      </c>
      <c r="E10601" s="3" t="s">
        <v>20270</v>
      </c>
      <c r="F10601" s="3" t="s">
        <v>20271</v>
      </c>
    </row>
    <row r="10602">
      <c r="A10602" s="3">
        <v>2066.0</v>
      </c>
      <c r="B10602" s="3" t="s">
        <v>19423</v>
      </c>
      <c r="C10602" s="3" t="s">
        <v>11281</v>
      </c>
      <c r="D10602" s="3" t="s">
        <v>4187</v>
      </c>
      <c r="E10602" s="3" t="s">
        <v>4188</v>
      </c>
      <c r="F10602" s="3" t="s">
        <v>4187</v>
      </c>
    </row>
    <row r="10603">
      <c r="A10603" s="3">
        <v>2067.0</v>
      </c>
      <c r="B10603" s="3" t="s">
        <v>19423</v>
      </c>
      <c r="C10603" s="3" t="s">
        <v>11281</v>
      </c>
      <c r="D10603" s="3" t="s">
        <v>17079</v>
      </c>
      <c r="E10603" s="3" t="s">
        <v>17080</v>
      </c>
      <c r="F10603" s="3" t="s">
        <v>17079</v>
      </c>
      <c r="G10603" s="3"/>
      <c r="H10603" s="3" t="s">
        <v>14623</v>
      </c>
      <c r="I10603" s="3" t="s">
        <v>8456</v>
      </c>
      <c r="J10603" s="3" t="s">
        <v>17081</v>
      </c>
      <c r="K10603" s="3" t="s">
        <v>8524</v>
      </c>
      <c r="L10603" s="3" t="s">
        <v>17082</v>
      </c>
      <c r="M10603" s="3" t="s">
        <v>8524</v>
      </c>
      <c r="N10603" s="3" t="s">
        <v>3901</v>
      </c>
      <c r="O10603" s="3" t="s">
        <v>17083</v>
      </c>
      <c r="P10603" s="3" t="s">
        <v>17084</v>
      </c>
      <c r="Q10603" s="3" t="s">
        <v>17085</v>
      </c>
      <c r="R10603" s="3" t="s">
        <v>17086</v>
      </c>
      <c r="S10603" s="3" t="s">
        <v>17087</v>
      </c>
      <c r="T10603" s="3" t="s">
        <v>17088</v>
      </c>
      <c r="U10603" s="3" t="s">
        <v>17089</v>
      </c>
      <c r="V10603" s="3" t="s">
        <v>17090</v>
      </c>
    </row>
    <row r="10604">
      <c r="A10604" s="3">
        <v>2068.0</v>
      </c>
      <c r="B10604" s="3" t="s">
        <v>19423</v>
      </c>
      <c r="C10604" s="3" t="s">
        <v>11281</v>
      </c>
      <c r="D10604" s="3" t="s">
        <v>17091</v>
      </c>
      <c r="E10604" s="3" t="s">
        <v>17092</v>
      </c>
      <c r="F10604" s="3" t="s">
        <v>17091</v>
      </c>
    </row>
    <row r="10605">
      <c r="A10605" s="3">
        <v>2069.0</v>
      </c>
      <c r="B10605" s="3" t="s">
        <v>19423</v>
      </c>
      <c r="C10605" s="3" t="s">
        <v>11281</v>
      </c>
      <c r="D10605" s="3" t="s">
        <v>4255</v>
      </c>
      <c r="E10605" s="3" t="s">
        <v>7484</v>
      </c>
      <c r="F10605" s="3" t="s">
        <v>4255</v>
      </c>
      <c r="G10605" s="3"/>
      <c r="H10605" s="3" t="s">
        <v>4255</v>
      </c>
    </row>
    <row r="10606">
      <c r="A10606" s="3">
        <v>2070.0</v>
      </c>
      <c r="B10606" s="3" t="s">
        <v>19423</v>
      </c>
      <c r="C10606" s="3" t="s">
        <v>11281</v>
      </c>
      <c r="D10606" s="3" t="s">
        <v>4264</v>
      </c>
      <c r="E10606" s="3" t="s">
        <v>7487</v>
      </c>
      <c r="F10606" s="3" t="s">
        <v>4264</v>
      </c>
    </row>
    <row r="10607">
      <c r="A10607" s="3">
        <v>2071.0</v>
      </c>
      <c r="B10607" s="3" t="s">
        <v>19423</v>
      </c>
      <c r="C10607" s="3" t="s">
        <v>11281</v>
      </c>
      <c r="D10607" s="3" t="s">
        <v>17093</v>
      </c>
      <c r="E10607" s="3" t="s">
        <v>17094</v>
      </c>
      <c r="F10607" s="3" t="s">
        <v>17095</v>
      </c>
      <c r="G10607" s="3"/>
      <c r="H10607" s="3" t="s">
        <v>2004</v>
      </c>
      <c r="I10607" s="3" t="s">
        <v>2005</v>
      </c>
      <c r="J10607" s="3" t="s">
        <v>2006</v>
      </c>
    </row>
    <row r="10608">
      <c r="A10608" s="3">
        <v>2072.0</v>
      </c>
      <c r="B10608" s="3" t="s">
        <v>19423</v>
      </c>
      <c r="C10608" s="3" t="s">
        <v>11281</v>
      </c>
      <c r="D10608" s="3" t="s">
        <v>17096</v>
      </c>
      <c r="E10608" s="3" t="s">
        <v>17097</v>
      </c>
      <c r="F10608" s="3" t="s">
        <v>17098</v>
      </c>
    </row>
    <row r="10609">
      <c r="A10609" s="3">
        <v>2073.0</v>
      </c>
      <c r="B10609" s="3" t="s">
        <v>19423</v>
      </c>
      <c r="C10609" s="3" t="s">
        <v>11281</v>
      </c>
      <c r="D10609" s="3" t="s">
        <v>17099</v>
      </c>
      <c r="E10609" s="3" t="s">
        <v>17100</v>
      </c>
      <c r="F10609" s="3" t="s">
        <v>17099</v>
      </c>
    </row>
    <row r="10610">
      <c r="A10610" s="3">
        <v>2074.0</v>
      </c>
      <c r="B10610" s="3" t="s">
        <v>19423</v>
      </c>
      <c r="C10610" s="3" t="s">
        <v>11281</v>
      </c>
      <c r="D10610" s="3" t="s">
        <v>17101</v>
      </c>
      <c r="E10610" s="3" t="s">
        <v>17102</v>
      </c>
      <c r="F10610" s="3" t="s">
        <v>17101</v>
      </c>
    </row>
    <row r="10611">
      <c r="A10611" s="3">
        <v>2075.0</v>
      </c>
      <c r="B10611" s="3" t="s">
        <v>19423</v>
      </c>
      <c r="C10611" s="3" t="s">
        <v>11281</v>
      </c>
      <c r="D10611" s="3" t="s">
        <v>17103</v>
      </c>
      <c r="E10611" s="3" t="s">
        <v>17104</v>
      </c>
      <c r="F10611" s="3" t="s">
        <v>17103</v>
      </c>
    </row>
    <row r="10612">
      <c r="A10612" s="3">
        <v>2076.0</v>
      </c>
      <c r="B10612" s="3" t="s">
        <v>19423</v>
      </c>
      <c r="C10612" s="3" t="s">
        <v>11281</v>
      </c>
      <c r="D10612" s="3" t="s">
        <v>17105</v>
      </c>
      <c r="E10612" s="3" t="s">
        <v>17106</v>
      </c>
      <c r="F10612" s="3" t="s">
        <v>17105</v>
      </c>
    </row>
    <row r="10613">
      <c r="A10613" s="3">
        <v>2077.0</v>
      </c>
      <c r="B10613" s="3" t="s">
        <v>19423</v>
      </c>
      <c r="C10613" s="3" t="s">
        <v>11281</v>
      </c>
      <c r="D10613" s="3" t="s">
        <v>17107</v>
      </c>
      <c r="E10613" s="3" t="s">
        <v>17108</v>
      </c>
      <c r="F10613" s="3" t="s">
        <v>17107</v>
      </c>
    </row>
    <row r="10614">
      <c r="A10614" s="3">
        <v>2078.0</v>
      </c>
      <c r="B10614" s="3" t="s">
        <v>19423</v>
      </c>
      <c r="C10614" s="3" t="s">
        <v>11281</v>
      </c>
      <c r="D10614" s="3" t="s">
        <v>17109</v>
      </c>
      <c r="E10614" s="3" t="s">
        <v>17110</v>
      </c>
      <c r="F10614" s="3" t="s">
        <v>17111</v>
      </c>
    </row>
    <row r="10615">
      <c r="A10615" s="3">
        <v>2079.0</v>
      </c>
      <c r="B10615" s="3" t="s">
        <v>19423</v>
      </c>
      <c r="C10615" s="3" t="s">
        <v>11281</v>
      </c>
      <c r="D10615" s="3" t="s">
        <v>17112</v>
      </c>
      <c r="E10615" s="3" t="s">
        <v>17113</v>
      </c>
      <c r="F10615" s="3" t="s">
        <v>17112</v>
      </c>
    </row>
    <row r="10616">
      <c r="A10616" s="3">
        <v>2080.0</v>
      </c>
      <c r="B10616" s="3" t="s">
        <v>19423</v>
      </c>
      <c r="C10616" s="3" t="s">
        <v>11281</v>
      </c>
      <c r="D10616" s="3" t="s">
        <v>17114</v>
      </c>
      <c r="E10616" s="3" t="s">
        <v>17115</v>
      </c>
      <c r="F10616" s="3" t="s">
        <v>17116</v>
      </c>
    </row>
    <row r="10617">
      <c r="A10617" s="3">
        <v>2081.0</v>
      </c>
      <c r="B10617" s="3" t="s">
        <v>19423</v>
      </c>
      <c r="C10617" s="3" t="s">
        <v>11281</v>
      </c>
      <c r="D10617" s="3" t="s">
        <v>17117</v>
      </c>
      <c r="E10617" s="3" t="s">
        <v>17118</v>
      </c>
      <c r="F10617" s="3" t="s">
        <v>17119</v>
      </c>
    </row>
    <row r="10618">
      <c r="A10618" s="3">
        <v>2082.0</v>
      </c>
      <c r="B10618" s="3" t="s">
        <v>19423</v>
      </c>
      <c r="C10618" s="3" t="s">
        <v>11281</v>
      </c>
      <c r="D10618" s="3" t="s">
        <v>17120</v>
      </c>
      <c r="E10618" s="3" t="s">
        <v>17121</v>
      </c>
      <c r="F10618" s="3" t="s">
        <v>17122</v>
      </c>
    </row>
    <row r="10619">
      <c r="A10619" s="3">
        <v>2083.0</v>
      </c>
      <c r="B10619" s="3" t="s">
        <v>19423</v>
      </c>
      <c r="C10619" s="3" t="s">
        <v>11281</v>
      </c>
      <c r="D10619" s="3" t="s">
        <v>17123</v>
      </c>
      <c r="E10619" s="3" t="s">
        <v>17124</v>
      </c>
      <c r="F10619" s="3" t="s">
        <v>17125</v>
      </c>
    </row>
    <row r="10620">
      <c r="A10620" s="3">
        <v>2084.0</v>
      </c>
      <c r="B10620" s="3" t="s">
        <v>19423</v>
      </c>
      <c r="C10620" s="3" t="s">
        <v>11281</v>
      </c>
      <c r="D10620" s="3" t="s">
        <v>17126</v>
      </c>
      <c r="E10620" s="3" t="s">
        <v>17127</v>
      </c>
      <c r="F10620" s="3" t="s">
        <v>4669</v>
      </c>
      <c r="G10620" s="3"/>
      <c r="H10620" s="3" t="s">
        <v>7746</v>
      </c>
      <c r="I10620" s="3" t="s">
        <v>4374</v>
      </c>
      <c r="J10620" s="3" t="s">
        <v>7747</v>
      </c>
      <c r="K10620" s="3" t="s">
        <v>7748</v>
      </c>
      <c r="L10620" s="3" t="s">
        <v>7749</v>
      </c>
    </row>
    <row r="10621">
      <c r="A10621" s="3">
        <v>2085.0</v>
      </c>
      <c r="B10621" s="3" t="s">
        <v>19423</v>
      </c>
      <c r="C10621" s="3" t="s">
        <v>11281</v>
      </c>
      <c r="D10621" s="3" t="s">
        <v>17128</v>
      </c>
      <c r="E10621" s="3" t="s">
        <v>17129</v>
      </c>
      <c r="F10621" s="3" t="s">
        <v>4330</v>
      </c>
    </row>
    <row r="10622">
      <c r="A10622" s="3">
        <v>2086.0</v>
      </c>
      <c r="B10622" s="3" t="s">
        <v>19423</v>
      </c>
      <c r="C10622" s="3" t="s">
        <v>11281</v>
      </c>
      <c r="D10622" s="3" t="s">
        <v>17130</v>
      </c>
      <c r="E10622" s="3" t="s">
        <v>20272</v>
      </c>
      <c r="F10622" s="3" t="s">
        <v>20273</v>
      </c>
    </row>
    <row r="10623">
      <c r="A10623" s="3">
        <v>2087.0</v>
      </c>
      <c r="B10623" s="3" t="s">
        <v>19423</v>
      </c>
      <c r="C10623" s="3" t="s">
        <v>11281</v>
      </c>
      <c r="D10623" s="3" t="s">
        <v>17133</v>
      </c>
      <c r="E10623" s="3" t="s">
        <v>20274</v>
      </c>
      <c r="F10623" s="3" t="s">
        <v>20275</v>
      </c>
    </row>
    <row r="10624">
      <c r="A10624" s="3">
        <v>2088.0</v>
      </c>
      <c r="B10624" s="3" t="s">
        <v>19423</v>
      </c>
      <c r="C10624" s="3" t="s">
        <v>11281</v>
      </c>
      <c r="D10624" s="3" t="s">
        <v>17136</v>
      </c>
      <c r="E10624" s="3" t="s">
        <v>20276</v>
      </c>
      <c r="F10624" s="3" t="s">
        <v>20277</v>
      </c>
    </row>
    <row r="10625">
      <c r="A10625" s="3">
        <v>2089.0</v>
      </c>
      <c r="B10625" s="3" t="s">
        <v>19423</v>
      </c>
      <c r="C10625" s="3" t="s">
        <v>11281</v>
      </c>
      <c r="D10625" s="3" t="s">
        <v>17139</v>
      </c>
      <c r="E10625" s="3" t="s">
        <v>20278</v>
      </c>
      <c r="F10625" s="3" t="s">
        <v>20279</v>
      </c>
    </row>
    <row r="10626">
      <c r="A10626" s="3">
        <v>2090.0</v>
      </c>
      <c r="B10626" s="3" t="s">
        <v>19423</v>
      </c>
      <c r="C10626" s="3" t="s">
        <v>11281</v>
      </c>
      <c r="D10626" s="3" t="s">
        <v>17142</v>
      </c>
      <c r="E10626" s="3" t="s">
        <v>20280</v>
      </c>
      <c r="F10626" s="3" t="s">
        <v>20281</v>
      </c>
    </row>
    <row r="10627">
      <c r="A10627" s="3">
        <v>2091.0</v>
      </c>
      <c r="B10627" s="3" t="s">
        <v>19423</v>
      </c>
      <c r="C10627" s="3" t="s">
        <v>11281</v>
      </c>
      <c r="D10627" s="3" t="s">
        <v>17145</v>
      </c>
      <c r="E10627" s="3" t="s">
        <v>20282</v>
      </c>
      <c r="F10627" s="3" t="s">
        <v>20283</v>
      </c>
    </row>
    <row r="10628">
      <c r="A10628" s="3">
        <v>2092.0</v>
      </c>
      <c r="B10628" s="3" t="s">
        <v>19423</v>
      </c>
      <c r="C10628" s="3" t="s">
        <v>11281</v>
      </c>
      <c r="D10628" s="3" t="s">
        <v>17148</v>
      </c>
      <c r="E10628" s="3" t="s">
        <v>20284</v>
      </c>
      <c r="F10628" s="3" t="s">
        <v>20285</v>
      </c>
    </row>
    <row r="10629">
      <c r="A10629" s="3">
        <v>2093.0</v>
      </c>
      <c r="B10629" s="3" t="s">
        <v>19423</v>
      </c>
      <c r="C10629" s="3" t="s">
        <v>11281</v>
      </c>
      <c r="D10629" s="3" t="s">
        <v>17151</v>
      </c>
      <c r="E10629" s="3" t="s">
        <v>17152</v>
      </c>
      <c r="F10629" s="3" t="s">
        <v>17153</v>
      </c>
      <c r="G10629" s="3"/>
      <c r="H10629" s="3" t="s">
        <v>17154</v>
      </c>
      <c r="I10629" s="3" t="s">
        <v>17155</v>
      </c>
      <c r="J10629" s="3" t="s">
        <v>17156</v>
      </c>
      <c r="K10629" s="3" t="s">
        <v>17157</v>
      </c>
      <c r="L10629" s="3" t="s">
        <v>17158</v>
      </c>
      <c r="M10629" s="3" t="s">
        <v>17159</v>
      </c>
      <c r="N10629" s="3" t="s">
        <v>13735</v>
      </c>
      <c r="O10629" s="3" t="s">
        <v>17160</v>
      </c>
      <c r="P10629" s="3" t="s">
        <v>17161</v>
      </c>
      <c r="Q10629" s="3" t="s">
        <v>17162</v>
      </c>
      <c r="R10629" s="3" t="s">
        <v>4374</v>
      </c>
      <c r="S10629" s="3" t="s">
        <v>17163</v>
      </c>
      <c r="T10629" s="3" t="s">
        <v>17164</v>
      </c>
      <c r="U10629" s="3" t="s">
        <v>4374</v>
      </c>
      <c r="V10629" s="3" t="s">
        <v>17165</v>
      </c>
      <c r="W10629" s="3" t="s">
        <v>17158</v>
      </c>
      <c r="X10629" s="3" t="s">
        <v>17166</v>
      </c>
      <c r="Y10629" s="3" t="s">
        <v>17167</v>
      </c>
      <c r="Z10629" s="3" t="s">
        <v>17168</v>
      </c>
      <c r="AA10629" s="3" t="s">
        <v>4374</v>
      </c>
      <c r="AB10629" s="3" t="s">
        <v>12876</v>
      </c>
      <c r="AC10629" s="3" t="s">
        <v>17169</v>
      </c>
      <c r="AD10629" s="3" t="s">
        <v>17170</v>
      </c>
      <c r="AE10629" s="3" t="s">
        <v>4374</v>
      </c>
      <c r="AF10629" s="3" t="s">
        <v>17171</v>
      </c>
      <c r="AG10629" s="3" t="s">
        <v>17172</v>
      </c>
      <c r="AH10629" s="3" t="s">
        <v>17173</v>
      </c>
      <c r="AI10629" s="3" t="s">
        <v>17174</v>
      </c>
    </row>
    <row r="10630">
      <c r="A10630" s="3">
        <v>2094.0</v>
      </c>
      <c r="B10630" s="3" t="s">
        <v>19423</v>
      </c>
      <c r="C10630" s="3" t="s">
        <v>11281</v>
      </c>
      <c r="D10630" s="3" t="s">
        <v>17175</v>
      </c>
      <c r="E10630" s="3" t="s">
        <v>17176</v>
      </c>
      <c r="F10630" s="3" t="s">
        <v>17177</v>
      </c>
    </row>
    <row r="10631">
      <c r="A10631" s="3">
        <v>2095.0</v>
      </c>
      <c r="B10631" s="3" t="s">
        <v>19423</v>
      </c>
      <c r="C10631" s="3" t="s">
        <v>11281</v>
      </c>
      <c r="D10631" s="3" t="s">
        <v>17178</v>
      </c>
      <c r="E10631" s="3" t="s">
        <v>17179</v>
      </c>
      <c r="F10631" s="3" t="s">
        <v>17180</v>
      </c>
    </row>
    <row r="10632">
      <c r="A10632" s="3">
        <v>2096.0</v>
      </c>
      <c r="B10632" s="3" t="s">
        <v>19423</v>
      </c>
      <c r="C10632" s="3" t="s">
        <v>11281</v>
      </c>
      <c r="D10632" s="3" t="s">
        <v>17181</v>
      </c>
      <c r="E10632" s="3" t="s">
        <v>17182</v>
      </c>
      <c r="F10632" s="3" t="s">
        <v>17183</v>
      </c>
    </row>
    <row r="10633">
      <c r="A10633" s="3">
        <v>2097.0</v>
      </c>
      <c r="B10633" s="3" t="s">
        <v>19423</v>
      </c>
      <c r="C10633" s="3" t="s">
        <v>11281</v>
      </c>
      <c r="D10633" s="3" t="s">
        <v>17184</v>
      </c>
      <c r="E10633" s="3" t="s">
        <v>17185</v>
      </c>
      <c r="F10633" s="3" t="s">
        <v>17186</v>
      </c>
    </row>
    <row r="10634">
      <c r="A10634" s="3">
        <v>2098.0</v>
      </c>
      <c r="B10634" s="3" t="s">
        <v>19423</v>
      </c>
      <c r="C10634" s="3" t="s">
        <v>11281</v>
      </c>
      <c r="D10634" s="3" t="s">
        <v>17187</v>
      </c>
      <c r="E10634" s="3" t="s">
        <v>17188</v>
      </c>
      <c r="F10634" s="3" t="s">
        <v>17189</v>
      </c>
    </row>
    <row r="10635">
      <c r="A10635" s="3">
        <v>2099.0</v>
      </c>
      <c r="B10635" s="3" t="s">
        <v>19423</v>
      </c>
      <c r="C10635" s="3" t="s">
        <v>11281</v>
      </c>
      <c r="D10635" s="3" t="s">
        <v>17190</v>
      </c>
      <c r="E10635" s="3" t="s">
        <v>17191</v>
      </c>
      <c r="F10635" s="3" t="s">
        <v>17192</v>
      </c>
    </row>
    <row r="10636">
      <c r="A10636" s="3">
        <v>2100.0</v>
      </c>
      <c r="B10636" s="3" t="s">
        <v>19423</v>
      </c>
      <c r="C10636" s="3" t="s">
        <v>11281</v>
      </c>
      <c r="D10636" s="3" t="s">
        <v>17193</v>
      </c>
      <c r="E10636" s="3" t="s">
        <v>17194</v>
      </c>
      <c r="F10636" s="3" t="s">
        <v>17195</v>
      </c>
    </row>
    <row r="10637">
      <c r="A10637" s="3">
        <v>2101.0</v>
      </c>
      <c r="B10637" s="3" t="s">
        <v>19423</v>
      </c>
      <c r="C10637" s="3" t="s">
        <v>11281</v>
      </c>
      <c r="D10637" s="3" t="s">
        <v>17196</v>
      </c>
      <c r="E10637" s="3" t="s">
        <v>17197</v>
      </c>
      <c r="F10637" s="3" t="s">
        <v>17198</v>
      </c>
    </row>
    <row r="10638">
      <c r="A10638" s="3">
        <v>2102.0</v>
      </c>
      <c r="B10638" s="3" t="s">
        <v>19423</v>
      </c>
      <c r="C10638" s="3" t="s">
        <v>11281</v>
      </c>
      <c r="D10638" s="3" t="s">
        <v>17199</v>
      </c>
      <c r="E10638" s="3" t="s">
        <v>17200</v>
      </c>
      <c r="F10638" s="3" t="s">
        <v>17201</v>
      </c>
    </row>
    <row r="10639">
      <c r="A10639" s="3">
        <v>2103.0</v>
      </c>
      <c r="B10639" s="3" t="s">
        <v>19423</v>
      </c>
      <c r="C10639" s="3" t="s">
        <v>11281</v>
      </c>
      <c r="D10639" s="3" t="s">
        <v>17202</v>
      </c>
      <c r="E10639" s="3" t="s">
        <v>17203</v>
      </c>
      <c r="F10639" s="3" t="s">
        <v>17204</v>
      </c>
    </row>
    <row r="10640">
      <c r="A10640" s="3">
        <v>2104.0</v>
      </c>
      <c r="B10640" s="3" t="s">
        <v>19423</v>
      </c>
      <c r="C10640" s="3" t="s">
        <v>11281</v>
      </c>
      <c r="D10640" s="3" t="s">
        <v>17205</v>
      </c>
      <c r="E10640" s="3" t="s">
        <v>17206</v>
      </c>
      <c r="F10640" s="3" t="s">
        <v>17207</v>
      </c>
    </row>
    <row r="10641">
      <c r="A10641" s="3">
        <v>2105.0</v>
      </c>
      <c r="B10641" s="3" t="s">
        <v>19423</v>
      </c>
      <c r="C10641" s="3" t="s">
        <v>11281</v>
      </c>
      <c r="D10641" s="3" t="s">
        <v>17208</v>
      </c>
      <c r="E10641" s="3" t="s">
        <v>17209</v>
      </c>
      <c r="F10641" s="3" t="s">
        <v>4669</v>
      </c>
      <c r="G10641" s="3"/>
      <c r="H10641" s="3" t="s">
        <v>17210</v>
      </c>
      <c r="I10641" s="3" t="s">
        <v>17211</v>
      </c>
      <c r="J10641" s="3" t="s">
        <v>17212</v>
      </c>
      <c r="K10641" s="3" t="s">
        <v>17213</v>
      </c>
      <c r="L10641" s="3" t="s">
        <v>17214</v>
      </c>
      <c r="M10641" s="3" t="s">
        <v>17215</v>
      </c>
      <c r="N10641" s="3" t="s">
        <v>17216</v>
      </c>
      <c r="O10641" s="3" t="s">
        <v>17217</v>
      </c>
      <c r="P10641" s="3" t="s">
        <v>17218</v>
      </c>
      <c r="Q10641" s="3" t="s">
        <v>17219</v>
      </c>
      <c r="R10641" s="3" t="s">
        <v>17220</v>
      </c>
      <c r="S10641" s="3" t="s">
        <v>17221</v>
      </c>
      <c r="T10641" s="3" t="s">
        <v>4381</v>
      </c>
      <c r="U10641" s="3" t="s">
        <v>4382</v>
      </c>
      <c r="V10641" s="3" t="s">
        <v>4383</v>
      </c>
      <c r="W10641" s="3" t="s">
        <v>4384</v>
      </c>
      <c r="X10641" s="3" t="s">
        <v>4375</v>
      </c>
      <c r="Y10641" s="3" t="s">
        <v>4385</v>
      </c>
      <c r="Z10641" s="3" t="s">
        <v>4375</v>
      </c>
      <c r="AA10641" s="3" t="s">
        <v>17222</v>
      </c>
    </row>
    <row r="10642">
      <c r="A10642" s="3">
        <v>2106.0</v>
      </c>
      <c r="B10642" s="3" t="s">
        <v>19423</v>
      </c>
      <c r="C10642" s="3" t="s">
        <v>11281</v>
      </c>
      <c r="D10642" s="3" t="s">
        <v>17223</v>
      </c>
      <c r="E10642" s="3" t="s">
        <v>17224</v>
      </c>
      <c r="F10642" s="3" t="s">
        <v>17153</v>
      </c>
      <c r="G10642" s="3"/>
      <c r="H10642" s="3" t="s">
        <v>17225</v>
      </c>
      <c r="I10642" s="3" t="s">
        <v>17226</v>
      </c>
      <c r="J10642" s="3" t="s">
        <v>17227</v>
      </c>
    </row>
    <row r="10643">
      <c r="A10643" s="3">
        <v>2107.0</v>
      </c>
      <c r="B10643" s="3" t="s">
        <v>19423</v>
      </c>
      <c r="C10643" s="3" t="s">
        <v>11281</v>
      </c>
      <c r="D10643" s="3" t="s">
        <v>17228</v>
      </c>
      <c r="E10643" s="3" t="s">
        <v>17229</v>
      </c>
      <c r="F10643" s="3" t="s">
        <v>17230</v>
      </c>
    </row>
    <row r="10644">
      <c r="A10644" s="3">
        <v>2108.0</v>
      </c>
      <c r="B10644" s="3" t="s">
        <v>19423</v>
      </c>
      <c r="C10644" s="3" t="s">
        <v>11281</v>
      </c>
      <c r="D10644" s="3" t="s">
        <v>17231</v>
      </c>
      <c r="E10644" s="3" t="s">
        <v>17232</v>
      </c>
      <c r="F10644" s="3" t="s">
        <v>17233</v>
      </c>
    </row>
    <row r="10645">
      <c r="A10645" s="3">
        <v>2109.0</v>
      </c>
      <c r="B10645" s="3" t="s">
        <v>19423</v>
      </c>
      <c r="C10645" s="3" t="s">
        <v>11281</v>
      </c>
      <c r="D10645" s="3" t="s">
        <v>17234</v>
      </c>
      <c r="E10645" s="3" t="s">
        <v>17235</v>
      </c>
      <c r="F10645" s="3" t="s">
        <v>17236</v>
      </c>
    </row>
    <row r="10646">
      <c r="A10646" s="3">
        <v>2110.0</v>
      </c>
      <c r="B10646" s="3" t="s">
        <v>19423</v>
      </c>
      <c r="C10646" s="3" t="s">
        <v>11281</v>
      </c>
      <c r="D10646" s="3" t="s">
        <v>17237</v>
      </c>
      <c r="E10646" s="3" t="s">
        <v>17238</v>
      </c>
      <c r="F10646" s="3" t="s">
        <v>17239</v>
      </c>
    </row>
    <row r="10647">
      <c r="A10647" s="3">
        <v>2111.0</v>
      </c>
      <c r="B10647" s="3" t="s">
        <v>19423</v>
      </c>
      <c r="C10647" s="3" t="s">
        <v>11281</v>
      </c>
      <c r="D10647" s="3" t="s">
        <v>17240</v>
      </c>
      <c r="E10647" s="3" t="s">
        <v>17241</v>
      </c>
      <c r="F10647" s="3" t="s">
        <v>17186</v>
      </c>
    </row>
    <row r="10648">
      <c r="A10648" s="3">
        <v>2112.0</v>
      </c>
      <c r="B10648" s="3" t="s">
        <v>19423</v>
      </c>
      <c r="C10648" s="3" t="s">
        <v>11281</v>
      </c>
      <c r="D10648" s="3" t="s">
        <v>17242</v>
      </c>
      <c r="E10648" s="3" t="s">
        <v>20286</v>
      </c>
      <c r="F10648" s="3" t="s">
        <v>20287</v>
      </c>
    </row>
    <row r="10649">
      <c r="A10649" s="3">
        <v>2113.0</v>
      </c>
      <c r="B10649" s="3" t="s">
        <v>19423</v>
      </c>
      <c r="C10649" s="3" t="s">
        <v>11281</v>
      </c>
      <c r="D10649" s="3" t="s">
        <v>17245</v>
      </c>
      <c r="E10649" s="3" t="s">
        <v>20288</v>
      </c>
      <c r="F10649" s="3" t="s">
        <v>20289</v>
      </c>
    </row>
    <row r="10650">
      <c r="A10650" s="3">
        <v>2114.0</v>
      </c>
      <c r="B10650" s="3" t="s">
        <v>19423</v>
      </c>
      <c r="C10650" s="3" t="s">
        <v>11281</v>
      </c>
      <c r="D10650" s="3" t="s">
        <v>17248</v>
      </c>
      <c r="E10650" s="3" t="s">
        <v>17249</v>
      </c>
      <c r="F10650" s="3" t="s">
        <v>17250</v>
      </c>
    </row>
    <row r="10651">
      <c r="A10651" s="3">
        <v>2115.0</v>
      </c>
      <c r="B10651" s="3" t="s">
        <v>19423</v>
      </c>
      <c r="C10651" s="3" t="s">
        <v>11281</v>
      </c>
      <c r="D10651" s="3" t="s">
        <v>17251</v>
      </c>
      <c r="E10651" s="3" t="s">
        <v>17252</v>
      </c>
      <c r="F10651" s="3" t="s">
        <v>17253</v>
      </c>
    </row>
    <row r="10652">
      <c r="A10652" s="3">
        <v>2116.0</v>
      </c>
      <c r="B10652" s="3" t="s">
        <v>19423</v>
      </c>
      <c r="C10652" s="3" t="s">
        <v>11281</v>
      </c>
      <c r="D10652" s="3" t="s">
        <v>17254</v>
      </c>
      <c r="E10652" s="3" t="s">
        <v>17255</v>
      </c>
      <c r="F10652" s="3" t="s">
        <v>17256</v>
      </c>
    </row>
    <row r="10653">
      <c r="A10653" s="3">
        <v>2117.0</v>
      </c>
      <c r="B10653" s="3" t="s">
        <v>19423</v>
      </c>
      <c r="C10653" s="3" t="s">
        <v>11281</v>
      </c>
      <c r="D10653" s="3" t="s">
        <v>4409</v>
      </c>
      <c r="E10653" s="3" t="s">
        <v>4408</v>
      </c>
      <c r="F10653" s="3" t="s">
        <v>4409</v>
      </c>
      <c r="G10653" s="3"/>
      <c r="H10653" s="3" t="s">
        <v>4422</v>
      </c>
      <c r="I10653" s="3" t="s">
        <v>17257</v>
      </c>
    </row>
    <row r="10654">
      <c r="A10654" s="3">
        <v>2118.0</v>
      </c>
      <c r="B10654" s="3" t="s">
        <v>19423</v>
      </c>
      <c r="C10654" s="3" t="s">
        <v>11281</v>
      </c>
      <c r="D10654" s="3" t="s">
        <v>4405</v>
      </c>
      <c r="E10654" s="3" t="s">
        <v>4404</v>
      </c>
      <c r="F10654" s="3" t="s">
        <v>4405</v>
      </c>
    </row>
    <row r="10655">
      <c r="A10655" s="3">
        <v>2119.0</v>
      </c>
      <c r="B10655" s="3" t="s">
        <v>19423</v>
      </c>
      <c r="C10655" s="3" t="s">
        <v>11281</v>
      </c>
      <c r="D10655" s="3" t="s">
        <v>17258</v>
      </c>
      <c r="E10655" s="3" t="s">
        <v>17259</v>
      </c>
      <c r="F10655" s="3" t="s">
        <v>17258</v>
      </c>
    </row>
    <row r="10656">
      <c r="A10656" s="3">
        <v>2120.0</v>
      </c>
      <c r="B10656" s="3" t="s">
        <v>19423</v>
      </c>
      <c r="C10656" s="3" t="s">
        <v>11281</v>
      </c>
      <c r="D10656" s="3" t="s">
        <v>17260</v>
      </c>
      <c r="E10656" s="3" t="s">
        <v>20290</v>
      </c>
      <c r="F10656" s="3" t="s">
        <v>20291</v>
      </c>
    </row>
    <row r="10657">
      <c r="A10657" s="3">
        <v>2121.0</v>
      </c>
      <c r="B10657" s="3" t="s">
        <v>19423</v>
      </c>
      <c r="C10657" s="3" t="s">
        <v>11281</v>
      </c>
      <c r="D10657" s="3" t="s">
        <v>17263</v>
      </c>
      <c r="E10657" s="3" t="s">
        <v>20292</v>
      </c>
      <c r="F10657" s="3" t="s">
        <v>20293</v>
      </c>
    </row>
    <row r="10658">
      <c r="A10658" s="3">
        <v>2122.0</v>
      </c>
      <c r="B10658" s="3" t="s">
        <v>19423</v>
      </c>
      <c r="C10658" s="3" t="s">
        <v>11281</v>
      </c>
      <c r="D10658" s="3" t="s">
        <v>17266</v>
      </c>
      <c r="E10658" s="3" t="s">
        <v>20294</v>
      </c>
      <c r="F10658" s="3" t="s">
        <v>20295</v>
      </c>
      <c r="G10658" s="3"/>
      <c r="H10658" s="3" t="s">
        <v>17269</v>
      </c>
      <c r="I10658" s="3" t="s">
        <v>17270</v>
      </c>
    </row>
    <row r="10659">
      <c r="A10659" s="3">
        <v>2123.0</v>
      </c>
      <c r="B10659" s="3" t="s">
        <v>19423</v>
      </c>
      <c r="C10659" s="3" t="s">
        <v>11281</v>
      </c>
      <c r="D10659" s="3" t="s">
        <v>17271</v>
      </c>
      <c r="E10659" s="3" t="s">
        <v>20296</v>
      </c>
      <c r="F10659" s="3" t="s">
        <v>20297</v>
      </c>
    </row>
    <row r="10660">
      <c r="A10660" s="3">
        <v>2124.0</v>
      </c>
      <c r="B10660" s="3" t="s">
        <v>19423</v>
      </c>
      <c r="C10660" s="3" t="s">
        <v>11281</v>
      </c>
      <c r="D10660" s="3" t="s">
        <v>17274</v>
      </c>
      <c r="E10660" s="3" t="s">
        <v>20298</v>
      </c>
      <c r="F10660" s="3" t="s">
        <v>20299</v>
      </c>
    </row>
    <row r="10661">
      <c r="A10661" s="3">
        <v>2125.0</v>
      </c>
      <c r="B10661" s="3" t="s">
        <v>19423</v>
      </c>
      <c r="C10661" s="3" t="s">
        <v>11281</v>
      </c>
      <c r="D10661" s="3" t="s">
        <v>17277</v>
      </c>
      <c r="E10661" s="3" t="s">
        <v>20300</v>
      </c>
      <c r="F10661" s="3" t="s">
        <v>20301</v>
      </c>
    </row>
    <row r="10662">
      <c r="A10662" s="3">
        <v>2126.0</v>
      </c>
      <c r="B10662" s="3" t="s">
        <v>19423</v>
      </c>
      <c r="C10662" s="3" t="s">
        <v>11281</v>
      </c>
      <c r="D10662" s="3" t="s">
        <v>17280</v>
      </c>
      <c r="E10662" s="3" t="s">
        <v>20302</v>
      </c>
      <c r="F10662" s="3" t="s">
        <v>20303</v>
      </c>
    </row>
    <row r="10663">
      <c r="A10663" s="3">
        <v>2127.0</v>
      </c>
      <c r="B10663" s="3" t="s">
        <v>19423</v>
      </c>
      <c r="C10663" s="3" t="s">
        <v>11281</v>
      </c>
      <c r="D10663" s="3" t="s">
        <v>7551</v>
      </c>
      <c r="E10663" s="3" t="s">
        <v>7550</v>
      </c>
      <c r="F10663" s="3" t="s">
        <v>7551</v>
      </c>
    </row>
    <row r="10664">
      <c r="A10664" s="3">
        <v>2128.0</v>
      </c>
      <c r="B10664" s="3" t="s">
        <v>19423</v>
      </c>
      <c r="C10664" s="3" t="s">
        <v>11281</v>
      </c>
      <c r="D10664" s="3" t="s">
        <v>17283</v>
      </c>
      <c r="E10664" s="3" t="s">
        <v>17284</v>
      </c>
      <c r="F10664" s="3" t="s">
        <v>17283</v>
      </c>
    </row>
    <row r="10665">
      <c r="A10665" s="3">
        <v>2129.0</v>
      </c>
      <c r="B10665" s="3" t="s">
        <v>19423</v>
      </c>
      <c r="C10665" s="3" t="s">
        <v>11281</v>
      </c>
      <c r="D10665" s="3" t="s">
        <v>17285</v>
      </c>
      <c r="E10665" s="3" t="s">
        <v>20304</v>
      </c>
      <c r="F10665" s="3" t="s">
        <v>20305</v>
      </c>
      <c r="G10665" s="3"/>
      <c r="H10665" s="3" t="s">
        <v>2130</v>
      </c>
      <c r="I10665" s="3" t="s">
        <v>2131</v>
      </c>
      <c r="J10665" s="3" t="s">
        <v>2132</v>
      </c>
      <c r="K10665" s="3" t="s">
        <v>2133</v>
      </c>
      <c r="L10665" s="3" t="s">
        <v>2134</v>
      </c>
      <c r="M10665" s="3" t="s">
        <v>2135</v>
      </c>
      <c r="N10665" s="3" t="s">
        <v>17287</v>
      </c>
      <c r="O10665" s="3" t="s">
        <v>17288</v>
      </c>
      <c r="P10665" s="3" t="s">
        <v>17289</v>
      </c>
      <c r="Q10665" s="3" t="s">
        <v>17290</v>
      </c>
      <c r="R10665" s="3" t="s">
        <v>2582</v>
      </c>
      <c r="S10665" s="3" t="s">
        <v>17291</v>
      </c>
      <c r="T10665" s="3" t="s">
        <v>17292</v>
      </c>
      <c r="U10665" s="3" t="s">
        <v>17288</v>
      </c>
      <c r="V10665" s="3" t="s">
        <v>17293</v>
      </c>
      <c r="W10665" s="3" t="s">
        <v>17294</v>
      </c>
      <c r="X10665" s="3" t="s">
        <v>17290</v>
      </c>
      <c r="Y10665" s="3" t="s">
        <v>3531</v>
      </c>
      <c r="Z10665" s="3" t="s">
        <v>17291</v>
      </c>
      <c r="AA10665" s="3" t="s">
        <v>17295</v>
      </c>
    </row>
    <row r="10666">
      <c r="A10666" s="3">
        <v>2130.0</v>
      </c>
      <c r="B10666" s="3" t="s">
        <v>19423</v>
      </c>
      <c r="C10666" s="3" t="s">
        <v>11281</v>
      </c>
      <c r="D10666" s="3" t="s">
        <v>17296</v>
      </c>
      <c r="E10666" s="3" t="s">
        <v>20306</v>
      </c>
      <c r="F10666" s="3" t="s">
        <v>20307</v>
      </c>
    </row>
    <row r="10667">
      <c r="A10667" s="3">
        <v>2131.0</v>
      </c>
      <c r="B10667" s="3" t="s">
        <v>19423</v>
      </c>
      <c r="C10667" s="3" t="s">
        <v>11281</v>
      </c>
      <c r="D10667" s="3" t="s">
        <v>17299</v>
      </c>
      <c r="E10667" s="3" t="s">
        <v>17300</v>
      </c>
      <c r="F10667" s="3" t="s">
        <v>17299</v>
      </c>
    </row>
    <row r="10668">
      <c r="A10668" s="3">
        <v>2132.0</v>
      </c>
      <c r="B10668" s="3" t="s">
        <v>19423</v>
      </c>
      <c r="C10668" s="3" t="s">
        <v>11281</v>
      </c>
      <c r="D10668" s="3" t="s">
        <v>4523</v>
      </c>
      <c r="E10668" s="3" t="s">
        <v>4522</v>
      </c>
      <c r="F10668" s="3" t="s">
        <v>4523</v>
      </c>
      <c r="G10668" s="3"/>
      <c r="H10668" s="3" t="s">
        <v>17301</v>
      </c>
      <c r="I10668" s="3" t="s">
        <v>17302</v>
      </c>
      <c r="J10668" s="3" t="s">
        <v>17303</v>
      </c>
      <c r="K10668" s="3" t="s">
        <v>17304</v>
      </c>
      <c r="L10668" s="3" t="s">
        <v>17305</v>
      </c>
      <c r="M10668" s="3" t="s">
        <v>17306</v>
      </c>
      <c r="N10668" s="3" t="s">
        <v>17307</v>
      </c>
      <c r="O10668" s="3" t="s">
        <v>17308</v>
      </c>
    </row>
    <row r="10669">
      <c r="A10669" s="3">
        <v>2133.0</v>
      </c>
      <c r="B10669" s="3" t="s">
        <v>19423</v>
      </c>
      <c r="C10669" s="3" t="s">
        <v>11281</v>
      </c>
      <c r="D10669" s="3" t="s">
        <v>4506</v>
      </c>
      <c r="E10669" s="3" t="s">
        <v>4505</v>
      </c>
      <c r="F10669" s="3" t="s">
        <v>4506</v>
      </c>
    </row>
    <row r="10670">
      <c r="A10670" s="3">
        <v>2134.0</v>
      </c>
      <c r="B10670" s="3" t="s">
        <v>19423</v>
      </c>
      <c r="C10670" s="3" t="s">
        <v>11281</v>
      </c>
      <c r="D10670" s="3" t="s">
        <v>4526</v>
      </c>
      <c r="E10670" s="3" t="s">
        <v>4525</v>
      </c>
      <c r="F10670" s="3" t="s">
        <v>4526</v>
      </c>
      <c r="G10670" s="3"/>
      <c r="H10670" s="3" t="s">
        <v>17309</v>
      </c>
      <c r="I10670" s="3" t="s">
        <v>17310</v>
      </c>
      <c r="J10670" s="3" t="s">
        <v>17311</v>
      </c>
    </row>
    <row r="10671">
      <c r="A10671" s="3">
        <v>2135.0</v>
      </c>
      <c r="B10671" s="3" t="s">
        <v>19423</v>
      </c>
      <c r="C10671" s="3" t="s">
        <v>11281</v>
      </c>
      <c r="D10671" s="3" t="s">
        <v>4518</v>
      </c>
      <c r="E10671" s="3" t="s">
        <v>4517</v>
      </c>
      <c r="F10671" s="3" t="s">
        <v>4518</v>
      </c>
    </row>
    <row r="10672">
      <c r="A10672" s="3">
        <v>2136.0</v>
      </c>
      <c r="B10672" s="3" t="s">
        <v>19423</v>
      </c>
      <c r="C10672" s="3" t="s">
        <v>11281</v>
      </c>
      <c r="D10672" s="3" t="s">
        <v>17312</v>
      </c>
      <c r="E10672" s="3" t="s">
        <v>17313</v>
      </c>
      <c r="F10672" s="3" t="s">
        <v>17314</v>
      </c>
    </row>
    <row r="10673">
      <c r="A10673" s="3">
        <v>2137.0</v>
      </c>
      <c r="B10673" s="3" t="s">
        <v>19423</v>
      </c>
      <c r="C10673" s="3" t="s">
        <v>11281</v>
      </c>
      <c r="D10673" s="3" t="s">
        <v>17315</v>
      </c>
      <c r="E10673" s="3" t="s">
        <v>17316</v>
      </c>
      <c r="F10673" s="3" t="s">
        <v>17315</v>
      </c>
    </row>
    <row r="10674">
      <c r="A10674" s="3">
        <v>2138.0</v>
      </c>
      <c r="B10674" s="3" t="s">
        <v>19423</v>
      </c>
      <c r="C10674" s="3" t="s">
        <v>11281</v>
      </c>
      <c r="D10674" s="3" t="s">
        <v>17317</v>
      </c>
      <c r="E10674" s="3" t="s">
        <v>17318</v>
      </c>
      <c r="F10674" s="3" t="s">
        <v>17317</v>
      </c>
    </row>
    <row r="10675">
      <c r="A10675" s="3">
        <v>2139.0</v>
      </c>
      <c r="B10675" s="3" t="s">
        <v>19423</v>
      </c>
      <c r="C10675" s="3" t="s">
        <v>11281</v>
      </c>
      <c r="D10675" s="3" t="s">
        <v>17319</v>
      </c>
      <c r="E10675" s="3" t="s">
        <v>17320</v>
      </c>
      <c r="F10675" s="3" t="s">
        <v>17319</v>
      </c>
    </row>
    <row r="10676">
      <c r="A10676" s="3">
        <v>2140.0</v>
      </c>
      <c r="B10676" s="3" t="s">
        <v>19423</v>
      </c>
      <c r="C10676" s="3" t="s">
        <v>11281</v>
      </c>
      <c r="D10676" s="3" t="s">
        <v>4572</v>
      </c>
      <c r="E10676" s="3" t="s">
        <v>4573</v>
      </c>
      <c r="F10676" s="3" t="s">
        <v>4572</v>
      </c>
      <c r="G10676" s="3"/>
      <c r="H10676" s="3" t="s">
        <v>4574</v>
      </c>
      <c r="I10676" s="3" t="s">
        <v>4575</v>
      </c>
      <c r="J10676" s="3" t="s">
        <v>4576</v>
      </c>
      <c r="K10676" s="3" t="s">
        <v>4351</v>
      </c>
      <c r="L10676" s="3" t="s">
        <v>4572</v>
      </c>
      <c r="M10676" s="3" t="s">
        <v>4577</v>
      </c>
      <c r="N10676" s="3" t="s">
        <v>4578</v>
      </c>
      <c r="O10676" s="3" t="s">
        <v>17321</v>
      </c>
      <c r="P10676" s="3" t="s">
        <v>17322</v>
      </c>
      <c r="Q10676" s="3" t="s">
        <v>17323</v>
      </c>
      <c r="R10676" s="3" t="s">
        <v>4599</v>
      </c>
      <c r="S10676" s="3" t="s">
        <v>4600</v>
      </c>
      <c r="T10676" s="3" t="s">
        <v>4601</v>
      </c>
      <c r="U10676" s="3" t="s">
        <v>4602</v>
      </c>
      <c r="V10676" s="3" t="s">
        <v>4603</v>
      </c>
      <c r="W10676" s="3" t="s">
        <v>4604</v>
      </c>
      <c r="X10676" s="3" t="s">
        <v>4605</v>
      </c>
    </row>
    <row r="10677">
      <c r="A10677" s="3">
        <v>2141.0</v>
      </c>
      <c r="B10677" s="3" t="s">
        <v>19423</v>
      </c>
      <c r="C10677" s="3" t="s">
        <v>11281</v>
      </c>
      <c r="D10677" s="3" t="s">
        <v>4579</v>
      </c>
      <c r="E10677" s="3" t="s">
        <v>4580</v>
      </c>
      <c r="F10677" s="3" t="s">
        <v>4579</v>
      </c>
    </row>
    <row r="10678">
      <c r="A10678" s="3">
        <v>2142.0</v>
      </c>
      <c r="B10678" s="3" t="s">
        <v>19423</v>
      </c>
      <c r="C10678" s="3" t="s">
        <v>11281</v>
      </c>
      <c r="D10678" s="3" t="s">
        <v>17324</v>
      </c>
      <c r="E10678" s="3" t="s">
        <v>17325</v>
      </c>
      <c r="F10678" s="3" t="s">
        <v>17324</v>
      </c>
    </row>
    <row r="10679">
      <c r="A10679" s="3">
        <v>2143.0</v>
      </c>
      <c r="B10679" s="3" t="s">
        <v>19423</v>
      </c>
      <c r="C10679" s="3" t="s">
        <v>11281</v>
      </c>
      <c r="D10679" s="3" t="s">
        <v>17326</v>
      </c>
      <c r="E10679" s="3" t="s">
        <v>17327</v>
      </c>
      <c r="F10679" s="3" t="s">
        <v>17326</v>
      </c>
    </row>
    <row r="10680">
      <c r="A10680" s="3">
        <v>2144.0</v>
      </c>
      <c r="B10680" s="3" t="s">
        <v>19423</v>
      </c>
      <c r="C10680" s="3" t="s">
        <v>11281</v>
      </c>
      <c r="D10680" s="3" t="s">
        <v>17328</v>
      </c>
      <c r="E10680" s="3" t="s">
        <v>17329</v>
      </c>
      <c r="F10680" s="3" t="s">
        <v>17328</v>
      </c>
    </row>
    <row r="10681">
      <c r="A10681" s="3">
        <v>2145.0</v>
      </c>
      <c r="B10681" s="3" t="s">
        <v>19423</v>
      </c>
      <c r="C10681" s="3" t="s">
        <v>11281</v>
      </c>
      <c r="D10681" s="3" t="s">
        <v>17330</v>
      </c>
      <c r="E10681" s="3" t="s">
        <v>17331</v>
      </c>
      <c r="F10681" s="3" t="s">
        <v>17330</v>
      </c>
    </row>
    <row r="10682">
      <c r="A10682" s="3">
        <v>2146.0</v>
      </c>
      <c r="B10682" s="3" t="s">
        <v>19423</v>
      </c>
      <c r="C10682" s="3" t="s">
        <v>11281</v>
      </c>
      <c r="D10682" s="3" t="s">
        <v>17332</v>
      </c>
      <c r="E10682" s="3" t="s">
        <v>17333</v>
      </c>
      <c r="F10682" s="3" t="s">
        <v>17332</v>
      </c>
    </row>
    <row r="10683">
      <c r="A10683" s="3">
        <v>2147.0</v>
      </c>
      <c r="B10683" s="3" t="s">
        <v>19423</v>
      </c>
      <c r="C10683" s="3" t="s">
        <v>11281</v>
      </c>
      <c r="D10683" s="3" t="s">
        <v>17334</v>
      </c>
      <c r="E10683" s="3" t="s">
        <v>17335</v>
      </c>
      <c r="F10683" s="3" t="s">
        <v>17334</v>
      </c>
    </row>
    <row r="10684">
      <c r="A10684" s="3">
        <v>2148.0</v>
      </c>
      <c r="B10684" s="3" t="s">
        <v>19423</v>
      </c>
      <c r="C10684" s="3" t="s">
        <v>11281</v>
      </c>
      <c r="D10684" s="3" t="s">
        <v>17336</v>
      </c>
      <c r="E10684" s="3" t="s">
        <v>17337</v>
      </c>
      <c r="F10684" s="3" t="s">
        <v>17336</v>
      </c>
    </row>
    <row r="10685">
      <c r="A10685" s="3">
        <v>2149.0</v>
      </c>
      <c r="B10685" s="3" t="s">
        <v>19423</v>
      </c>
      <c r="C10685" s="3" t="s">
        <v>11281</v>
      </c>
      <c r="D10685" s="3" t="s">
        <v>17338</v>
      </c>
      <c r="E10685" s="3" t="s">
        <v>17339</v>
      </c>
      <c r="F10685" s="3" t="s">
        <v>17338</v>
      </c>
    </row>
    <row r="10686">
      <c r="A10686" s="3">
        <v>2150.0</v>
      </c>
      <c r="B10686" s="3" t="s">
        <v>19423</v>
      </c>
      <c r="C10686" s="3" t="s">
        <v>11281</v>
      </c>
      <c r="D10686" s="3" t="s">
        <v>4611</v>
      </c>
      <c r="E10686" s="3" t="s">
        <v>4610</v>
      </c>
      <c r="F10686" s="3" t="s">
        <v>4611</v>
      </c>
    </row>
    <row r="10687">
      <c r="A10687" s="3">
        <v>2151.0</v>
      </c>
      <c r="B10687" s="3" t="s">
        <v>19423</v>
      </c>
      <c r="C10687" s="3" t="s">
        <v>11281</v>
      </c>
      <c r="D10687" s="3" t="s">
        <v>8116</v>
      </c>
      <c r="E10687" s="3" t="s">
        <v>8117</v>
      </c>
      <c r="F10687" s="3" t="s">
        <v>8116</v>
      </c>
    </row>
    <row r="10688">
      <c r="A10688" s="3">
        <v>2152.0</v>
      </c>
      <c r="B10688" s="3" t="s">
        <v>19423</v>
      </c>
      <c r="C10688" s="3" t="s">
        <v>11281</v>
      </c>
      <c r="D10688" s="3" t="s">
        <v>17340</v>
      </c>
      <c r="E10688" s="3" t="s">
        <v>17341</v>
      </c>
      <c r="F10688" s="3" t="s">
        <v>17340</v>
      </c>
      <c r="G10688" s="3"/>
      <c r="H10688" s="3" t="s">
        <v>17342</v>
      </c>
      <c r="I10688" s="3" t="s">
        <v>17343</v>
      </c>
    </row>
    <row r="10689">
      <c r="A10689" s="3">
        <v>2153.0</v>
      </c>
      <c r="B10689" s="3" t="s">
        <v>19423</v>
      </c>
      <c r="C10689" s="3" t="s">
        <v>11281</v>
      </c>
      <c r="D10689" s="3" t="s">
        <v>17344</v>
      </c>
      <c r="E10689" s="3" t="s">
        <v>17345</v>
      </c>
      <c r="F10689" s="3" t="s">
        <v>17344</v>
      </c>
    </row>
    <row r="10690">
      <c r="A10690" s="3">
        <v>2154.0</v>
      </c>
      <c r="B10690" s="3" t="s">
        <v>19423</v>
      </c>
      <c r="C10690" s="3" t="s">
        <v>11281</v>
      </c>
      <c r="D10690" s="3" t="s">
        <v>17346</v>
      </c>
      <c r="E10690" s="3" t="s">
        <v>17347</v>
      </c>
      <c r="F10690" s="3" t="s">
        <v>17346</v>
      </c>
    </row>
    <row r="10691">
      <c r="A10691" s="3">
        <v>2155.0</v>
      </c>
      <c r="B10691" s="3" t="s">
        <v>19423</v>
      </c>
      <c r="C10691" s="3" t="s">
        <v>11281</v>
      </c>
      <c r="D10691" s="3" t="s">
        <v>17348</v>
      </c>
      <c r="E10691" s="3" t="s">
        <v>17349</v>
      </c>
      <c r="F10691" s="3" t="s">
        <v>17348</v>
      </c>
    </row>
    <row r="10692">
      <c r="A10692" s="3">
        <v>2156.0</v>
      </c>
      <c r="B10692" s="3" t="s">
        <v>19423</v>
      </c>
      <c r="C10692" s="3" t="s">
        <v>11281</v>
      </c>
      <c r="D10692" s="3" t="s">
        <v>17350</v>
      </c>
      <c r="E10692" s="3" t="s">
        <v>17351</v>
      </c>
      <c r="F10692" s="3" t="s">
        <v>17350</v>
      </c>
      <c r="G10692" s="3"/>
      <c r="H10692" s="3" t="s">
        <v>3672</v>
      </c>
      <c r="I10692" s="3" t="s">
        <v>13997</v>
      </c>
      <c r="J10692" s="3" t="s">
        <v>13998</v>
      </c>
      <c r="K10692" s="3" t="s">
        <v>14000</v>
      </c>
      <c r="L10692" s="3" t="s">
        <v>17352</v>
      </c>
      <c r="M10692" s="3" t="s">
        <v>17353</v>
      </c>
      <c r="N10692" s="3" t="s">
        <v>13764</v>
      </c>
      <c r="O10692" s="3" t="s">
        <v>13997</v>
      </c>
      <c r="P10692" s="3" t="s">
        <v>17354</v>
      </c>
      <c r="Q10692" s="3" t="s">
        <v>17353</v>
      </c>
      <c r="R10692" s="3" t="s">
        <v>17350</v>
      </c>
      <c r="S10692" s="3" t="s">
        <v>13999</v>
      </c>
      <c r="T10692" s="3" t="s">
        <v>14000</v>
      </c>
      <c r="U10692" s="3" t="s">
        <v>17355</v>
      </c>
      <c r="V10692" s="3" t="s">
        <v>17356</v>
      </c>
      <c r="W10692" s="3" t="s">
        <v>17352</v>
      </c>
      <c r="X10692" s="3" t="s">
        <v>17357</v>
      </c>
      <c r="Y10692" s="3" t="s">
        <v>5852</v>
      </c>
      <c r="Z10692" s="3" t="s">
        <v>17358</v>
      </c>
      <c r="AA10692" s="3" t="s">
        <v>17359</v>
      </c>
      <c r="AB10692" s="3" t="s">
        <v>17360</v>
      </c>
      <c r="AC10692" s="3" t="s">
        <v>17361</v>
      </c>
      <c r="AD10692" s="3" t="s">
        <v>17362</v>
      </c>
      <c r="AE10692" s="3" t="s">
        <v>17363</v>
      </c>
      <c r="AF10692" s="3" t="s">
        <v>13999</v>
      </c>
    </row>
    <row r="10693">
      <c r="A10693" s="3">
        <v>2157.0</v>
      </c>
      <c r="B10693" s="3" t="s">
        <v>19423</v>
      </c>
      <c r="C10693" s="3" t="s">
        <v>11281</v>
      </c>
      <c r="D10693" s="3" t="s">
        <v>8718</v>
      </c>
      <c r="E10693" s="3" t="s">
        <v>8717</v>
      </c>
      <c r="F10693" s="3" t="s">
        <v>8718</v>
      </c>
    </row>
    <row r="10694">
      <c r="A10694" s="3">
        <v>2158.0</v>
      </c>
      <c r="B10694" s="3" t="s">
        <v>19423</v>
      </c>
      <c r="C10694" s="3" t="s">
        <v>11281</v>
      </c>
      <c r="D10694" s="3" t="s">
        <v>17364</v>
      </c>
      <c r="E10694" s="3" t="s">
        <v>17365</v>
      </c>
      <c r="F10694" s="3" t="s">
        <v>17366</v>
      </c>
    </row>
    <row r="10695">
      <c r="A10695" s="3">
        <v>2159.0</v>
      </c>
      <c r="B10695" s="3" t="s">
        <v>19423</v>
      </c>
      <c r="C10695" s="3" t="s">
        <v>11281</v>
      </c>
      <c r="D10695" s="3" t="s">
        <v>17367</v>
      </c>
      <c r="E10695" s="3" t="s">
        <v>17368</v>
      </c>
      <c r="F10695" s="3" t="s">
        <v>17369</v>
      </c>
    </row>
    <row r="10696">
      <c r="A10696" s="3">
        <v>2160.0</v>
      </c>
      <c r="B10696" s="3" t="s">
        <v>19423</v>
      </c>
      <c r="C10696" s="3" t="s">
        <v>11281</v>
      </c>
      <c r="D10696" s="3" t="s">
        <v>17370</v>
      </c>
      <c r="E10696" s="3" t="s">
        <v>17371</v>
      </c>
      <c r="F10696" s="3" t="s">
        <v>17372</v>
      </c>
    </row>
    <row r="10697">
      <c r="A10697" s="3">
        <v>2161.0</v>
      </c>
      <c r="B10697" s="3" t="s">
        <v>19423</v>
      </c>
      <c r="C10697" s="3" t="s">
        <v>11281</v>
      </c>
      <c r="D10697" s="3" t="s">
        <v>17373</v>
      </c>
      <c r="E10697" s="3" t="s">
        <v>17374</v>
      </c>
      <c r="F10697" s="3" t="s">
        <v>17375</v>
      </c>
    </row>
    <row r="10698">
      <c r="A10698" s="3">
        <v>2162.0</v>
      </c>
      <c r="B10698" s="3" t="s">
        <v>19423</v>
      </c>
      <c r="C10698" s="3" t="s">
        <v>11281</v>
      </c>
      <c r="D10698" s="3" t="s">
        <v>17376</v>
      </c>
      <c r="E10698" s="3" t="s">
        <v>17377</v>
      </c>
      <c r="F10698" s="3" t="s">
        <v>17378</v>
      </c>
    </row>
    <row r="10699">
      <c r="A10699" s="3">
        <v>2163.0</v>
      </c>
      <c r="B10699" s="3" t="s">
        <v>19423</v>
      </c>
      <c r="C10699" s="3" t="s">
        <v>11281</v>
      </c>
      <c r="D10699" s="3" t="s">
        <v>17379</v>
      </c>
      <c r="E10699" s="3" t="s">
        <v>17380</v>
      </c>
      <c r="F10699" s="3" t="s">
        <v>17381</v>
      </c>
    </row>
    <row r="10700">
      <c r="A10700" s="3">
        <v>2164.0</v>
      </c>
      <c r="B10700" s="3" t="s">
        <v>19423</v>
      </c>
      <c r="C10700" s="3" t="s">
        <v>11281</v>
      </c>
      <c r="D10700" s="3" t="s">
        <v>17382</v>
      </c>
      <c r="E10700" s="3" t="s">
        <v>17383</v>
      </c>
      <c r="F10700" s="3" t="s">
        <v>17384</v>
      </c>
    </row>
    <row r="10701">
      <c r="A10701" s="3">
        <v>2165.0</v>
      </c>
      <c r="B10701" s="3" t="s">
        <v>19423</v>
      </c>
      <c r="C10701" s="3" t="s">
        <v>11281</v>
      </c>
      <c r="D10701" s="3" t="s">
        <v>17385</v>
      </c>
      <c r="E10701" s="3" t="s">
        <v>20308</v>
      </c>
      <c r="F10701" s="3" t="s">
        <v>20309</v>
      </c>
    </row>
    <row r="10702">
      <c r="A10702" s="3">
        <v>2166.0</v>
      </c>
      <c r="B10702" s="3" t="s">
        <v>19423</v>
      </c>
      <c r="C10702" s="3" t="s">
        <v>11281</v>
      </c>
      <c r="D10702" s="3" t="s">
        <v>17388</v>
      </c>
      <c r="E10702" s="3" t="s">
        <v>20310</v>
      </c>
      <c r="F10702" s="3" t="s">
        <v>20311</v>
      </c>
    </row>
    <row r="10703">
      <c r="A10703" s="3">
        <v>2167.0</v>
      </c>
      <c r="B10703" s="3" t="s">
        <v>19423</v>
      </c>
      <c r="C10703" s="3" t="s">
        <v>11281</v>
      </c>
      <c r="D10703" s="3" t="s">
        <v>17391</v>
      </c>
      <c r="E10703" s="3" t="s">
        <v>20312</v>
      </c>
      <c r="F10703" s="3" t="s">
        <v>20313</v>
      </c>
      <c r="G10703" s="3"/>
      <c r="H10703" s="3" t="s">
        <v>17394</v>
      </c>
      <c r="I10703" s="3" t="s">
        <v>17395</v>
      </c>
      <c r="J10703" s="3" t="s">
        <v>17394</v>
      </c>
      <c r="K10703" s="3" t="s">
        <v>17395</v>
      </c>
    </row>
    <row r="10704">
      <c r="A10704" s="3">
        <v>2168.0</v>
      </c>
      <c r="B10704" s="3" t="s">
        <v>19423</v>
      </c>
      <c r="C10704" s="3" t="s">
        <v>11281</v>
      </c>
      <c r="D10704" s="3" t="s">
        <v>17396</v>
      </c>
      <c r="E10704" s="3" t="s">
        <v>20314</v>
      </c>
      <c r="F10704" s="3" t="s">
        <v>20315</v>
      </c>
    </row>
    <row r="10705">
      <c r="A10705" s="3">
        <v>2169.0</v>
      </c>
      <c r="B10705" s="3" t="s">
        <v>19423</v>
      </c>
      <c r="C10705" s="3" t="s">
        <v>11281</v>
      </c>
      <c r="D10705" s="3" t="s">
        <v>17399</v>
      </c>
      <c r="E10705" s="3" t="s">
        <v>20316</v>
      </c>
      <c r="F10705" s="3" t="s">
        <v>20317</v>
      </c>
    </row>
    <row r="10706">
      <c r="A10706" s="3">
        <v>2170.0</v>
      </c>
      <c r="B10706" s="3" t="s">
        <v>19423</v>
      </c>
      <c r="C10706" s="3" t="s">
        <v>11281</v>
      </c>
      <c r="D10706" s="3" t="s">
        <v>17402</v>
      </c>
      <c r="E10706" s="3" t="s">
        <v>20318</v>
      </c>
      <c r="F10706" s="3" t="s">
        <v>20319</v>
      </c>
    </row>
    <row r="10707">
      <c r="A10707" s="3">
        <v>2171.0</v>
      </c>
      <c r="B10707" s="3" t="s">
        <v>19423</v>
      </c>
      <c r="C10707" s="3" t="s">
        <v>11281</v>
      </c>
      <c r="D10707" s="3" t="s">
        <v>17405</v>
      </c>
      <c r="E10707" s="3" t="s">
        <v>20320</v>
      </c>
      <c r="F10707" s="3" t="s">
        <v>20321</v>
      </c>
    </row>
    <row r="10708">
      <c r="A10708" s="3">
        <v>2172.0</v>
      </c>
      <c r="B10708" s="3" t="s">
        <v>19423</v>
      </c>
      <c r="C10708" s="3" t="s">
        <v>11281</v>
      </c>
      <c r="D10708" s="3" t="s">
        <v>17408</v>
      </c>
      <c r="E10708" s="3" t="s">
        <v>17409</v>
      </c>
      <c r="F10708" s="3" t="s">
        <v>17408</v>
      </c>
    </row>
    <row r="10709">
      <c r="A10709" s="3">
        <v>2173.0</v>
      </c>
      <c r="B10709" s="3" t="s">
        <v>19423</v>
      </c>
      <c r="C10709" s="3" t="s">
        <v>11281</v>
      </c>
      <c r="D10709" s="3" t="s">
        <v>17410</v>
      </c>
      <c r="E10709" s="3" t="s">
        <v>17411</v>
      </c>
      <c r="F10709" s="3" t="s">
        <v>17410</v>
      </c>
      <c r="G10709" s="3"/>
      <c r="H10709" s="3" t="s">
        <v>10618</v>
      </c>
      <c r="I10709" s="3" t="s">
        <v>17412</v>
      </c>
      <c r="J10709" s="3" t="s">
        <v>12492</v>
      </c>
      <c r="K10709" s="3" t="s">
        <v>17413</v>
      </c>
      <c r="L10709" s="3" t="s">
        <v>17414</v>
      </c>
      <c r="M10709" s="3" t="s">
        <v>17415</v>
      </c>
      <c r="N10709" s="3" t="s">
        <v>17416</v>
      </c>
      <c r="O10709" s="3" t="s">
        <v>17417</v>
      </c>
      <c r="P10709" s="3" t="s">
        <v>17418</v>
      </c>
      <c r="Q10709" s="3" t="s">
        <v>5285</v>
      </c>
      <c r="R10709" s="3" t="s">
        <v>12953</v>
      </c>
      <c r="S10709" s="3" t="s">
        <v>17413</v>
      </c>
      <c r="T10709" s="3" t="s">
        <v>17413</v>
      </c>
      <c r="U10709" s="3" t="s">
        <v>17419</v>
      </c>
      <c r="V10709" s="3" t="s">
        <v>17413</v>
      </c>
      <c r="W10709" s="3" t="s">
        <v>17420</v>
      </c>
      <c r="X10709" s="3" t="s">
        <v>17421</v>
      </c>
      <c r="Y10709" s="3" t="s">
        <v>17413</v>
      </c>
      <c r="Z10709" s="3" t="s">
        <v>17419</v>
      </c>
      <c r="AA10709" s="3" t="s">
        <v>5285</v>
      </c>
      <c r="AB10709" s="3" t="s">
        <v>17422</v>
      </c>
      <c r="AC10709" s="3" t="s">
        <v>9586</v>
      </c>
      <c r="AD10709" s="3" t="s">
        <v>17413</v>
      </c>
      <c r="AE10709" s="3" t="s">
        <v>17423</v>
      </c>
      <c r="AF10709" s="3" t="s">
        <v>17424</v>
      </c>
      <c r="AG10709" s="3" t="s">
        <v>17425</v>
      </c>
      <c r="AH10709" s="3" t="s">
        <v>12492</v>
      </c>
      <c r="AI10709" s="3" t="s">
        <v>17413</v>
      </c>
      <c r="AJ10709" s="3" t="s">
        <v>17425</v>
      </c>
      <c r="AK10709" s="3" t="s">
        <v>17426</v>
      </c>
      <c r="AL10709" s="3" t="s">
        <v>17427</v>
      </c>
      <c r="AM10709" s="3" t="s">
        <v>17428</v>
      </c>
    </row>
    <row r="10710">
      <c r="A10710" s="3">
        <v>2174.0</v>
      </c>
      <c r="B10710" s="3" t="s">
        <v>19423</v>
      </c>
      <c r="C10710" s="3" t="s">
        <v>11281</v>
      </c>
      <c r="D10710" s="3" t="s">
        <v>17429</v>
      </c>
      <c r="E10710" s="3" t="s">
        <v>17430</v>
      </c>
      <c r="F10710" s="3" t="s">
        <v>17429</v>
      </c>
    </row>
    <row r="10711">
      <c r="A10711" s="3">
        <v>2175.0</v>
      </c>
      <c r="B10711" s="3" t="s">
        <v>19423</v>
      </c>
      <c r="C10711" s="3" t="s">
        <v>11281</v>
      </c>
      <c r="D10711" s="3" t="s">
        <v>17431</v>
      </c>
      <c r="E10711" s="3" t="s">
        <v>17432</v>
      </c>
      <c r="F10711" s="3" t="s">
        <v>17431</v>
      </c>
    </row>
    <row r="10712">
      <c r="A10712" s="3">
        <v>2176.0</v>
      </c>
      <c r="B10712" s="3" t="s">
        <v>19423</v>
      </c>
      <c r="C10712" s="3" t="s">
        <v>11281</v>
      </c>
      <c r="D10712" s="3" t="s">
        <v>17433</v>
      </c>
      <c r="E10712" s="3" t="s">
        <v>17434</v>
      </c>
      <c r="F10712" s="3" t="s">
        <v>17433</v>
      </c>
    </row>
    <row r="10713">
      <c r="A10713" s="3">
        <v>2177.0</v>
      </c>
      <c r="B10713" s="3" t="s">
        <v>19423</v>
      </c>
      <c r="C10713" s="3" t="s">
        <v>11281</v>
      </c>
      <c r="D10713" s="3" t="s">
        <v>17435</v>
      </c>
      <c r="E10713" s="3" t="s">
        <v>17436</v>
      </c>
      <c r="F10713" s="3" t="s">
        <v>17435</v>
      </c>
    </row>
    <row r="10714">
      <c r="A10714" s="3">
        <v>2178.0</v>
      </c>
      <c r="B10714" s="3" t="s">
        <v>19423</v>
      </c>
      <c r="C10714" s="3" t="s">
        <v>11281</v>
      </c>
      <c r="D10714" s="3" t="s">
        <v>17437</v>
      </c>
      <c r="E10714" s="3" t="s">
        <v>17438</v>
      </c>
      <c r="F10714" s="3" t="s">
        <v>17437</v>
      </c>
    </row>
    <row r="10715">
      <c r="A10715" s="3">
        <v>2179.0</v>
      </c>
      <c r="B10715" s="3" t="s">
        <v>19423</v>
      </c>
      <c r="C10715" s="3" t="s">
        <v>11281</v>
      </c>
      <c r="D10715" s="3" t="s">
        <v>17439</v>
      </c>
      <c r="E10715" s="3" t="s">
        <v>17440</v>
      </c>
      <c r="F10715" s="3" t="s">
        <v>17439</v>
      </c>
    </row>
    <row r="10716">
      <c r="A10716" s="3">
        <v>2180.0</v>
      </c>
      <c r="B10716" s="3" t="s">
        <v>19423</v>
      </c>
      <c r="C10716" s="3" t="s">
        <v>11281</v>
      </c>
      <c r="D10716" s="3" t="s">
        <v>17441</v>
      </c>
      <c r="E10716" s="3" t="s">
        <v>17442</v>
      </c>
      <c r="F10716" s="3" t="s">
        <v>17441</v>
      </c>
      <c r="G10716" s="3"/>
      <c r="H10716" s="3" t="s">
        <v>17443</v>
      </c>
      <c r="I10716" s="3" t="s">
        <v>17444</v>
      </c>
      <c r="J10716" s="3" t="s">
        <v>12876</v>
      </c>
      <c r="K10716" s="3" t="s">
        <v>17445</v>
      </c>
      <c r="L10716" s="3" t="s">
        <v>17446</v>
      </c>
      <c r="M10716" s="3" t="s">
        <v>17447</v>
      </c>
      <c r="N10716" s="3" t="s">
        <v>3892</v>
      </c>
      <c r="O10716" s="3" t="s">
        <v>11211</v>
      </c>
      <c r="P10716" s="3" t="s">
        <v>17448</v>
      </c>
      <c r="Q10716" s="3" t="s">
        <v>17449</v>
      </c>
      <c r="R10716" s="3" t="s">
        <v>5321</v>
      </c>
      <c r="S10716" s="3" t="s">
        <v>17450</v>
      </c>
      <c r="T10716" s="3" t="s">
        <v>5270</v>
      </c>
      <c r="U10716" s="3" t="s">
        <v>17451</v>
      </c>
      <c r="V10716" s="3" t="s">
        <v>17452</v>
      </c>
      <c r="W10716" s="3" t="s">
        <v>17453</v>
      </c>
      <c r="X10716" s="3" t="s">
        <v>17454</v>
      </c>
      <c r="Y10716" s="3" t="s">
        <v>17455</v>
      </c>
    </row>
    <row r="10717">
      <c r="A10717" s="3">
        <v>2181.0</v>
      </c>
      <c r="B10717" s="3" t="s">
        <v>19423</v>
      </c>
      <c r="C10717" s="3" t="s">
        <v>11281</v>
      </c>
      <c r="D10717" s="3" t="s">
        <v>17456</v>
      </c>
      <c r="E10717" s="3" t="s">
        <v>17457</v>
      </c>
      <c r="F10717" s="3" t="s">
        <v>17456</v>
      </c>
    </row>
    <row r="10718">
      <c r="A10718" s="3">
        <v>2182.0</v>
      </c>
      <c r="B10718" s="3" t="s">
        <v>19423</v>
      </c>
      <c r="C10718" s="3" t="s">
        <v>11281</v>
      </c>
      <c r="D10718" s="3" t="s">
        <v>17458</v>
      </c>
      <c r="E10718" s="3" t="s">
        <v>17459</v>
      </c>
      <c r="F10718" s="3" t="s">
        <v>17458</v>
      </c>
    </row>
    <row r="10719">
      <c r="A10719" s="3">
        <v>2183.0</v>
      </c>
      <c r="B10719" s="3" t="s">
        <v>19423</v>
      </c>
      <c r="C10719" s="3" t="s">
        <v>11281</v>
      </c>
      <c r="D10719" s="3" t="s">
        <v>4690</v>
      </c>
      <c r="E10719" s="3" t="s">
        <v>4689</v>
      </c>
      <c r="F10719" s="3" t="s">
        <v>4690</v>
      </c>
    </row>
    <row r="10720">
      <c r="A10720" s="3">
        <v>2184.0</v>
      </c>
      <c r="B10720" s="3" t="s">
        <v>19423</v>
      </c>
      <c r="C10720" s="3" t="s">
        <v>11281</v>
      </c>
      <c r="D10720" s="3" t="s">
        <v>17460</v>
      </c>
      <c r="E10720" s="3" t="s">
        <v>17461</v>
      </c>
      <c r="F10720" s="3" t="s">
        <v>17460</v>
      </c>
    </row>
    <row r="10721">
      <c r="A10721" s="3">
        <v>2185.0</v>
      </c>
      <c r="B10721" s="3" t="s">
        <v>19423</v>
      </c>
      <c r="C10721" s="3" t="s">
        <v>11281</v>
      </c>
      <c r="D10721" s="3" t="s">
        <v>17462</v>
      </c>
      <c r="E10721" s="3" t="s">
        <v>17463</v>
      </c>
      <c r="F10721" s="3" t="s">
        <v>17462</v>
      </c>
      <c r="G10721" s="3"/>
      <c r="H10721" s="3" t="s">
        <v>10618</v>
      </c>
      <c r="I10721" s="3" t="s">
        <v>17464</v>
      </c>
      <c r="J10721" s="3" t="s">
        <v>17465</v>
      </c>
      <c r="K10721" s="3" t="s">
        <v>17466</v>
      </c>
      <c r="L10721" s="3" t="s">
        <v>17467</v>
      </c>
      <c r="M10721" s="3" t="s">
        <v>17468</v>
      </c>
      <c r="N10721" s="3" t="s">
        <v>17469</v>
      </c>
      <c r="O10721" s="3" t="s">
        <v>17470</v>
      </c>
      <c r="P10721" s="3" t="s">
        <v>11251</v>
      </c>
      <c r="Q10721" s="3" t="s">
        <v>17471</v>
      </c>
      <c r="R10721" s="3" t="s">
        <v>17472</v>
      </c>
      <c r="S10721" s="3" t="s">
        <v>17473</v>
      </c>
      <c r="T10721" s="3" t="s">
        <v>17474</v>
      </c>
      <c r="U10721" s="3" t="s">
        <v>17475</v>
      </c>
      <c r="V10721" s="3" t="s">
        <v>17476</v>
      </c>
      <c r="W10721" s="3" t="s">
        <v>17477</v>
      </c>
      <c r="X10721" s="3" t="s">
        <v>17469</v>
      </c>
      <c r="Y10721" s="3" t="s">
        <v>17478</v>
      </c>
      <c r="Z10721" s="3" t="s">
        <v>11251</v>
      </c>
      <c r="AA10721" s="3" t="s">
        <v>17469</v>
      </c>
      <c r="AB10721" s="3" t="s">
        <v>1688</v>
      </c>
      <c r="AC10721" s="3" t="s">
        <v>13530</v>
      </c>
      <c r="AD10721" s="3" t="s">
        <v>17479</v>
      </c>
      <c r="AE10721" s="3" t="s">
        <v>1621</v>
      </c>
      <c r="AF10721" s="3" t="s">
        <v>17480</v>
      </c>
      <c r="AG10721" s="3" t="s">
        <v>11251</v>
      </c>
      <c r="AH10721" s="3" t="s">
        <v>7604</v>
      </c>
      <c r="AI10721" s="3" t="s">
        <v>17481</v>
      </c>
      <c r="AJ10721" s="3" t="s">
        <v>11251</v>
      </c>
      <c r="AK10721" s="3" t="s">
        <v>17482</v>
      </c>
      <c r="AL10721" s="3" t="s">
        <v>11251</v>
      </c>
      <c r="AM10721" s="3" t="s">
        <v>17483</v>
      </c>
      <c r="AN10721" s="3" t="s">
        <v>17484</v>
      </c>
      <c r="AO10721" s="3" t="s">
        <v>17485</v>
      </c>
      <c r="AP10721" s="3" t="s">
        <v>11251</v>
      </c>
      <c r="AQ10721" s="3" t="s">
        <v>17486</v>
      </c>
      <c r="AR10721" s="3" t="s">
        <v>17487</v>
      </c>
      <c r="AS10721" s="3" t="s">
        <v>17488</v>
      </c>
      <c r="AT10721" s="3" t="s">
        <v>17489</v>
      </c>
      <c r="AU10721" s="3" t="s">
        <v>17490</v>
      </c>
      <c r="AV10721" s="3" t="s">
        <v>17491</v>
      </c>
      <c r="AW10721" s="3" t="s">
        <v>17492</v>
      </c>
      <c r="AX10721" s="3" t="s">
        <v>11251</v>
      </c>
      <c r="AY10721" s="3" t="s">
        <v>11251</v>
      </c>
      <c r="AZ10721" s="3" t="s">
        <v>17493</v>
      </c>
      <c r="BA10721" s="3" t="s">
        <v>17494</v>
      </c>
      <c r="BB10721" s="3" t="s">
        <v>17482</v>
      </c>
      <c r="BC10721" s="3" t="s">
        <v>11251</v>
      </c>
      <c r="BD10721" s="3" t="s">
        <v>17495</v>
      </c>
      <c r="BE10721" s="3" t="s">
        <v>17496</v>
      </c>
      <c r="BF10721" s="3" t="s">
        <v>17497</v>
      </c>
      <c r="BG10721" s="3" t="s">
        <v>17492</v>
      </c>
      <c r="BH10721" s="3" t="s">
        <v>17498</v>
      </c>
      <c r="BI10721" s="3" t="s">
        <v>17499</v>
      </c>
      <c r="BJ10721" s="3" t="s">
        <v>17500</v>
      </c>
      <c r="BK10721" s="3" t="s">
        <v>17501</v>
      </c>
      <c r="BL10721" s="3" t="s">
        <v>17502</v>
      </c>
      <c r="BM10721" s="3" t="s">
        <v>17503</v>
      </c>
      <c r="BN10721" s="3" t="s">
        <v>11251</v>
      </c>
      <c r="BO10721" s="3" t="s">
        <v>17504</v>
      </c>
      <c r="BP10721" s="3" t="s">
        <v>11251</v>
      </c>
      <c r="BQ10721" s="3" t="s">
        <v>10169</v>
      </c>
      <c r="BR10721" s="3" t="s">
        <v>17505</v>
      </c>
      <c r="BS10721" s="3" t="s">
        <v>17504</v>
      </c>
      <c r="BT10721" s="3" t="s">
        <v>14440</v>
      </c>
      <c r="BU10721" s="3" t="s">
        <v>17506</v>
      </c>
      <c r="BV10721" s="3" t="s">
        <v>11251</v>
      </c>
      <c r="BW10721" s="3" t="s">
        <v>17507</v>
      </c>
      <c r="BX10721" s="3" t="s">
        <v>11251</v>
      </c>
      <c r="BY10721" s="3" t="s">
        <v>17508</v>
      </c>
      <c r="BZ10721" s="3" t="s">
        <v>17509</v>
      </c>
      <c r="CA10721" s="3" t="s">
        <v>17510</v>
      </c>
      <c r="CB10721" s="3" t="s">
        <v>11251</v>
      </c>
      <c r="CC10721" s="3" t="s">
        <v>10855</v>
      </c>
      <c r="CD10721" s="3" t="s">
        <v>11251</v>
      </c>
      <c r="CE10721" s="3" t="s">
        <v>17466</v>
      </c>
      <c r="CF10721" s="3" t="s">
        <v>1621</v>
      </c>
      <c r="CG10721" s="3" t="s">
        <v>14006</v>
      </c>
      <c r="CH10721" s="3" t="s">
        <v>11251</v>
      </c>
      <c r="CI10721" s="3" t="s">
        <v>2681</v>
      </c>
      <c r="CJ10721" s="3" t="s">
        <v>15048</v>
      </c>
      <c r="CK10721" s="3" t="s">
        <v>17511</v>
      </c>
      <c r="CL10721" s="3" t="s">
        <v>11251</v>
      </c>
      <c r="CM10721" s="3" t="s">
        <v>17512</v>
      </c>
    </row>
    <row r="10722">
      <c r="A10722" s="3">
        <v>2186.0</v>
      </c>
      <c r="B10722" s="3" t="s">
        <v>19423</v>
      </c>
      <c r="C10722" s="3" t="s">
        <v>11281</v>
      </c>
      <c r="D10722" s="3" t="s">
        <v>17513</v>
      </c>
      <c r="E10722" s="3" t="s">
        <v>17514</v>
      </c>
      <c r="F10722" s="3" t="s">
        <v>17513</v>
      </c>
    </row>
    <row r="10723">
      <c r="A10723" s="3">
        <v>2187.0</v>
      </c>
      <c r="B10723" s="3" t="s">
        <v>19423</v>
      </c>
      <c r="C10723" s="3" t="s">
        <v>11281</v>
      </c>
      <c r="D10723" s="3" t="s">
        <v>17515</v>
      </c>
      <c r="E10723" s="3" t="s">
        <v>17516</v>
      </c>
      <c r="F10723" s="3" t="s">
        <v>17515</v>
      </c>
    </row>
    <row r="10724">
      <c r="A10724" s="3">
        <v>2188.0</v>
      </c>
      <c r="B10724" s="3" t="s">
        <v>19423</v>
      </c>
      <c r="C10724" s="3" t="s">
        <v>11281</v>
      </c>
      <c r="D10724" s="3" t="s">
        <v>17517</v>
      </c>
      <c r="E10724" s="3" t="s">
        <v>17518</v>
      </c>
      <c r="F10724" s="3" t="s">
        <v>17517</v>
      </c>
    </row>
    <row r="10725">
      <c r="A10725" s="3">
        <v>2189.0</v>
      </c>
      <c r="B10725" s="3" t="s">
        <v>19423</v>
      </c>
      <c r="C10725" s="3" t="s">
        <v>11281</v>
      </c>
      <c r="D10725" s="3" t="s">
        <v>4699</v>
      </c>
      <c r="E10725" s="3" t="s">
        <v>4698</v>
      </c>
      <c r="F10725" s="3" t="s">
        <v>4699</v>
      </c>
    </row>
    <row r="10726">
      <c r="A10726" s="3">
        <v>2190.0</v>
      </c>
      <c r="B10726" s="3" t="s">
        <v>19423</v>
      </c>
      <c r="C10726" s="3" t="s">
        <v>11281</v>
      </c>
      <c r="D10726" s="3" t="s">
        <v>17519</v>
      </c>
      <c r="E10726" s="3" t="s">
        <v>17520</v>
      </c>
      <c r="F10726" s="3" t="s">
        <v>17519</v>
      </c>
      <c r="G10726" s="3"/>
      <c r="H10726" s="3" t="s">
        <v>17521</v>
      </c>
      <c r="I10726" s="3" t="s">
        <v>17166</v>
      </c>
      <c r="J10726" s="3" t="s">
        <v>17522</v>
      </c>
      <c r="K10726" s="3" t="s">
        <v>5747</v>
      </c>
    </row>
    <row r="10727">
      <c r="A10727" s="3">
        <v>2191.0</v>
      </c>
      <c r="B10727" s="3" t="s">
        <v>19423</v>
      </c>
      <c r="C10727" s="3" t="s">
        <v>11281</v>
      </c>
      <c r="D10727" s="3" t="s">
        <v>17523</v>
      </c>
      <c r="E10727" s="3" t="s">
        <v>17524</v>
      </c>
      <c r="F10727" s="3" t="s">
        <v>17523</v>
      </c>
    </row>
    <row r="10728">
      <c r="A10728" s="3">
        <v>2192.0</v>
      </c>
      <c r="B10728" s="3" t="s">
        <v>19423</v>
      </c>
      <c r="C10728" s="3" t="s">
        <v>11281</v>
      </c>
      <c r="D10728" s="3" t="s">
        <v>7616</v>
      </c>
      <c r="E10728" s="3" t="s">
        <v>7617</v>
      </c>
      <c r="F10728" s="3" t="s">
        <v>7616</v>
      </c>
      <c r="G10728" s="3"/>
      <c r="H10728" s="3" t="s">
        <v>1826</v>
      </c>
      <c r="I10728" s="3" t="s">
        <v>3889</v>
      </c>
      <c r="J10728" s="3" t="s">
        <v>3890</v>
      </c>
      <c r="K10728" s="3" t="s">
        <v>3893</v>
      </c>
      <c r="L10728" s="3" t="s">
        <v>3894</v>
      </c>
      <c r="M10728" s="3" t="s">
        <v>2055</v>
      </c>
      <c r="N10728" s="3" t="s">
        <v>17525</v>
      </c>
      <c r="O10728" s="3" t="s">
        <v>17526</v>
      </c>
      <c r="P10728" s="3" t="s">
        <v>17527</v>
      </c>
      <c r="Q10728" s="3" t="s">
        <v>17528</v>
      </c>
      <c r="R10728" s="3" t="s">
        <v>5363</v>
      </c>
      <c r="S10728" s="3" t="s">
        <v>17529</v>
      </c>
    </row>
    <row r="10729">
      <c r="A10729" s="3">
        <v>2193.0</v>
      </c>
      <c r="B10729" s="3" t="s">
        <v>19423</v>
      </c>
      <c r="C10729" s="3" t="s">
        <v>11281</v>
      </c>
      <c r="D10729" s="3" t="s">
        <v>17530</v>
      </c>
      <c r="E10729" s="3" t="s">
        <v>17531</v>
      </c>
      <c r="F10729" s="3" t="s">
        <v>17530</v>
      </c>
    </row>
    <row r="10730">
      <c r="A10730" s="3">
        <v>2194.0</v>
      </c>
      <c r="B10730" s="3" t="s">
        <v>19423</v>
      </c>
      <c r="C10730" s="3" t="s">
        <v>11281</v>
      </c>
      <c r="D10730" s="3" t="s">
        <v>17532</v>
      </c>
      <c r="E10730" s="3" t="s">
        <v>17533</v>
      </c>
      <c r="F10730" s="3" t="s">
        <v>17532</v>
      </c>
    </row>
    <row r="10731">
      <c r="A10731" s="3">
        <v>2195.0</v>
      </c>
      <c r="B10731" s="3" t="s">
        <v>19423</v>
      </c>
      <c r="C10731" s="3" t="s">
        <v>11281</v>
      </c>
      <c r="D10731" s="3" t="s">
        <v>17534</v>
      </c>
      <c r="E10731" s="3" t="s">
        <v>17535</v>
      </c>
      <c r="F10731" s="3" t="s">
        <v>17534</v>
      </c>
    </row>
    <row r="10732">
      <c r="A10732" s="3">
        <v>2196.0</v>
      </c>
      <c r="B10732" s="3" t="s">
        <v>19423</v>
      </c>
      <c r="C10732" s="3" t="s">
        <v>11281</v>
      </c>
      <c r="D10732" s="3" t="s">
        <v>4720</v>
      </c>
      <c r="E10732" s="3" t="s">
        <v>7628</v>
      </c>
      <c r="F10732" s="3" t="s">
        <v>4720</v>
      </c>
    </row>
    <row r="10733">
      <c r="A10733" s="3">
        <v>2197.0</v>
      </c>
      <c r="B10733" s="3" t="s">
        <v>19423</v>
      </c>
      <c r="C10733" s="3" t="s">
        <v>11281</v>
      </c>
      <c r="D10733" s="3" t="s">
        <v>17536</v>
      </c>
      <c r="E10733" s="3" t="s">
        <v>17537</v>
      </c>
      <c r="F10733" s="3" t="s">
        <v>17536</v>
      </c>
    </row>
    <row r="10734">
      <c r="A10734" s="3">
        <v>2198.0</v>
      </c>
      <c r="B10734" s="3" t="s">
        <v>19423</v>
      </c>
      <c r="C10734" s="3" t="s">
        <v>11281</v>
      </c>
      <c r="D10734" s="3" t="s">
        <v>17538</v>
      </c>
      <c r="E10734" s="3" t="s">
        <v>17539</v>
      </c>
      <c r="F10734" s="3" t="s">
        <v>17538</v>
      </c>
      <c r="G10734" s="3"/>
      <c r="H10734" s="3" t="s">
        <v>17540</v>
      </c>
    </row>
    <row r="10735">
      <c r="A10735" s="3">
        <v>2199.0</v>
      </c>
      <c r="B10735" s="3" t="s">
        <v>19423</v>
      </c>
      <c r="C10735" s="3" t="s">
        <v>11281</v>
      </c>
      <c r="D10735" s="3" t="s">
        <v>17541</v>
      </c>
      <c r="E10735" s="3" t="s">
        <v>17542</v>
      </c>
      <c r="F10735" s="3" t="s">
        <v>17541</v>
      </c>
    </row>
    <row r="10736">
      <c r="A10736" s="3">
        <v>2200.0</v>
      </c>
      <c r="B10736" s="3" t="s">
        <v>19423</v>
      </c>
      <c r="C10736" s="3" t="s">
        <v>11281</v>
      </c>
      <c r="D10736" s="3" t="s">
        <v>17543</v>
      </c>
      <c r="E10736" s="3" t="s">
        <v>17544</v>
      </c>
      <c r="F10736" s="3" t="s">
        <v>17543</v>
      </c>
    </row>
    <row r="10737">
      <c r="A10737" s="3">
        <v>2201.0</v>
      </c>
      <c r="B10737" s="3" t="s">
        <v>19423</v>
      </c>
      <c r="C10737" s="3" t="s">
        <v>11281</v>
      </c>
      <c r="D10737" s="3" t="s">
        <v>17545</v>
      </c>
      <c r="E10737" s="3" t="s">
        <v>17546</v>
      </c>
      <c r="F10737" s="3" t="s">
        <v>17545</v>
      </c>
    </row>
    <row r="10738">
      <c r="A10738" s="3">
        <v>2202.0</v>
      </c>
      <c r="B10738" s="3" t="s">
        <v>19423</v>
      </c>
      <c r="C10738" s="3" t="s">
        <v>11281</v>
      </c>
      <c r="D10738" s="3" t="s">
        <v>7632</v>
      </c>
      <c r="E10738" s="3" t="s">
        <v>7634</v>
      </c>
      <c r="F10738" s="3" t="s">
        <v>7632</v>
      </c>
    </row>
    <row r="10739">
      <c r="A10739" s="3">
        <v>2203.0</v>
      </c>
      <c r="B10739" s="3" t="s">
        <v>19423</v>
      </c>
      <c r="C10739" s="3" t="s">
        <v>11281</v>
      </c>
      <c r="D10739" s="3" t="s">
        <v>17547</v>
      </c>
      <c r="E10739" s="3" t="s">
        <v>17548</v>
      </c>
      <c r="F10739" s="3" t="s">
        <v>17547</v>
      </c>
    </row>
    <row r="10740">
      <c r="A10740" s="3">
        <v>2204.0</v>
      </c>
      <c r="B10740" s="3" t="s">
        <v>19423</v>
      </c>
      <c r="C10740" s="3" t="s">
        <v>11281</v>
      </c>
      <c r="D10740" s="3" t="s">
        <v>17549</v>
      </c>
      <c r="E10740" s="3" t="s">
        <v>17550</v>
      </c>
      <c r="F10740" s="3" t="s">
        <v>17549</v>
      </c>
    </row>
    <row r="10741">
      <c r="A10741" s="3">
        <v>2205.0</v>
      </c>
      <c r="B10741" s="3" t="s">
        <v>19423</v>
      </c>
      <c r="C10741" s="3" t="s">
        <v>11281</v>
      </c>
      <c r="D10741" s="3" t="s">
        <v>17551</v>
      </c>
      <c r="E10741" s="3" t="s">
        <v>17552</v>
      </c>
      <c r="F10741" s="3" t="s">
        <v>17551</v>
      </c>
    </row>
    <row r="10742">
      <c r="A10742" s="3">
        <v>2206.0</v>
      </c>
      <c r="B10742" s="3" t="s">
        <v>19423</v>
      </c>
      <c r="C10742" s="3" t="s">
        <v>11281</v>
      </c>
      <c r="D10742" s="3" t="s">
        <v>17553</v>
      </c>
      <c r="E10742" s="3" t="s">
        <v>17554</v>
      </c>
      <c r="F10742" s="3" t="s">
        <v>17553</v>
      </c>
    </row>
    <row r="10743">
      <c r="A10743" s="3">
        <v>2207.0</v>
      </c>
      <c r="B10743" s="3" t="s">
        <v>19423</v>
      </c>
      <c r="C10743" s="3" t="s">
        <v>11281</v>
      </c>
      <c r="D10743" s="3" t="s">
        <v>17555</v>
      </c>
      <c r="E10743" s="3" t="s">
        <v>17556</v>
      </c>
      <c r="F10743" s="3" t="s">
        <v>17555</v>
      </c>
    </row>
    <row r="10744">
      <c r="A10744" s="3">
        <v>2208.0</v>
      </c>
      <c r="B10744" s="3" t="s">
        <v>19423</v>
      </c>
      <c r="C10744" s="3" t="s">
        <v>11281</v>
      </c>
      <c r="D10744" s="3" t="s">
        <v>17557</v>
      </c>
      <c r="E10744" s="3" t="s">
        <v>17558</v>
      </c>
      <c r="F10744" s="3" t="s">
        <v>17557</v>
      </c>
    </row>
    <row r="10745">
      <c r="A10745" s="3">
        <v>2209.0</v>
      </c>
      <c r="B10745" s="3" t="s">
        <v>19423</v>
      </c>
      <c r="C10745" s="3" t="s">
        <v>11281</v>
      </c>
      <c r="D10745" s="3" t="s">
        <v>17559</v>
      </c>
      <c r="E10745" s="3" t="s">
        <v>17560</v>
      </c>
      <c r="F10745" s="3" t="s">
        <v>17559</v>
      </c>
    </row>
    <row r="10746">
      <c r="A10746" s="3">
        <v>2210.0</v>
      </c>
      <c r="B10746" s="3" t="s">
        <v>19423</v>
      </c>
      <c r="C10746" s="3" t="s">
        <v>11281</v>
      </c>
      <c r="D10746" s="3" t="s">
        <v>17561</v>
      </c>
      <c r="E10746" s="3" t="s">
        <v>20322</v>
      </c>
      <c r="F10746" s="3" t="s">
        <v>5192</v>
      </c>
      <c r="G10746" s="3"/>
      <c r="H10746" s="3" t="s">
        <v>17562</v>
      </c>
      <c r="I10746" s="3" t="s">
        <v>17563</v>
      </c>
      <c r="J10746" s="3" t="s">
        <v>4389</v>
      </c>
      <c r="K10746" s="3" t="s">
        <v>4390</v>
      </c>
      <c r="L10746" s="3" t="s">
        <v>4391</v>
      </c>
      <c r="M10746" s="3" t="s">
        <v>4389</v>
      </c>
      <c r="N10746" s="3" t="s">
        <v>4392</v>
      </c>
      <c r="O10746" s="3" t="s">
        <v>4393</v>
      </c>
      <c r="P10746" s="3" t="s">
        <v>4394</v>
      </c>
      <c r="Q10746" s="3" t="s">
        <v>4395</v>
      </c>
      <c r="R10746" s="3" t="s">
        <v>4396</v>
      </c>
      <c r="S10746" s="3" t="s">
        <v>4397</v>
      </c>
      <c r="T10746" s="3" t="s">
        <v>17564</v>
      </c>
      <c r="U10746" s="3" t="s">
        <v>17565</v>
      </c>
      <c r="V10746" s="3" t="s">
        <v>17566</v>
      </c>
      <c r="W10746" s="3" t="s">
        <v>4389</v>
      </c>
      <c r="X10746" s="3" t="s">
        <v>4389</v>
      </c>
      <c r="Y10746" s="3" t="s">
        <v>17567</v>
      </c>
      <c r="Z10746" s="3" t="s">
        <v>4392</v>
      </c>
    </row>
    <row r="10747">
      <c r="A10747" s="3">
        <v>2211.0</v>
      </c>
      <c r="B10747" s="3" t="s">
        <v>19423</v>
      </c>
      <c r="C10747" s="3" t="s">
        <v>11281</v>
      </c>
      <c r="D10747" s="3" t="s">
        <v>17568</v>
      </c>
      <c r="E10747" s="3" t="s">
        <v>20323</v>
      </c>
      <c r="F10747" s="3" t="s">
        <v>20324</v>
      </c>
    </row>
    <row r="10748">
      <c r="A10748" s="3">
        <v>2212.0</v>
      </c>
      <c r="B10748" s="3" t="s">
        <v>19423</v>
      </c>
      <c r="C10748" s="3" t="s">
        <v>11281</v>
      </c>
      <c r="D10748" s="3" t="s">
        <v>17569</v>
      </c>
      <c r="E10748" s="3" t="s">
        <v>20325</v>
      </c>
      <c r="F10748" s="3" t="s">
        <v>20326</v>
      </c>
    </row>
    <row r="10749">
      <c r="A10749" s="3">
        <v>2213.0</v>
      </c>
      <c r="B10749" s="3" t="s">
        <v>19423</v>
      </c>
      <c r="C10749" s="3" t="s">
        <v>11281</v>
      </c>
      <c r="D10749" s="3" t="s">
        <v>17570</v>
      </c>
      <c r="E10749" s="3" t="s">
        <v>20327</v>
      </c>
      <c r="F10749" s="3" t="s">
        <v>20328</v>
      </c>
    </row>
    <row r="10750">
      <c r="A10750" s="3">
        <v>2214.0</v>
      </c>
      <c r="B10750" s="3" t="s">
        <v>19423</v>
      </c>
      <c r="C10750" s="3" t="s">
        <v>11281</v>
      </c>
      <c r="D10750" s="3" t="s">
        <v>17571</v>
      </c>
      <c r="E10750" s="3" t="s">
        <v>4935</v>
      </c>
      <c r="F10750" s="3" t="s">
        <v>4934</v>
      </c>
    </row>
    <row r="10751">
      <c r="A10751" s="3">
        <v>2215.0</v>
      </c>
      <c r="B10751" s="3" t="s">
        <v>19423</v>
      </c>
      <c r="C10751" s="3" t="s">
        <v>11281</v>
      </c>
      <c r="D10751" s="3" t="s">
        <v>4934</v>
      </c>
      <c r="E10751" s="3" t="s">
        <v>4935</v>
      </c>
      <c r="F10751" s="3" t="s">
        <v>4934</v>
      </c>
      <c r="G10751" s="3"/>
      <c r="H10751" s="3" t="s">
        <v>4934</v>
      </c>
    </row>
    <row r="10752">
      <c r="A10752" s="3">
        <v>2216.0</v>
      </c>
      <c r="B10752" s="3" t="s">
        <v>19423</v>
      </c>
      <c r="C10752" s="3" t="s">
        <v>11281</v>
      </c>
      <c r="D10752" s="3" t="s">
        <v>17572</v>
      </c>
      <c r="E10752" s="3" t="s">
        <v>7693</v>
      </c>
      <c r="F10752" s="3" t="s">
        <v>5138</v>
      </c>
      <c r="G10752" s="3"/>
      <c r="H10752" s="3" t="s">
        <v>4975</v>
      </c>
      <c r="I10752" s="3" t="s">
        <v>4976</v>
      </c>
    </row>
    <row r="10753">
      <c r="A10753" s="3">
        <v>2217.0</v>
      </c>
      <c r="B10753" s="3" t="s">
        <v>19423</v>
      </c>
      <c r="C10753" s="3" t="s">
        <v>11281</v>
      </c>
      <c r="D10753" s="3" t="s">
        <v>17573</v>
      </c>
      <c r="E10753" s="3" t="s">
        <v>17574</v>
      </c>
      <c r="F10753" s="3" t="s">
        <v>17575</v>
      </c>
    </row>
    <row r="10754">
      <c r="A10754" s="3">
        <v>2218.0</v>
      </c>
      <c r="B10754" s="3" t="s">
        <v>19423</v>
      </c>
      <c r="C10754" s="3" t="s">
        <v>11281</v>
      </c>
      <c r="D10754" s="3" t="s">
        <v>17576</v>
      </c>
      <c r="E10754" s="3" t="s">
        <v>17577</v>
      </c>
      <c r="F10754" s="3" t="s">
        <v>17578</v>
      </c>
    </row>
    <row r="10755">
      <c r="A10755" s="3">
        <v>2219.0</v>
      </c>
      <c r="B10755" s="3" t="s">
        <v>19423</v>
      </c>
      <c r="C10755" s="3" t="s">
        <v>11281</v>
      </c>
      <c r="D10755" s="3" t="s">
        <v>17579</v>
      </c>
      <c r="E10755" s="3" t="s">
        <v>17580</v>
      </c>
      <c r="F10755" s="3" t="s">
        <v>17581</v>
      </c>
    </row>
    <row r="10756">
      <c r="A10756" s="3">
        <v>2220.0</v>
      </c>
      <c r="B10756" s="3" t="s">
        <v>19423</v>
      </c>
      <c r="C10756" s="3" t="s">
        <v>11281</v>
      </c>
      <c r="D10756" s="3" t="s">
        <v>17582</v>
      </c>
      <c r="E10756" s="3" t="s">
        <v>17583</v>
      </c>
      <c r="F10756" s="3" t="s">
        <v>17584</v>
      </c>
    </row>
    <row r="10757">
      <c r="A10757" s="3">
        <v>2221.0</v>
      </c>
      <c r="B10757" s="3" t="s">
        <v>19423</v>
      </c>
      <c r="C10757" s="3" t="s">
        <v>11281</v>
      </c>
      <c r="D10757" s="3" t="s">
        <v>17585</v>
      </c>
      <c r="E10757" s="3" t="s">
        <v>17586</v>
      </c>
      <c r="F10757" s="3" t="s">
        <v>17587</v>
      </c>
    </row>
    <row r="10758">
      <c r="A10758" s="3">
        <v>2222.0</v>
      </c>
      <c r="B10758" s="3" t="s">
        <v>19423</v>
      </c>
      <c r="C10758" s="3" t="s">
        <v>11281</v>
      </c>
      <c r="D10758" s="3" t="s">
        <v>17588</v>
      </c>
      <c r="E10758" s="3" t="s">
        <v>8408</v>
      </c>
      <c r="F10758" s="3" t="s">
        <v>8409</v>
      </c>
    </row>
    <row r="10759">
      <c r="A10759" s="3">
        <v>2223.0</v>
      </c>
      <c r="B10759" s="3" t="s">
        <v>19423</v>
      </c>
      <c r="C10759" s="3" t="s">
        <v>11281</v>
      </c>
      <c r="D10759" s="3" t="s">
        <v>17589</v>
      </c>
      <c r="E10759" s="3" t="s">
        <v>17590</v>
      </c>
      <c r="F10759" s="3" t="s">
        <v>17591</v>
      </c>
    </row>
    <row r="10760">
      <c r="A10760" s="3">
        <v>2224.0</v>
      </c>
      <c r="B10760" s="3" t="s">
        <v>19423</v>
      </c>
      <c r="C10760" s="3" t="s">
        <v>11281</v>
      </c>
      <c r="D10760" s="3" t="s">
        <v>17592</v>
      </c>
      <c r="E10760" s="3" t="s">
        <v>17593</v>
      </c>
      <c r="F10760" s="3" t="s">
        <v>17594</v>
      </c>
      <c r="G10760" s="3"/>
      <c r="H10760" s="3" t="s">
        <v>17595</v>
      </c>
      <c r="I10760" s="3" t="s">
        <v>3161</v>
      </c>
      <c r="J10760" s="3" t="s">
        <v>17596</v>
      </c>
      <c r="K10760" s="3" t="s">
        <v>17597</v>
      </c>
      <c r="L10760" s="3" t="s">
        <v>17598</v>
      </c>
      <c r="M10760" s="3" t="s">
        <v>16038</v>
      </c>
      <c r="N10760" s="3" t="s">
        <v>13041</v>
      </c>
      <c r="O10760" s="3" t="s">
        <v>17599</v>
      </c>
      <c r="P10760" s="3" t="s">
        <v>17600</v>
      </c>
      <c r="Q10760" s="3" t="s">
        <v>17601</v>
      </c>
      <c r="R10760" s="3" t="s">
        <v>17602</v>
      </c>
      <c r="S10760" s="3" t="s">
        <v>17603</v>
      </c>
      <c r="T10760" s="3" t="s">
        <v>17167</v>
      </c>
      <c r="U10760" s="3" t="s">
        <v>326</v>
      </c>
      <c r="V10760" s="3" t="s">
        <v>17604</v>
      </c>
      <c r="W10760" s="3" t="s">
        <v>12741</v>
      </c>
      <c r="X10760" s="3" t="s">
        <v>17605</v>
      </c>
      <c r="Y10760" s="3" t="s">
        <v>17605</v>
      </c>
      <c r="Z10760" s="3" t="s">
        <v>12659</v>
      </c>
      <c r="AA10760" s="3" t="s">
        <v>12660</v>
      </c>
      <c r="AB10760" s="3" t="s">
        <v>12661</v>
      </c>
      <c r="AC10760" s="3" t="s">
        <v>2132</v>
      </c>
      <c r="AD10760" s="3" t="s">
        <v>12662</v>
      </c>
      <c r="AE10760" s="3" t="s">
        <v>12659</v>
      </c>
      <c r="AF10760" s="3" t="s">
        <v>13848</v>
      </c>
      <c r="AG10760" s="3" t="s">
        <v>17606</v>
      </c>
      <c r="AH10760" s="3" t="s">
        <v>17607</v>
      </c>
      <c r="AI10760" s="3" t="s">
        <v>17608</v>
      </c>
      <c r="AJ10760" s="3" t="s">
        <v>17609</v>
      </c>
      <c r="AK10760" s="3" t="s">
        <v>17610</v>
      </c>
      <c r="AL10760" s="3" t="s">
        <v>17611</v>
      </c>
      <c r="AM10760" s="3" t="s">
        <v>17412</v>
      </c>
      <c r="AN10760" s="3" t="s">
        <v>17612</v>
      </c>
      <c r="AO10760" s="3" t="s">
        <v>7513</v>
      </c>
      <c r="AP10760" s="3" t="s">
        <v>17613</v>
      </c>
      <c r="AQ10760" s="3" t="s">
        <v>13041</v>
      </c>
      <c r="AR10760" s="3" t="s">
        <v>13041</v>
      </c>
      <c r="AS10760" s="3" t="s">
        <v>17167</v>
      </c>
      <c r="AT10760" s="3" t="s">
        <v>17416</v>
      </c>
      <c r="AU10760" s="3" t="s">
        <v>17599</v>
      </c>
      <c r="AV10760" s="3" t="s">
        <v>17613</v>
      </c>
      <c r="AW10760" s="3" t="s">
        <v>7513</v>
      </c>
      <c r="AX10760" s="3" t="s">
        <v>17614</v>
      </c>
      <c r="AY10760" s="3" t="s">
        <v>17615</v>
      </c>
      <c r="AZ10760" s="3" t="s">
        <v>5150</v>
      </c>
      <c r="BA10760" s="3" t="s">
        <v>17616</v>
      </c>
      <c r="BB10760" s="3" t="s">
        <v>15491</v>
      </c>
      <c r="BC10760" s="3" t="s">
        <v>17617</v>
      </c>
      <c r="BD10760" s="3" t="s">
        <v>17618</v>
      </c>
      <c r="BE10760" s="3" t="s">
        <v>17619</v>
      </c>
      <c r="BF10760" s="3" t="s">
        <v>17620</v>
      </c>
      <c r="BG10760" s="3" t="s">
        <v>3342</v>
      </c>
      <c r="BH10760" s="3" t="s">
        <v>3342</v>
      </c>
      <c r="BI10760" s="3" t="s">
        <v>3342</v>
      </c>
      <c r="BJ10760" s="3" t="s">
        <v>7513</v>
      </c>
      <c r="BK10760" s="3" t="s">
        <v>17599</v>
      </c>
      <c r="BL10760" s="3" t="s">
        <v>17621</v>
      </c>
      <c r="BM10760" s="3" t="s">
        <v>5311</v>
      </c>
    </row>
    <row r="10761">
      <c r="A10761" s="3">
        <v>2225.0</v>
      </c>
      <c r="B10761" s="3" t="s">
        <v>19423</v>
      </c>
      <c r="C10761" s="3" t="s">
        <v>11281</v>
      </c>
      <c r="D10761" s="3" t="s">
        <v>17622</v>
      </c>
      <c r="E10761" s="3" t="s">
        <v>17623</v>
      </c>
      <c r="F10761" s="3" t="s">
        <v>17624</v>
      </c>
    </row>
    <row r="10762">
      <c r="A10762" s="3">
        <v>2226.0</v>
      </c>
      <c r="B10762" s="3" t="s">
        <v>19423</v>
      </c>
      <c r="C10762" s="3" t="s">
        <v>11281</v>
      </c>
      <c r="D10762" s="3" t="s">
        <v>17625</v>
      </c>
      <c r="E10762" s="3" t="s">
        <v>17626</v>
      </c>
      <c r="F10762" s="3" t="s">
        <v>17627</v>
      </c>
    </row>
    <row r="10763">
      <c r="A10763" s="3">
        <v>2227.0</v>
      </c>
      <c r="B10763" s="3" t="s">
        <v>19423</v>
      </c>
      <c r="C10763" s="3" t="s">
        <v>11281</v>
      </c>
      <c r="D10763" s="3" t="s">
        <v>17628</v>
      </c>
      <c r="E10763" s="3" t="s">
        <v>17629</v>
      </c>
      <c r="F10763" s="3" t="s">
        <v>17630</v>
      </c>
    </row>
    <row r="10764">
      <c r="A10764" s="3">
        <v>2228.0</v>
      </c>
      <c r="B10764" s="3" t="s">
        <v>19423</v>
      </c>
      <c r="C10764" s="3" t="s">
        <v>11281</v>
      </c>
      <c r="D10764" s="3" t="s">
        <v>17631</v>
      </c>
      <c r="E10764" s="3" t="s">
        <v>20329</v>
      </c>
      <c r="F10764" s="3" t="s">
        <v>20330</v>
      </c>
    </row>
    <row r="10765">
      <c r="A10765" s="3">
        <v>2229.0</v>
      </c>
      <c r="B10765" s="3" t="s">
        <v>19423</v>
      </c>
      <c r="C10765" s="3" t="s">
        <v>11281</v>
      </c>
      <c r="D10765" s="3" t="s">
        <v>17634</v>
      </c>
      <c r="E10765" s="3" t="s">
        <v>20331</v>
      </c>
      <c r="F10765" s="3" t="s">
        <v>20332</v>
      </c>
    </row>
    <row r="10766">
      <c r="A10766" s="3">
        <v>2230.0</v>
      </c>
      <c r="B10766" s="3" t="s">
        <v>19423</v>
      </c>
      <c r="C10766" s="3" t="s">
        <v>11281</v>
      </c>
      <c r="D10766" s="3" t="s">
        <v>17637</v>
      </c>
      <c r="E10766" s="3" t="s">
        <v>20333</v>
      </c>
      <c r="F10766" s="3" t="s">
        <v>20334</v>
      </c>
    </row>
    <row r="10767">
      <c r="A10767" s="3">
        <v>2231.0</v>
      </c>
      <c r="B10767" s="3" t="s">
        <v>19423</v>
      </c>
      <c r="C10767" s="3" t="s">
        <v>11281</v>
      </c>
      <c r="D10767" s="3" t="s">
        <v>17640</v>
      </c>
      <c r="E10767" s="3" t="s">
        <v>20335</v>
      </c>
      <c r="F10767" s="3" t="s">
        <v>20336</v>
      </c>
    </row>
    <row r="10768">
      <c r="A10768" s="3">
        <v>2232.0</v>
      </c>
      <c r="B10768" s="3" t="s">
        <v>19423</v>
      </c>
      <c r="C10768" s="3" t="s">
        <v>11281</v>
      </c>
      <c r="D10768" s="3" t="s">
        <v>17643</v>
      </c>
      <c r="E10768" s="3" t="s">
        <v>20337</v>
      </c>
      <c r="F10768" s="3" t="s">
        <v>20338</v>
      </c>
    </row>
    <row r="10769">
      <c r="A10769" s="3">
        <v>2233.0</v>
      </c>
      <c r="B10769" s="3" t="s">
        <v>19423</v>
      </c>
      <c r="C10769" s="3" t="s">
        <v>11281</v>
      </c>
      <c r="D10769" s="3" t="s">
        <v>17646</v>
      </c>
      <c r="E10769" s="3" t="s">
        <v>20339</v>
      </c>
      <c r="F10769" s="3" t="s">
        <v>20340</v>
      </c>
    </row>
    <row r="10770">
      <c r="A10770" s="3">
        <v>2234.0</v>
      </c>
      <c r="B10770" s="3" t="s">
        <v>19423</v>
      </c>
      <c r="C10770" s="3" t="s">
        <v>11281</v>
      </c>
      <c r="D10770" s="3" t="s">
        <v>17649</v>
      </c>
      <c r="E10770" s="3" t="s">
        <v>20341</v>
      </c>
      <c r="F10770" s="3" t="s">
        <v>20342</v>
      </c>
    </row>
    <row r="10771">
      <c r="A10771" s="3">
        <v>2235.0</v>
      </c>
      <c r="B10771" s="3" t="s">
        <v>19423</v>
      </c>
      <c r="C10771" s="3" t="s">
        <v>11281</v>
      </c>
      <c r="D10771" s="3" t="s">
        <v>17652</v>
      </c>
      <c r="E10771" s="3" t="s">
        <v>20343</v>
      </c>
      <c r="F10771" s="3" t="s">
        <v>20344</v>
      </c>
    </row>
    <row r="10772">
      <c r="A10772" s="3">
        <v>2236.0</v>
      </c>
      <c r="B10772" s="3" t="s">
        <v>19423</v>
      </c>
      <c r="C10772" s="3" t="s">
        <v>11281</v>
      </c>
      <c r="D10772" s="3" t="s">
        <v>17655</v>
      </c>
      <c r="E10772" s="3" t="s">
        <v>20345</v>
      </c>
      <c r="F10772" s="3" t="s">
        <v>20346</v>
      </c>
    </row>
    <row r="10773">
      <c r="A10773" s="3">
        <v>2237.0</v>
      </c>
      <c r="B10773" s="3" t="s">
        <v>19423</v>
      </c>
      <c r="C10773" s="3" t="s">
        <v>11281</v>
      </c>
      <c r="D10773" s="3" t="s">
        <v>17658</v>
      </c>
      <c r="E10773" s="3" t="s">
        <v>7696</v>
      </c>
      <c r="F10773" s="3" t="s">
        <v>5147</v>
      </c>
    </row>
    <row r="10774">
      <c r="A10774" s="3">
        <v>2238.0</v>
      </c>
      <c r="B10774" s="3" t="s">
        <v>19423</v>
      </c>
      <c r="C10774" s="3" t="s">
        <v>11281</v>
      </c>
      <c r="D10774" s="3" t="s">
        <v>17659</v>
      </c>
      <c r="E10774" s="3" t="s">
        <v>17660</v>
      </c>
      <c r="F10774" s="3" t="s">
        <v>17661</v>
      </c>
    </row>
    <row r="10775">
      <c r="A10775" s="3">
        <v>2239.0</v>
      </c>
      <c r="B10775" s="3" t="s">
        <v>19423</v>
      </c>
      <c r="C10775" s="3" t="s">
        <v>11281</v>
      </c>
      <c r="D10775" s="3" t="s">
        <v>17662</v>
      </c>
      <c r="E10775" s="3" t="s">
        <v>17663</v>
      </c>
      <c r="F10775" s="3" t="s">
        <v>17664</v>
      </c>
    </row>
    <row r="10776">
      <c r="A10776" s="3">
        <v>2240.0</v>
      </c>
      <c r="B10776" s="3" t="s">
        <v>19423</v>
      </c>
      <c r="C10776" s="3" t="s">
        <v>11281</v>
      </c>
      <c r="D10776" s="3" t="s">
        <v>5002</v>
      </c>
      <c r="E10776" s="3" t="s">
        <v>7659</v>
      </c>
      <c r="F10776" s="3" t="s">
        <v>5002</v>
      </c>
      <c r="G10776" s="3"/>
      <c r="H10776" s="3" t="s">
        <v>5027</v>
      </c>
      <c r="I10776" s="3" t="s">
        <v>5028</v>
      </c>
      <c r="J10776" s="3" t="s">
        <v>5378</v>
      </c>
      <c r="K10776" s="3" t="s">
        <v>17481</v>
      </c>
      <c r="L10776" s="3" t="s">
        <v>3563</v>
      </c>
      <c r="M10776" s="3" t="s">
        <v>3564</v>
      </c>
      <c r="N10776" s="3" t="s">
        <v>3565</v>
      </c>
      <c r="O10776" s="3" t="s">
        <v>3566</v>
      </c>
      <c r="P10776" s="3" t="s">
        <v>3567</v>
      </c>
      <c r="Q10776" s="3" t="s">
        <v>3568</v>
      </c>
      <c r="R10776" s="3" t="s">
        <v>3596</v>
      </c>
      <c r="S10776" s="3" t="s">
        <v>3575</v>
      </c>
      <c r="T10776" s="3" t="s">
        <v>3576</v>
      </c>
      <c r="U10776" s="3" t="s">
        <v>3577</v>
      </c>
      <c r="V10776" s="3" t="s">
        <v>3578</v>
      </c>
      <c r="W10776" s="3" t="s">
        <v>3579</v>
      </c>
      <c r="X10776" s="3" t="s">
        <v>3580</v>
      </c>
      <c r="Y10776" s="3" t="s">
        <v>3564</v>
      </c>
      <c r="Z10776" s="3" t="s">
        <v>3581</v>
      </c>
      <c r="AA10776" s="3" t="s">
        <v>3557</v>
      </c>
      <c r="AB10776" s="3" t="s">
        <v>3582</v>
      </c>
      <c r="AC10776" s="3" t="s">
        <v>3583</v>
      </c>
      <c r="AD10776" s="3" t="s">
        <v>3584</v>
      </c>
      <c r="AE10776" s="3" t="s">
        <v>3585</v>
      </c>
      <c r="AF10776" s="3" t="s">
        <v>3586</v>
      </c>
      <c r="AG10776" s="3" t="s">
        <v>3587</v>
      </c>
      <c r="AH10776" s="3" t="s">
        <v>3588</v>
      </c>
      <c r="AI10776" s="3" t="s">
        <v>3563</v>
      </c>
      <c r="AJ10776" s="3" t="s">
        <v>3589</v>
      </c>
      <c r="AK10776" s="3" t="s">
        <v>3590</v>
      </c>
      <c r="AL10776" s="3" t="s">
        <v>3591</v>
      </c>
      <c r="AM10776" s="3" t="s">
        <v>3592</v>
      </c>
      <c r="AN10776" s="3" t="s">
        <v>3593</v>
      </c>
      <c r="AO10776" s="3" t="s">
        <v>3594</v>
      </c>
      <c r="AP10776" s="3" t="s">
        <v>3595</v>
      </c>
      <c r="AQ10776" s="3" t="s">
        <v>3596</v>
      </c>
      <c r="AR10776" s="3" t="s">
        <v>3597</v>
      </c>
      <c r="AS10776" s="3" t="s">
        <v>3598</v>
      </c>
      <c r="AT10776" s="3" t="s">
        <v>17665</v>
      </c>
      <c r="AU10776" s="3" t="s">
        <v>17666</v>
      </c>
      <c r="AV10776" s="3" t="s">
        <v>17667</v>
      </c>
      <c r="AW10776" s="3" t="s">
        <v>17668</v>
      </c>
      <c r="AX10776" s="3" t="s">
        <v>5042</v>
      </c>
      <c r="AY10776" s="3" t="s">
        <v>17669</v>
      </c>
      <c r="AZ10776" s="3" t="s">
        <v>17670</v>
      </c>
      <c r="BA10776" s="3" t="s">
        <v>17671</v>
      </c>
      <c r="BB10776" s="3" t="s">
        <v>17672</v>
      </c>
      <c r="BC10776" s="3" t="s">
        <v>17673</v>
      </c>
      <c r="BD10776" s="3" t="s">
        <v>17674</v>
      </c>
      <c r="BE10776" s="3" t="s">
        <v>17675</v>
      </c>
      <c r="BF10776" s="3" t="s">
        <v>17676</v>
      </c>
      <c r="BG10776" s="3" t="s">
        <v>17677</v>
      </c>
      <c r="BH10776" s="3" t="s">
        <v>17678</v>
      </c>
    </row>
    <row r="10777">
      <c r="A10777" s="3">
        <v>2241.0</v>
      </c>
      <c r="B10777" s="3" t="s">
        <v>19423</v>
      </c>
      <c r="C10777" s="3" t="s">
        <v>11281</v>
      </c>
      <c r="D10777" s="3" t="s">
        <v>17679</v>
      </c>
      <c r="E10777" s="3" t="s">
        <v>17680</v>
      </c>
      <c r="F10777" s="3" t="s">
        <v>17679</v>
      </c>
    </row>
    <row r="10778">
      <c r="A10778" s="3">
        <v>2242.0</v>
      </c>
      <c r="B10778" s="3" t="s">
        <v>19423</v>
      </c>
      <c r="C10778" s="3" t="s">
        <v>11281</v>
      </c>
      <c r="D10778" s="3" t="s">
        <v>17681</v>
      </c>
      <c r="E10778" s="3" t="s">
        <v>17682</v>
      </c>
      <c r="F10778" s="3" t="s">
        <v>17681</v>
      </c>
    </row>
    <row r="10779">
      <c r="A10779" s="3">
        <v>2243.0</v>
      </c>
      <c r="B10779" s="3" t="s">
        <v>19423</v>
      </c>
      <c r="C10779" s="3" t="s">
        <v>11281</v>
      </c>
      <c r="D10779" s="3" t="s">
        <v>17683</v>
      </c>
      <c r="E10779" s="3" t="s">
        <v>17684</v>
      </c>
      <c r="F10779" s="3" t="s">
        <v>17683</v>
      </c>
      <c r="G10779" s="3"/>
      <c r="H10779" s="3" t="s">
        <v>17685</v>
      </c>
      <c r="I10779" s="3" t="s">
        <v>17686</v>
      </c>
    </row>
    <row r="10780">
      <c r="A10780" s="3">
        <v>2244.0</v>
      </c>
      <c r="B10780" s="3" t="s">
        <v>19423</v>
      </c>
      <c r="C10780" s="3" t="s">
        <v>11281</v>
      </c>
      <c r="D10780" s="3" t="s">
        <v>5011</v>
      </c>
      <c r="E10780" s="3" t="s">
        <v>7661</v>
      </c>
      <c r="F10780" s="3" t="s">
        <v>5011</v>
      </c>
    </row>
    <row r="10781">
      <c r="A10781" s="3">
        <v>2245.0</v>
      </c>
      <c r="B10781" s="3" t="s">
        <v>19423</v>
      </c>
      <c r="C10781" s="3" t="s">
        <v>11281</v>
      </c>
      <c r="D10781" s="3" t="s">
        <v>17687</v>
      </c>
      <c r="E10781" s="3" t="s">
        <v>17688</v>
      </c>
      <c r="F10781" s="3" t="s">
        <v>17687</v>
      </c>
    </row>
    <row r="10782">
      <c r="A10782" s="3">
        <v>2246.0</v>
      </c>
      <c r="B10782" s="3" t="s">
        <v>19423</v>
      </c>
      <c r="C10782" s="3" t="s">
        <v>11281</v>
      </c>
      <c r="D10782" s="3" t="s">
        <v>17689</v>
      </c>
      <c r="E10782" s="3" t="s">
        <v>17690</v>
      </c>
      <c r="F10782" s="3" t="s">
        <v>17689</v>
      </c>
    </row>
    <row r="10783">
      <c r="A10783" s="3">
        <v>2247.0</v>
      </c>
      <c r="B10783" s="3" t="s">
        <v>19423</v>
      </c>
      <c r="C10783" s="3" t="s">
        <v>11281</v>
      </c>
      <c r="D10783" s="3" t="s">
        <v>7665</v>
      </c>
      <c r="E10783" s="3" t="s">
        <v>17691</v>
      </c>
      <c r="F10783" s="3" t="s">
        <v>7665</v>
      </c>
    </row>
    <row r="10784">
      <c r="A10784" s="3">
        <v>2248.0</v>
      </c>
      <c r="B10784" s="3" t="s">
        <v>19423</v>
      </c>
      <c r="C10784" s="3" t="s">
        <v>11281</v>
      </c>
      <c r="D10784" s="3" t="s">
        <v>17692</v>
      </c>
      <c r="E10784" s="3" t="s">
        <v>17693</v>
      </c>
      <c r="F10784" s="3" t="s">
        <v>17692</v>
      </c>
    </row>
    <row r="10785">
      <c r="A10785" s="3">
        <v>2249.0</v>
      </c>
      <c r="B10785" s="3" t="s">
        <v>19423</v>
      </c>
      <c r="C10785" s="3" t="s">
        <v>11281</v>
      </c>
      <c r="D10785" s="3" t="s">
        <v>17685</v>
      </c>
      <c r="E10785" s="3" t="s">
        <v>17694</v>
      </c>
      <c r="F10785" s="3" t="s">
        <v>17685</v>
      </c>
      <c r="G10785" s="3"/>
      <c r="H10785" s="3" t="s">
        <v>14103</v>
      </c>
      <c r="I10785" s="3" t="s">
        <v>17157</v>
      </c>
      <c r="J10785" s="3" t="s">
        <v>17158</v>
      </c>
      <c r="K10785" s="3" t="s">
        <v>17159</v>
      </c>
      <c r="L10785" s="3" t="s">
        <v>13735</v>
      </c>
      <c r="M10785" s="3" t="s">
        <v>17695</v>
      </c>
      <c r="N10785" s="3" t="s">
        <v>2677</v>
      </c>
      <c r="O10785" s="3" t="s">
        <v>17696</v>
      </c>
      <c r="P10785" s="3" t="s">
        <v>17697</v>
      </c>
      <c r="Q10785" s="3" t="s">
        <v>17698</v>
      </c>
      <c r="R10785" s="3" t="s">
        <v>17699</v>
      </c>
      <c r="S10785" s="3" t="s">
        <v>17695</v>
      </c>
      <c r="T10785" s="3" t="s">
        <v>5267</v>
      </c>
      <c r="U10785" s="3" t="s">
        <v>3894</v>
      </c>
      <c r="V10785" s="3" t="s">
        <v>17700</v>
      </c>
      <c r="W10785" s="3" t="s">
        <v>17701</v>
      </c>
      <c r="X10785" s="3" t="s">
        <v>17702</v>
      </c>
      <c r="Y10785" s="3" t="s">
        <v>5473</v>
      </c>
      <c r="Z10785" s="3" t="s">
        <v>17703</v>
      </c>
      <c r="AA10785" s="3" t="s">
        <v>17704</v>
      </c>
      <c r="AB10785" s="3" t="s">
        <v>17703</v>
      </c>
      <c r="AC10785" s="3" t="s">
        <v>17705</v>
      </c>
      <c r="AD10785" s="3" t="s">
        <v>14109</v>
      </c>
      <c r="AE10785" s="3" t="s">
        <v>14107</v>
      </c>
      <c r="AF10785" s="3" t="s">
        <v>17706</v>
      </c>
      <c r="AG10785" s="3" t="s">
        <v>17707</v>
      </c>
    </row>
    <row r="10786">
      <c r="A10786" s="3">
        <v>2250.0</v>
      </c>
      <c r="B10786" s="3" t="s">
        <v>19423</v>
      </c>
      <c r="C10786" s="3" t="s">
        <v>11281</v>
      </c>
      <c r="D10786" s="3" t="s">
        <v>17708</v>
      </c>
      <c r="E10786" s="3" t="s">
        <v>17709</v>
      </c>
      <c r="F10786" s="3" t="s">
        <v>17708</v>
      </c>
    </row>
    <row r="10787">
      <c r="A10787" s="3">
        <v>2251.0</v>
      </c>
      <c r="B10787" s="3" t="s">
        <v>19423</v>
      </c>
      <c r="C10787" s="3" t="s">
        <v>11281</v>
      </c>
      <c r="D10787" s="3" t="s">
        <v>17710</v>
      </c>
      <c r="E10787" s="3" t="s">
        <v>17711</v>
      </c>
      <c r="F10787" s="3" t="s">
        <v>17710</v>
      </c>
    </row>
    <row r="10788">
      <c r="A10788" s="3">
        <v>2252.0</v>
      </c>
      <c r="B10788" s="3" t="s">
        <v>19423</v>
      </c>
      <c r="C10788" s="3" t="s">
        <v>11281</v>
      </c>
      <c r="D10788" s="3" t="s">
        <v>17712</v>
      </c>
      <c r="E10788" s="3" t="s">
        <v>17713</v>
      </c>
      <c r="F10788" s="3" t="s">
        <v>17712</v>
      </c>
    </row>
    <row r="10789">
      <c r="A10789" s="3">
        <v>2253.0</v>
      </c>
      <c r="B10789" s="3" t="s">
        <v>19423</v>
      </c>
      <c r="C10789" s="3" t="s">
        <v>11281</v>
      </c>
      <c r="D10789" s="3" t="s">
        <v>7668</v>
      </c>
      <c r="E10789" s="3" t="s">
        <v>17714</v>
      </c>
      <c r="F10789" s="3" t="s">
        <v>7668</v>
      </c>
    </row>
    <row r="10790">
      <c r="A10790" s="3">
        <v>2254.0</v>
      </c>
      <c r="B10790" s="3" t="s">
        <v>19423</v>
      </c>
      <c r="C10790" s="3" t="s">
        <v>11281</v>
      </c>
      <c r="D10790" s="3" t="s">
        <v>17715</v>
      </c>
      <c r="E10790" s="3" t="s">
        <v>17716</v>
      </c>
      <c r="F10790" s="3" t="s">
        <v>17715</v>
      </c>
      <c r="G10790" s="3"/>
      <c r="H10790" s="3" t="s">
        <v>17717</v>
      </c>
    </row>
    <row r="10791">
      <c r="A10791" s="3">
        <v>2255.0</v>
      </c>
      <c r="B10791" s="3" t="s">
        <v>19423</v>
      </c>
      <c r="C10791" s="3" t="s">
        <v>11281</v>
      </c>
      <c r="D10791" s="3" t="s">
        <v>17718</v>
      </c>
      <c r="E10791" s="3" t="s">
        <v>20347</v>
      </c>
      <c r="F10791" s="3" t="s">
        <v>20348</v>
      </c>
    </row>
    <row r="10792">
      <c r="A10792" s="3">
        <v>2256.0</v>
      </c>
      <c r="B10792" s="3" t="s">
        <v>19423</v>
      </c>
      <c r="C10792" s="3" t="s">
        <v>11281</v>
      </c>
      <c r="D10792" s="3" t="s">
        <v>17721</v>
      </c>
      <c r="E10792" s="3" t="s">
        <v>20349</v>
      </c>
      <c r="F10792" s="3" t="s">
        <v>20350</v>
      </c>
    </row>
    <row r="10793">
      <c r="A10793" s="3">
        <v>2257.0</v>
      </c>
      <c r="B10793" s="3" t="s">
        <v>19423</v>
      </c>
      <c r="C10793" s="3" t="s">
        <v>11281</v>
      </c>
      <c r="D10793" s="3" t="s">
        <v>17724</v>
      </c>
      <c r="E10793" s="3" t="s">
        <v>17725</v>
      </c>
      <c r="F10793" s="3" t="s">
        <v>17726</v>
      </c>
    </row>
    <row r="10794">
      <c r="A10794" s="3">
        <v>2258.0</v>
      </c>
      <c r="B10794" s="3" t="s">
        <v>19423</v>
      </c>
      <c r="C10794" s="3" t="s">
        <v>11281</v>
      </c>
      <c r="D10794" s="3" t="s">
        <v>17727</v>
      </c>
      <c r="E10794" s="3" t="s">
        <v>17728</v>
      </c>
      <c r="F10794" s="3" t="s">
        <v>17729</v>
      </c>
    </row>
    <row r="10795">
      <c r="A10795" s="3">
        <v>2259.0</v>
      </c>
      <c r="B10795" s="3" t="s">
        <v>19423</v>
      </c>
      <c r="C10795" s="3" t="s">
        <v>11281</v>
      </c>
      <c r="D10795" s="3" t="s">
        <v>17730</v>
      </c>
      <c r="E10795" s="3" t="s">
        <v>17731</v>
      </c>
      <c r="F10795" s="3" t="s">
        <v>17730</v>
      </c>
    </row>
    <row r="10796">
      <c r="A10796" s="3">
        <v>2260.0</v>
      </c>
      <c r="B10796" s="3" t="s">
        <v>19423</v>
      </c>
      <c r="C10796" s="3" t="s">
        <v>11281</v>
      </c>
      <c r="D10796" s="3" t="s">
        <v>17732</v>
      </c>
      <c r="E10796" s="3" t="s">
        <v>17733</v>
      </c>
      <c r="F10796" s="3" t="s">
        <v>17732</v>
      </c>
    </row>
    <row r="10797">
      <c r="A10797" s="3">
        <v>2261.0</v>
      </c>
      <c r="B10797" s="3" t="s">
        <v>19423</v>
      </c>
      <c r="C10797" s="3" t="s">
        <v>11281</v>
      </c>
      <c r="D10797" s="3" t="s">
        <v>17734</v>
      </c>
      <c r="E10797" s="3" t="s">
        <v>17735</v>
      </c>
      <c r="F10797" s="3" t="s">
        <v>17734</v>
      </c>
    </row>
    <row r="10798">
      <c r="A10798" s="3">
        <v>2262.0</v>
      </c>
      <c r="B10798" s="3" t="s">
        <v>19423</v>
      </c>
      <c r="C10798" s="3" t="s">
        <v>11281</v>
      </c>
      <c r="D10798" s="3" t="s">
        <v>17736</v>
      </c>
      <c r="E10798" s="3" t="s">
        <v>17737</v>
      </c>
      <c r="F10798" s="3" t="s">
        <v>17736</v>
      </c>
    </row>
    <row r="10799">
      <c r="A10799" s="3">
        <v>2263.0</v>
      </c>
      <c r="B10799" s="3" t="s">
        <v>19423</v>
      </c>
      <c r="C10799" s="3" t="s">
        <v>11281</v>
      </c>
      <c r="D10799" s="3" t="s">
        <v>17738</v>
      </c>
      <c r="E10799" s="3" t="s">
        <v>17739</v>
      </c>
      <c r="F10799" s="3" t="s">
        <v>17738</v>
      </c>
    </row>
    <row r="10800">
      <c r="A10800" s="3">
        <v>2264.0</v>
      </c>
      <c r="B10800" s="3" t="s">
        <v>19423</v>
      </c>
      <c r="C10800" s="3" t="s">
        <v>11281</v>
      </c>
      <c r="D10800" s="3" t="s">
        <v>5098</v>
      </c>
      <c r="E10800" s="3" t="s">
        <v>7681</v>
      </c>
      <c r="F10800" s="3" t="s">
        <v>5098</v>
      </c>
      <c r="G10800" s="3"/>
      <c r="H10800" s="3" t="s">
        <v>7682</v>
      </c>
      <c r="I10800" s="3" t="s">
        <v>7683</v>
      </c>
      <c r="J10800" s="3" t="s">
        <v>5110</v>
      </c>
      <c r="K10800" s="3" t="s">
        <v>5122</v>
      </c>
    </row>
    <row r="10801">
      <c r="A10801" s="3">
        <v>2265.0</v>
      </c>
      <c r="B10801" s="3" t="s">
        <v>19423</v>
      </c>
      <c r="C10801" s="3" t="s">
        <v>11281</v>
      </c>
      <c r="D10801" s="3" t="s">
        <v>17740</v>
      </c>
      <c r="E10801" s="3" t="s">
        <v>17741</v>
      </c>
      <c r="F10801" s="3" t="s">
        <v>17740</v>
      </c>
    </row>
    <row r="10802">
      <c r="A10802" s="3">
        <v>2266.0</v>
      </c>
      <c r="B10802" s="3" t="s">
        <v>19423</v>
      </c>
      <c r="C10802" s="3" t="s">
        <v>11281</v>
      </c>
      <c r="D10802" s="3" t="s">
        <v>17742</v>
      </c>
      <c r="E10802" s="3" t="s">
        <v>17743</v>
      </c>
      <c r="F10802" s="3" t="s">
        <v>17742</v>
      </c>
    </row>
    <row r="10803">
      <c r="A10803" s="3">
        <v>2267.0</v>
      </c>
      <c r="B10803" s="3" t="s">
        <v>19423</v>
      </c>
      <c r="C10803" s="3" t="s">
        <v>11281</v>
      </c>
      <c r="D10803" s="3" t="s">
        <v>17744</v>
      </c>
      <c r="E10803" s="3" t="s">
        <v>17745</v>
      </c>
      <c r="F10803" s="3" t="s">
        <v>17744</v>
      </c>
    </row>
    <row r="10804">
      <c r="A10804" s="3">
        <v>2268.0</v>
      </c>
      <c r="B10804" s="3" t="s">
        <v>19423</v>
      </c>
      <c r="C10804" s="3" t="s">
        <v>11281</v>
      </c>
      <c r="D10804" s="3" t="s">
        <v>17746</v>
      </c>
      <c r="E10804" s="3" t="s">
        <v>17747</v>
      </c>
      <c r="F10804" s="3" t="s">
        <v>17746</v>
      </c>
    </row>
    <row r="10805">
      <c r="A10805" s="3">
        <v>2269.0</v>
      </c>
      <c r="B10805" s="3" t="s">
        <v>19423</v>
      </c>
      <c r="C10805" s="3" t="s">
        <v>11281</v>
      </c>
      <c r="D10805" s="3" t="s">
        <v>17748</v>
      </c>
      <c r="E10805" s="3" t="s">
        <v>17749</v>
      </c>
      <c r="F10805" s="3" t="s">
        <v>17748</v>
      </c>
    </row>
    <row r="10806">
      <c r="A10806" s="3">
        <v>2270.0</v>
      </c>
      <c r="B10806" s="3" t="s">
        <v>19423</v>
      </c>
      <c r="C10806" s="3" t="s">
        <v>11281</v>
      </c>
      <c r="D10806" s="3" t="s">
        <v>5107</v>
      </c>
      <c r="E10806" s="3" t="s">
        <v>7688</v>
      </c>
      <c r="F10806" s="3" t="s">
        <v>5107</v>
      </c>
    </row>
    <row r="10807">
      <c r="A10807" s="3">
        <v>2271.0</v>
      </c>
      <c r="B10807" s="3" t="s">
        <v>19423</v>
      </c>
      <c r="C10807" s="3" t="s">
        <v>11281</v>
      </c>
      <c r="D10807" s="3" t="s">
        <v>17750</v>
      </c>
      <c r="E10807" s="3" t="s">
        <v>17751</v>
      </c>
      <c r="F10807" s="3" t="s">
        <v>17752</v>
      </c>
    </row>
    <row r="10808">
      <c r="A10808" s="3">
        <v>2272.0</v>
      </c>
      <c r="B10808" s="3" t="s">
        <v>19423</v>
      </c>
      <c r="C10808" s="3" t="s">
        <v>11281</v>
      </c>
      <c r="D10808" s="3" t="s">
        <v>17753</v>
      </c>
      <c r="E10808" s="3" t="s">
        <v>17754</v>
      </c>
      <c r="F10808" s="3" t="s">
        <v>17755</v>
      </c>
    </row>
    <row r="10809">
      <c r="A10809" s="3">
        <v>2273.0</v>
      </c>
      <c r="B10809" s="3" t="s">
        <v>19423</v>
      </c>
      <c r="C10809" s="3" t="s">
        <v>11281</v>
      </c>
      <c r="D10809" s="3" t="s">
        <v>17756</v>
      </c>
      <c r="E10809" s="3" t="s">
        <v>17757</v>
      </c>
      <c r="F10809" s="3" t="s">
        <v>17756</v>
      </c>
    </row>
    <row r="10810">
      <c r="A10810" s="3">
        <v>2274.0</v>
      </c>
      <c r="B10810" s="3" t="s">
        <v>19423</v>
      </c>
      <c r="C10810" s="3" t="s">
        <v>11281</v>
      </c>
      <c r="D10810" s="3" t="s">
        <v>17758</v>
      </c>
      <c r="E10810" s="3" t="s">
        <v>17759</v>
      </c>
      <c r="F10810" s="3" t="s">
        <v>17758</v>
      </c>
    </row>
    <row r="10811">
      <c r="A10811" s="3">
        <v>2275.0</v>
      </c>
      <c r="B10811" s="3" t="s">
        <v>19423</v>
      </c>
      <c r="C10811" s="3" t="s">
        <v>11281</v>
      </c>
      <c r="D10811" s="3" t="s">
        <v>17760</v>
      </c>
      <c r="E10811" s="3" t="s">
        <v>17761</v>
      </c>
      <c r="F10811" s="3" t="s">
        <v>17760</v>
      </c>
    </row>
    <row r="10812">
      <c r="A10812" s="3">
        <v>2276.0</v>
      </c>
      <c r="B10812" s="3" t="s">
        <v>19423</v>
      </c>
      <c r="C10812" s="3" t="s">
        <v>11281</v>
      </c>
      <c r="D10812" s="3" t="s">
        <v>17762</v>
      </c>
      <c r="E10812" s="3" t="s">
        <v>17763</v>
      </c>
      <c r="F10812" s="3" t="s">
        <v>17762</v>
      </c>
    </row>
    <row r="10813">
      <c r="A10813" s="3">
        <v>2277.0</v>
      </c>
      <c r="B10813" s="3" t="s">
        <v>19423</v>
      </c>
      <c r="C10813" s="3" t="s">
        <v>11281</v>
      </c>
      <c r="D10813" s="3" t="s">
        <v>17764</v>
      </c>
      <c r="E10813" s="3" t="s">
        <v>17765</v>
      </c>
      <c r="F10813" s="3" t="s">
        <v>17764</v>
      </c>
    </row>
    <row r="10814">
      <c r="A10814" s="3">
        <v>2278.0</v>
      </c>
      <c r="B10814" s="3" t="s">
        <v>19423</v>
      </c>
      <c r="C10814" s="3" t="s">
        <v>11281</v>
      </c>
      <c r="D10814" s="3" t="s">
        <v>17766</v>
      </c>
      <c r="E10814" s="3" t="s">
        <v>17767</v>
      </c>
      <c r="F10814" s="3" t="s">
        <v>17766</v>
      </c>
    </row>
    <row r="10815">
      <c r="A10815" s="3">
        <v>2279.0</v>
      </c>
      <c r="B10815" s="3" t="s">
        <v>19423</v>
      </c>
      <c r="C10815" s="3" t="s">
        <v>11281</v>
      </c>
      <c r="D10815" s="3" t="s">
        <v>17768</v>
      </c>
      <c r="E10815" s="3" t="s">
        <v>17769</v>
      </c>
      <c r="F10815" s="3" t="s">
        <v>17768</v>
      </c>
    </row>
    <row r="10816">
      <c r="A10816" s="3">
        <v>2280.0</v>
      </c>
      <c r="B10816" s="3" t="s">
        <v>19423</v>
      </c>
      <c r="C10816" s="3" t="s">
        <v>11281</v>
      </c>
      <c r="D10816" s="3" t="s">
        <v>17770</v>
      </c>
      <c r="E10816" s="3" t="s">
        <v>17771</v>
      </c>
      <c r="F10816" s="3" t="s">
        <v>17770</v>
      </c>
    </row>
    <row r="10817">
      <c r="A10817" s="3">
        <v>2281.0</v>
      </c>
      <c r="B10817" s="3" t="s">
        <v>19423</v>
      </c>
      <c r="C10817" s="3" t="s">
        <v>11281</v>
      </c>
      <c r="D10817" s="3" t="s">
        <v>17772</v>
      </c>
      <c r="E10817" s="3" t="s">
        <v>17773</v>
      </c>
      <c r="F10817" s="3" t="s">
        <v>17772</v>
      </c>
      <c r="G10817" s="3"/>
      <c r="H10817" s="3" t="s">
        <v>17774</v>
      </c>
      <c r="I10817" s="3" t="s">
        <v>17775</v>
      </c>
      <c r="J10817" s="3" t="s">
        <v>17776</v>
      </c>
    </row>
    <row r="10818">
      <c r="A10818" s="3">
        <v>2282.0</v>
      </c>
      <c r="B10818" s="3" t="s">
        <v>19423</v>
      </c>
      <c r="C10818" s="3" t="s">
        <v>11281</v>
      </c>
      <c r="D10818" s="3" t="s">
        <v>17777</v>
      </c>
      <c r="E10818" s="3" t="s">
        <v>17778</v>
      </c>
      <c r="F10818" s="3" t="s">
        <v>17777</v>
      </c>
    </row>
    <row r="10819">
      <c r="A10819" s="3">
        <v>2283.0</v>
      </c>
      <c r="B10819" s="3" t="s">
        <v>19423</v>
      </c>
      <c r="C10819" s="3" t="s">
        <v>11281</v>
      </c>
      <c r="D10819" s="3" t="s">
        <v>17779</v>
      </c>
      <c r="E10819" s="3" t="s">
        <v>17780</v>
      </c>
      <c r="F10819" s="3" t="s">
        <v>17779</v>
      </c>
    </row>
    <row r="10820">
      <c r="A10820" s="3">
        <v>2284.0</v>
      </c>
      <c r="B10820" s="3" t="s">
        <v>19423</v>
      </c>
      <c r="C10820" s="3" t="s">
        <v>11281</v>
      </c>
      <c r="D10820" s="3" t="s">
        <v>17781</v>
      </c>
      <c r="E10820" s="3" t="s">
        <v>17782</v>
      </c>
      <c r="F10820" s="3" t="s">
        <v>17781</v>
      </c>
    </row>
    <row r="10821">
      <c r="A10821" s="3">
        <v>2285.0</v>
      </c>
      <c r="B10821" s="3" t="s">
        <v>19423</v>
      </c>
      <c r="C10821" s="3" t="s">
        <v>11281</v>
      </c>
      <c r="D10821" s="3" t="s">
        <v>17783</v>
      </c>
      <c r="E10821" s="3" t="s">
        <v>17784</v>
      </c>
      <c r="F10821" s="3" t="s">
        <v>17785</v>
      </c>
    </row>
    <row r="10822">
      <c r="A10822" s="3">
        <v>2286.0</v>
      </c>
      <c r="B10822" s="3" t="s">
        <v>19423</v>
      </c>
      <c r="C10822" s="3" t="s">
        <v>11281</v>
      </c>
      <c r="D10822" s="3" t="s">
        <v>17786</v>
      </c>
      <c r="E10822" s="3" t="s">
        <v>17787</v>
      </c>
      <c r="F10822" s="3" t="s">
        <v>17788</v>
      </c>
    </row>
    <row r="10823">
      <c r="A10823" s="3">
        <v>2287.0</v>
      </c>
      <c r="B10823" s="3" t="s">
        <v>19423</v>
      </c>
      <c r="C10823" s="3" t="s">
        <v>11281</v>
      </c>
      <c r="D10823" s="3" t="s">
        <v>5155</v>
      </c>
      <c r="E10823" s="3" t="s">
        <v>7705</v>
      </c>
      <c r="F10823" s="3" t="s">
        <v>5155</v>
      </c>
      <c r="G10823" s="3"/>
      <c r="H10823" s="3" t="s">
        <v>5132</v>
      </c>
      <c r="I10823" s="3" t="s">
        <v>5131</v>
      </c>
      <c r="J10823" s="3" t="s">
        <v>5129</v>
      </c>
      <c r="K10823" s="3" t="s">
        <v>5133</v>
      </c>
      <c r="L10823" s="3" t="s">
        <v>5134</v>
      </c>
      <c r="M10823" s="3" t="s">
        <v>4157</v>
      </c>
    </row>
    <row r="10824">
      <c r="A10824" s="3">
        <v>2288.0</v>
      </c>
      <c r="B10824" s="3" t="s">
        <v>19423</v>
      </c>
      <c r="C10824" s="3" t="s">
        <v>11281</v>
      </c>
      <c r="D10824" s="3" t="s">
        <v>5170</v>
      </c>
      <c r="E10824" s="3" t="s">
        <v>7700</v>
      </c>
      <c r="F10824" s="3" t="s">
        <v>5170</v>
      </c>
    </row>
    <row r="10825">
      <c r="A10825" s="3">
        <v>2289.0</v>
      </c>
      <c r="B10825" s="3" t="s">
        <v>19423</v>
      </c>
      <c r="C10825" s="3" t="s">
        <v>11281</v>
      </c>
      <c r="D10825" s="3" t="s">
        <v>17789</v>
      </c>
      <c r="E10825" s="3" t="s">
        <v>17790</v>
      </c>
      <c r="F10825" s="3" t="s">
        <v>17789</v>
      </c>
    </row>
    <row r="10826">
      <c r="A10826" s="3">
        <v>2290.0</v>
      </c>
      <c r="B10826" s="3" t="s">
        <v>19423</v>
      </c>
      <c r="C10826" s="3" t="s">
        <v>11281</v>
      </c>
      <c r="D10826" s="3" t="s">
        <v>17791</v>
      </c>
      <c r="E10826" s="3" t="s">
        <v>17792</v>
      </c>
      <c r="F10826" s="3" t="s">
        <v>17791</v>
      </c>
    </row>
    <row r="10827">
      <c r="A10827" s="3">
        <v>2291.0</v>
      </c>
      <c r="B10827" s="3" t="s">
        <v>19423</v>
      </c>
      <c r="C10827" s="3" t="s">
        <v>11281</v>
      </c>
      <c r="D10827" s="3" t="s">
        <v>17793</v>
      </c>
      <c r="E10827" s="3" t="s">
        <v>17794</v>
      </c>
      <c r="F10827" s="3" t="s">
        <v>17793</v>
      </c>
    </row>
    <row r="10828">
      <c r="A10828" s="3">
        <v>2292.0</v>
      </c>
      <c r="B10828" s="3" t="s">
        <v>19423</v>
      </c>
      <c r="C10828" s="3" t="s">
        <v>11281</v>
      </c>
      <c r="D10828" s="3" t="s">
        <v>17795</v>
      </c>
      <c r="E10828" s="3" t="s">
        <v>17796</v>
      </c>
      <c r="F10828" s="3" t="s">
        <v>17795</v>
      </c>
      <c r="G10828" s="3"/>
      <c r="H10828" s="3" t="s">
        <v>17797</v>
      </c>
      <c r="I10828" s="3" t="s">
        <v>7597</v>
      </c>
      <c r="J10828" s="3" t="s">
        <v>17798</v>
      </c>
      <c r="K10828" s="3" t="s">
        <v>17797</v>
      </c>
      <c r="L10828" s="3" t="s">
        <v>17799</v>
      </c>
      <c r="M10828" s="3" t="s">
        <v>7595</v>
      </c>
      <c r="N10828" s="3" t="s">
        <v>7597</v>
      </c>
    </row>
    <row r="10829">
      <c r="A10829" s="3">
        <v>2293.0</v>
      </c>
      <c r="B10829" s="3" t="s">
        <v>19423</v>
      </c>
      <c r="C10829" s="3" t="s">
        <v>11281</v>
      </c>
      <c r="D10829" s="3" t="s">
        <v>17800</v>
      </c>
      <c r="E10829" s="3" t="s">
        <v>17801</v>
      </c>
      <c r="F10829" s="3" t="s">
        <v>17800</v>
      </c>
    </row>
    <row r="10830">
      <c r="A10830" s="3">
        <v>2294.0</v>
      </c>
      <c r="B10830" s="3" t="s">
        <v>19423</v>
      </c>
      <c r="C10830" s="3" t="s">
        <v>11281</v>
      </c>
      <c r="D10830" s="3" t="s">
        <v>17802</v>
      </c>
      <c r="E10830" s="3" t="s">
        <v>17803</v>
      </c>
      <c r="F10830" s="3" t="s">
        <v>17802</v>
      </c>
    </row>
    <row r="10831">
      <c r="A10831" s="3">
        <v>2295.0</v>
      </c>
      <c r="B10831" s="3" t="s">
        <v>19423</v>
      </c>
      <c r="C10831" s="3" t="s">
        <v>11281</v>
      </c>
      <c r="D10831" s="3" t="s">
        <v>17804</v>
      </c>
      <c r="E10831" s="3" t="s">
        <v>17805</v>
      </c>
      <c r="F10831" s="3" t="s">
        <v>17804</v>
      </c>
    </row>
    <row r="10832">
      <c r="A10832" s="3">
        <v>2296.0</v>
      </c>
      <c r="B10832" s="3" t="s">
        <v>19423</v>
      </c>
      <c r="C10832" s="3" t="s">
        <v>11281</v>
      </c>
      <c r="D10832" s="3" t="s">
        <v>5179</v>
      </c>
      <c r="E10832" s="3" t="s">
        <v>7703</v>
      </c>
      <c r="F10832" s="3" t="s">
        <v>5179</v>
      </c>
    </row>
    <row r="10833">
      <c r="A10833" s="3">
        <v>2297.0</v>
      </c>
      <c r="B10833" s="3" t="s">
        <v>19423</v>
      </c>
      <c r="C10833" s="3" t="s">
        <v>11281</v>
      </c>
      <c r="D10833" s="3" t="s">
        <v>7706</v>
      </c>
      <c r="E10833" s="3" t="s">
        <v>7707</v>
      </c>
      <c r="F10833" s="3" t="s">
        <v>7706</v>
      </c>
      <c r="G10833" s="3"/>
      <c r="H10833" s="3" t="s">
        <v>7706</v>
      </c>
      <c r="I10833" s="3" t="s">
        <v>7708</v>
      </c>
    </row>
    <row r="10834">
      <c r="A10834" s="3">
        <v>2298.0</v>
      </c>
      <c r="B10834" s="3" t="s">
        <v>19423</v>
      </c>
      <c r="C10834" s="3" t="s">
        <v>11281</v>
      </c>
      <c r="D10834" s="3" t="s">
        <v>17806</v>
      </c>
      <c r="E10834" s="3" t="s">
        <v>17807</v>
      </c>
      <c r="F10834" s="3" t="s">
        <v>17808</v>
      </c>
    </row>
    <row r="10835">
      <c r="A10835" s="3">
        <v>2299.0</v>
      </c>
      <c r="B10835" s="3" t="s">
        <v>19423</v>
      </c>
      <c r="C10835" s="3" t="s">
        <v>11281</v>
      </c>
      <c r="D10835" s="3" t="s">
        <v>17809</v>
      </c>
      <c r="E10835" s="3" t="s">
        <v>17810</v>
      </c>
      <c r="F10835" s="3" t="s">
        <v>17811</v>
      </c>
    </row>
    <row r="10836">
      <c r="A10836" s="3">
        <v>2300.0</v>
      </c>
      <c r="B10836" s="3" t="s">
        <v>19423</v>
      </c>
      <c r="C10836" s="3" t="s">
        <v>11281</v>
      </c>
      <c r="D10836" s="3" t="s">
        <v>17812</v>
      </c>
      <c r="E10836" s="3" t="s">
        <v>17813</v>
      </c>
      <c r="F10836" s="3" t="s">
        <v>17812</v>
      </c>
    </row>
    <row r="10837">
      <c r="A10837" s="3">
        <v>2301.0</v>
      </c>
      <c r="B10837" s="3" t="s">
        <v>19423</v>
      </c>
      <c r="C10837" s="3" t="s">
        <v>11281</v>
      </c>
      <c r="D10837" s="3" t="s">
        <v>17814</v>
      </c>
      <c r="E10837" s="3" t="s">
        <v>17815</v>
      </c>
      <c r="F10837" s="3" t="s">
        <v>17814</v>
      </c>
    </row>
    <row r="10838">
      <c r="A10838" s="3">
        <v>2302.0</v>
      </c>
      <c r="B10838" s="3" t="s">
        <v>19423</v>
      </c>
      <c r="C10838" s="3" t="s">
        <v>11281</v>
      </c>
      <c r="D10838" s="3" t="s">
        <v>17816</v>
      </c>
      <c r="E10838" s="3" t="s">
        <v>17817</v>
      </c>
      <c r="F10838" s="3" t="s">
        <v>17816</v>
      </c>
    </row>
    <row r="10839">
      <c r="A10839" s="3">
        <v>2303.0</v>
      </c>
      <c r="B10839" s="3" t="s">
        <v>19423</v>
      </c>
      <c r="C10839" s="3" t="s">
        <v>11281</v>
      </c>
      <c r="D10839" s="3" t="s">
        <v>17818</v>
      </c>
      <c r="E10839" s="3" t="s">
        <v>17819</v>
      </c>
      <c r="F10839" s="3" t="s">
        <v>17818</v>
      </c>
    </row>
    <row r="10840">
      <c r="A10840" s="3">
        <v>2304.0</v>
      </c>
      <c r="B10840" s="3" t="s">
        <v>19423</v>
      </c>
      <c r="C10840" s="3" t="s">
        <v>11281</v>
      </c>
      <c r="D10840" s="3" t="s">
        <v>17820</v>
      </c>
      <c r="E10840" s="3" t="s">
        <v>17821</v>
      </c>
      <c r="F10840" s="3" t="s">
        <v>17820</v>
      </c>
    </row>
    <row r="10841">
      <c r="A10841" s="3">
        <v>2305.0</v>
      </c>
      <c r="B10841" s="3" t="s">
        <v>19423</v>
      </c>
      <c r="C10841" s="3" t="s">
        <v>11281</v>
      </c>
      <c r="D10841" s="3" t="s">
        <v>17822</v>
      </c>
      <c r="E10841" s="3" t="s">
        <v>17823</v>
      </c>
      <c r="F10841" s="3" t="s">
        <v>17822</v>
      </c>
    </row>
    <row r="10842">
      <c r="A10842" s="3">
        <v>2306.0</v>
      </c>
      <c r="B10842" s="3" t="s">
        <v>19423</v>
      </c>
      <c r="C10842" s="3" t="s">
        <v>11281</v>
      </c>
      <c r="D10842" s="3" t="s">
        <v>17824</v>
      </c>
      <c r="E10842" s="3" t="s">
        <v>17825</v>
      </c>
      <c r="F10842" s="3" t="s">
        <v>17824</v>
      </c>
    </row>
    <row r="10843">
      <c r="A10843" s="3">
        <v>2307.0</v>
      </c>
      <c r="B10843" s="3" t="s">
        <v>19423</v>
      </c>
      <c r="C10843" s="3" t="s">
        <v>11281</v>
      </c>
      <c r="D10843" s="3" t="s">
        <v>17826</v>
      </c>
      <c r="E10843" s="3" t="s">
        <v>17827</v>
      </c>
      <c r="F10843" s="3" t="s">
        <v>17826</v>
      </c>
    </row>
    <row r="10844">
      <c r="A10844" s="3">
        <v>2308.0</v>
      </c>
      <c r="B10844" s="3" t="s">
        <v>19423</v>
      </c>
      <c r="C10844" s="3" t="s">
        <v>11281</v>
      </c>
      <c r="D10844" s="3" t="s">
        <v>17828</v>
      </c>
      <c r="E10844" s="3" t="s">
        <v>17829</v>
      </c>
      <c r="F10844" s="3" t="s">
        <v>17828</v>
      </c>
    </row>
    <row r="10845">
      <c r="A10845" s="3">
        <v>2309.0</v>
      </c>
      <c r="B10845" s="3" t="s">
        <v>19423</v>
      </c>
      <c r="C10845" s="3" t="s">
        <v>11281</v>
      </c>
      <c r="D10845" s="3" t="s">
        <v>17830</v>
      </c>
      <c r="E10845" s="3" t="s">
        <v>17831</v>
      </c>
      <c r="F10845" s="3" t="s">
        <v>17830</v>
      </c>
    </row>
    <row r="10846">
      <c r="A10846" s="3">
        <v>2310.0</v>
      </c>
      <c r="B10846" s="3" t="s">
        <v>19423</v>
      </c>
      <c r="C10846" s="3" t="s">
        <v>11281</v>
      </c>
      <c r="D10846" s="3" t="s">
        <v>17832</v>
      </c>
      <c r="E10846" s="3" t="s">
        <v>17833</v>
      </c>
      <c r="F10846" s="3" t="s">
        <v>17834</v>
      </c>
    </row>
    <row r="10847">
      <c r="A10847" s="3">
        <v>2311.0</v>
      </c>
      <c r="B10847" s="3" t="s">
        <v>19423</v>
      </c>
      <c r="C10847" s="3" t="s">
        <v>11281</v>
      </c>
      <c r="D10847" s="3" t="s">
        <v>17835</v>
      </c>
      <c r="E10847" s="3" t="s">
        <v>17836</v>
      </c>
      <c r="F10847" s="3" t="s">
        <v>17837</v>
      </c>
    </row>
    <row r="10848">
      <c r="A10848" s="3">
        <v>2312.0</v>
      </c>
      <c r="B10848" s="3" t="s">
        <v>19423</v>
      </c>
      <c r="C10848" s="3" t="s">
        <v>11281</v>
      </c>
      <c r="D10848" s="3" t="s">
        <v>17838</v>
      </c>
      <c r="E10848" s="3" t="s">
        <v>17839</v>
      </c>
      <c r="F10848" s="3" t="s">
        <v>17840</v>
      </c>
    </row>
    <row r="10849">
      <c r="A10849" s="3">
        <v>2313.0</v>
      </c>
      <c r="B10849" s="3" t="s">
        <v>19423</v>
      </c>
      <c r="C10849" s="3" t="s">
        <v>11281</v>
      </c>
      <c r="D10849" s="3" t="s">
        <v>17841</v>
      </c>
      <c r="E10849" s="3" t="s">
        <v>17842</v>
      </c>
      <c r="F10849" s="3" t="s">
        <v>17834</v>
      </c>
    </row>
    <row r="10850">
      <c r="A10850" s="3">
        <v>2314.0</v>
      </c>
      <c r="B10850" s="3" t="s">
        <v>19423</v>
      </c>
      <c r="C10850" s="3" t="s">
        <v>11281</v>
      </c>
      <c r="D10850" s="3" t="s">
        <v>17843</v>
      </c>
      <c r="E10850" s="3" t="s">
        <v>17844</v>
      </c>
      <c r="F10850" s="3" t="s">
        <v>17845</v>
      </c>
    </row>
    <row r="10851">
      <c r="A10851" s="3">
        <v>2315.0</v>
      </c>
      <c r="B10851" s="3" t="s">
        <v>19423</v>
      </c>
      <c r="C10851" s="3" t="s">
        <v>11281</v>
      </c>
      <c r="D10851" s="3" t="s">
        <v>17846</v>
      </c>
      <c r="E10851" s="3" t="s">
        <v>17847</v>
      </c>
      <c r="F10851" s="3" t="s">
        <v>17848</v>
      </c>
      <c r="G10851" s="3"/>
      <c r="H10851" s="3" t="s">
        <v>17849</v>
      </c>
      <c r="I10851" s="3" t="s">
        <v>17850</v>
      </c>
      <c r="J10851" s="3" t="s">
        <v>6757</v>
      </c>
      <c r="K10851" s="3" t="s">
        <v>17851</v>
      </c>
      <c r="L10851" s="3" t="s">
        <v>6757</v>
      </c>
      <c r="M10851" s="3" t="s">
        <v>6758</v>
      </c>
    </row>
    <row r="10852">
      <c r="A10852" s="3">
        <v>2316.0</v>
      </c>
      <c r="B10852" s="3" t="s">
        <v>19423</v>
      </c>
      <c r="C10852" s="3" t="s">
        <v>11281</v>
      </c>
      <c r="D10852" s="3" t="s">
        <v>17852</v>
      </c>
      <c r="E10852" s="3" t="s">
        <v>17853</v>
      </c>
      <c r="F10852" s="3" t="s">
        <v>17854</v>
      </c>
    </row>
    <row r="10853">
      <c r="A10853" s="3">
        <v>2317.0</v>
      </c>
      <c r="B10853" s="3" t="s">
        <v>19423</v>
      </c>
      <c r="C10853" s="3" t="s">
        <v>11281</v>
      </c>
      <c r="D10853" s="3" t="s">
        <v>17855</v>
      </c>
      <c r="E10853" s="3" t="s">
        <v>17856</v>
      </c>
      <c r="F10853" s="3" t="s">
        <v>17857</v>
      </c>
    </row>
    <row r="10854">
      <c r="A10854" s="3">
        <v>2318.0</v>
      </c>
      <c r="B10854" s="3" t="s">
        <v>19423</v>
      </c>
      <c r="C10854" s="3" t="s">
        <v>11281</v>
      </c>
      <c r="D10854" s="3" t="s">
        <v>17858</v>
      </c>
      <c r="E10854" s="3" t="s">
        <v>17859</v>
      </c>
      <c r="F10854" s="3" t="s">
        <v>17860</v>
      </c>
    </row>
    <row r="10855">
      <c r="A10855" s="3">
        <v>2319.0</v>
      </c>
      <c r="B10855" s="3" t="s">
        <v>19423</v>
      </c>
      <c r="C10855" s="3" t="s">
        <v>11281</v>
      </c>
      <c r="D10855" s="3" t="s">
        <v>17861</v>
      </c>
      <c r="E10855" s="3" t="s">
        <v>17862</v>
      </c>
      <c r="F10855" s="3" t="s">
        <v>17837</v>
      </c>
    </row>
    <row r="10856">
      <c r="A10856" s="3">
        <v>2320.0</v>
      </c>
      <c r="B10856" s="3" t="s">
        <v>19423</v>
      </c>
      <c r="C10856" s="3" t="s">
        <v>11281</v>
      </c>
      <c r="D10856" s="3" t="s">
        <v>5256</v>
      </c>
      <c r="E10856" s="3" t="s">
        <v>17863</v>
      </c>
      <c r="F10856" s="3" t="s">
        <v>5256</v>
      </c>
    </row>
    <row r="10857">
      <c r="A10857" s="3">
        <v>2321.0</v>
      </c>
      <c r="B10857" s="3" t="s">
        <v>19423</v>
      </c>
      <c r="C10857" s="3" t="s">
        <v>11281</v>
      </c>
      <c r="D10857" s="3" t="s">
        <v>5247</v>
      </c>
      <c r="E10857" s="3" t="s">
        <v>17864</v>
      </c>
      <c r="F10857" s="3" t="s">
        <v>5247</v>
      </c>
    </row>
    <row r="10858">
      <c r="A10858" s="3">
        <v>2322.0</v>
      </c>
      <c r="B10858" s="3" t="s">
        <v>19423</v>
      </c>
      <c r="C10858" s="3" t="s">
        <v>11281</v>
      </c>
      <c r="D10858" s="3" t="s">
        <v>17865</v>
      </c>
      <c r="E10858" s="3" t="s">
        <v>17866</v>
      </c>
      <c r="F10858" s="3" t="s">
        <v>17865</v>
      </c>
    </row>
    <row r="10859">
      <c r="A10859" s="3">
        <v>2323.0</v>
      </c>
      <c r="B10859" s="3" t="s">
        <v>19423</v>
      </c>
      <c r="C10859" s="3" t="s">
        <v>11281</v>
      </c>
      <c r="D10859" s="3" t="s">
        <v>17867</v>
      </c>
      <c r="E10859" s="3" t="s">
        <v>17868</v>
      </c>
      <c r="F10859" s="3" t="s">
        <v>17867</v>
      </c>
      <c r="G10859" s="3"/>
      <c r="H10859" s="3" t="s">
        <v>17869</v>
      </c>
      <c r="I10859" s="3" t="s">
        <v>17870</v>
      </c>
      <c r="J10859" s="3" t="s">
        <v>17871</v>
      </c>
      <c r="K10859" s="3" t="s">
        <v>17872</v>
      </c>
      <c r="L10859" s="3" t="s">
        <v>8777</v>
      </c>
      <c r="M10859" s="3" t="s">
        <v>17873</v>
      </c>
      <c r="N10859" s="3" t="s">
        <v>17874</v>
      </c>
      <c r="O10859" s="3" t="s">
        <v>13149</v>
      </c>
    </row>
    <row r="10860">
      <c r="A10860" s="3">
        <v>2324.0</v>
      </c>
      <c r="B10860" s="3" t="s">
        <v>19423</v>
      </c>
      <c r="C10860" s="3" t="s">
        <v>11281</v>
      </c>
      <c r="D10860" s="3" t="s">
        <v>17875</v>
      </c>
      <c r="E10860" s="3" t="s">
        <v>17876</v>
      </c>
      <c r="F10860" s="3" t="s">
        <v>17875</v>
      </c>
    </row>
    <row r="10861">
      <c r="A10861" s="3">
        <v>2325.0</v>
      </c>
      <c r="B10861" s="3" t="s">
        <v>19423</v>
      </c>
      <c r="C10861" s="3" t="s">
        <v>11281</v>
      </c>
      <c r="D10861" s="3" t="s">
        <v>17877</v>
      </c>
      <c r="E10861" s="3" t="s">
        <v>17878</v>
      </c>
      <c r="F10861" s="3" t="s">
        <v>17877</v>
      </c>
    </row>
    <row r="10862">
      <c r="A10862" s="3">
        <v>2326.0</v>
      </c>
      <c r="B10862" s="3" t="s">
        <v>19423</v>
      </c>
      <c r="C10862" s="3" t="s">
        <v>11281</v>
      </c>
      <c r="D10862" s="3" t="s">
        <v>17879</v>
      </c>
      <c r="E10862" s="3" t="s">
        <v>17880</v>
      </c>
      <c r="F10862" s="3" t="s">
        <v>17879</v>
      </c>
    </row>
    <row r="10863">
      <c r="A10863" s="3">
        <v>2327.0</v>
      </c>
      <c r="B10863" s="3" t="s">
        <v>19423</v>
      </c>
      <c r="C10863" s="3" t="s">
        <v>11281</v>
      </c>
      <c r="D10863" s="3" t="s">
        <v>17881</v>
      </c>
      <c r="E10863" s="3" t="s">
        <v>17882</v>
      </c>
      <c r="F10863" s="3" t="s">
        <v>17881</v>
      </c>
    </row>
    <row r="10864">
      <c r="A10864" s="3">
        <v>2328.0</v>
      </c>
      <c r="B10864" s="3" t="s">
        <v>19423</v>
      </c>
      <c r="C10864" s="3" t="s">
        <v>11281</v>
      </c>
      <c r="D10864" s="3" t="s">
        <v>17883</v>
      </c>
      <c r="E10864" s="3" t="s">
        <v>17884</v>
      </c>
      <c r="F10864" s="3" t="s">
        <v>17883</v>
      </c>
    </row>
    <row r="10865">
      <c r="A10865" s="3">
        <v>2329.0</v>
      </c>
      <c r="B10865" s="3" t="s">
        <v>19423</v>
      </c>
      <c r="C10865" s="3" t="s">
        <v>11281</v>
      </c>
      <c r="D10865" s="3" t="s">
        <v>17885</v>
      </c>
      <c r="E10865" s="3" t="s">
        <v>17886</v>
      </c>
      <c r="F10865" s="3" t="s">
        <v>17885</v>
      </c>
    </row>
    <row r="10866">
      <c r="A10866" s="3">
        <v>2330.0</v>
      </c>
      <c r="B10866" s="3" t="s">
        <v>19423</v>
      </c>
      <c r="C10866" s="3" t="s">
        <v>11281</v>
      </c>
      <c r="D10866" s="3" t="s">
        <v>17887</v>
      </c>
      <c r="E10866" s="3" t="s">
        <v>17888</v>
      </c>
      <c r="F10866" s="3" t="s">
        <v>17887</v>
      </c>
    </row>
    <row r="10867">
      <c r="A10867" s="3">
        <v>2331.0</v>
      </c>
      <c r="B10867" s="3" t="s">
        <v>19423</v>
      </c>
      <c r="C10867" s="3" t="s">
        <v>11281</v>
      </c>
      <c r="D10867" s="3" t="s">
        <v>17889</v>
      </c>
      <c r="E10867" s="3" t="s">
        <v>17890</v>
      </c>
      <c r="F10867" s="3" t="s">
        <v>17889</v>
      </c>
    </row>
    <row r="10868">
      <c r="A10868" s="3">
        <v>2332.0</v>
      </c>
      <c r="B10868" s="3" t="s">
        <v>19423</v>
      </c>
      <c r="C10868" s="3" t="s">
        <v>11281</v>
      </c>
      <c r="D10868" s="3" t="s">
        <v>17891</v>
      </c>
      <c r="E10868" s="3" t="s">
        <v>17892</v>
      </c>
      <c r="F10868" s="3" t="s">
        <v>17891</v>
      </c>
    </row>
    <row r="10869">
      <c r="A10869" s="3">
        <v>2333.0</v>
      </c>
      <c r="B10869" s="3" t="s">
        <v>19423</v>
      </c>
      <c r="C10869" s="3" t="s">
        <v>11281</v>
      </c>
      <c r="D10869" s="3" t="s">
        <v>17893</v>
      </c>
      <c r="E10869" s="3" t="s">
        <v>17894</v>
      </c>
      <c r="F10869" s="3" t="s">
        <v>17893</v>
      </c>
    </row>
    <row r="10870">
      <c r="A10870" s="3">
        <v>2334.0</v>
      </c>
      <c r="B10870" s="3" t="s">
        <v>19423</v>
      </c>
      <c r="C10870" s="3" t="s">
        <v>11281</v>
      </c>
      <c r="D10870" s="3" t="s">
        <v>17895</v>
      </c>
      <c r="E10870" s="3" t="s">
        <v>17896</v>
      </c>
      <c r="F10870" s="3" t="s">
        <v>17895</v>
      </c>
      <c r="G10870" s="3"/>
      <c r="H10870" s="3" t="s">
        <v>17897</v>
      </c>
      <c r="I10870" s="3" t="s">
        <v>17898</v>
      </c>
    </row>
    <row r="10871">
      <c r="A10871" s="3">
        <v>2335.0</v>
      </c>
      <c r="B10871" s="3" t="s">
        <v>19423</v>
      </c>
      <c r="C10871" s="3" t="s">
        <v>11281</v>
      </c>
      <c r="D10871" s="3" t="s">
        <v>17899</v>
      </c>
      <c r="E10871" s="3" t="s">
        <v>17900</v>
      </c>
      <c r="F10871" s="3" t="s">
        <v>17899</v>
      </c>
    </row>
    <row r="10872">
      <c r="A10872" s="3">
        <v>2336.0</v>
      </c>
      <c r="B10872" s="3" t="s">
        <v>19423</v>
      </c>
      <c r="C10872" s="3" t="s">
        <v>11281</v>
      </c>
      <c r="D10872" s="3" t="s">
        <v>17901</v>
      </c>
      <c r="E10872" s="3" t="s">
        <v>17902</v>
      </c>
      <c r="F10872" s="3" t="s">
        <v>17901</v>
      </c>
    </row>
    <row r="10873">
      <c r="A10873" s="3">
        <v>2337.0</v>
      </c>
      <c r="B10873" s="3" t="s">
        <v>19423</v>
      </c>
      <c r="C10873" s="3" t="s">
        <v>11281</v>
      </c>
      <c r="D10873" s="3" t="s">
        <v>17903</v>
      </c>
      <c r="E10873" s="3" t="s">
        <v>17904</v>
      </c>
      <c r="F10873" s="3" t="s">
        <v>17903</v>
      </c>
    </row>
    <row r="10874">
      <c r="A10874" s="3">
        <v>2338.0</v>
      </c>
      <c r="B10874" s="3" t="s">
        <v>19423</v>
      </c>
      <c r="C10874" s="3" t="s">
        <v>11281</v>
      </c>
      <c r="D10874" s="3" t="s">
        <v>17905</v>
      </c>
      <c r="E10874" s="3" t="s">
        <v>17906</v>
      </c>
      <c r="F10874" s="3" t="s">
        <v>17905</v>
      </c>
    </row>
    <row r="10875">
      <c r="A10875" s="3">
        <v>2339.0</v>
      </c>
      <c r="B10875" s="3" t="s">
        <v>19423</v>
      </c>
      <c r="C10875" s="3" t="s">
        <v>11281</v>
      </c>
      <c r="D10875" s="3" t="s">
        <v>17907</v>
      </c>
      <c r="E10875" s="3" t="s">
        <v>17908</v>
      </c>
      <c r="F10875" s="3" t="s">
        <v>17907</v>
      </c>
    </row>
    <row r="10876">
      <c r="A10876" s="3">
        <v>2340.0</v>
      </c>
      <c r="B10876" s="3" t="s">
        <v>19423</v>
      </c>
      <c r="C10876" s="3" t="s">
        <v>11281</v>
      </c>
      <c r="D10876" s="3" t="s">
        <v>17909</v>
      </c>
      <c r="E10876" s="3" t="s">
        <v>17910</v>
      </c>
      <c r="F10876" s="3" t="s">
        <v>17909</v>
      </c>
      <c r="G10876" s="3"/>
      <c r="H10876" s="3" t="s">
        <v>17911</v>
      </c>
      <c r="I10876" s="3" t="s">
        <v>17912</v>
      </c>
      <c r="J10876" s="3" t="s">
        <v>17913</v>
      </c>
      <c r="K10876" s="3" t="s">
        <v>12663</v>
      </c>
      <c r="L10876" s="3" t="s">
        <v>17914</v>
      </c>
    </row>
    <row r="10877">
      <c r="A10877" s="3">
        <v>2341.0</v>
      </c>
      <c r="B10877" s="3" t="s">
        <v>19423</v>
      </c>
      <c r="C10877" s="3" t="s">
        <v>11281</v>
      </c>
      <c r="D10877" s="3" t="s">
        <v>17915</v>
      </c>
      <c r="E10877" s="3" t="s">
        <v>17916</v>
      </c>
      <c r="F10877" s="3" t="s">
        <v>17915</v>
      </c>
    </row>
    <row r="10878">
      <c r="A10878" s="3">
        <v>2342.0</v>
      </c>
      <c r="B10878" s="3" t="s">
        <v>19423</v>
      </c>
      <c r="C10878" s="3" t="s">
        <v>11281</v>
      </c>
      <c r="D10878" s="3" t="s">
        <v>17917</v>
      </c>
      <c r="E10878" s="3" t="s">
        <v>17918</v>
      </c>
      <c r="F10878" s="3" t="s">
        <v>17917</v>
      </c>
    </row>
    <row r="10879">
      <c r="A10879" s="3">
        <v>2343.0</v>
      </c>
      <c r="B10879" s="3" t="s">
        <v>19423</v>
      </c>
      <c r="C10879" s="3" t="s">
        <v>11281</v>
      </c>
      <c r="D10879" s="3" t="s">
        <v>17919</v>
      </c>
      <c r="E10879" s="3" t="s">
        <v>17920</v>
      </c>
      <c r="F10879" s="3" t="s">
        <v>17919</v>
      </c>
      <c r="G10879" s="3"/>
      <c r="H10879" s="3" t="s">
        <v>17921</v>
      </c>
    </row>
    <row r="10880">
      <c r="A10880" s="3">
        <v>2344.0</v>
      </c>
      <c r="B10880" s="3" t="s">
        <v>19423</v>
      </c>
      <c r="C10880" s="3" t="s">
        <v>11281</v>
      </c>
      <c r="D10880" s="3" t="s">
        <v>17922</v>
      </c>
      <c r="E10880" s="3" t="s">
        <v>17923</v>
      </c>
      <c r="F10880" s="3" t="s">
        <v>17922</v>
      </c>
    </row>
    <row r="10881">
      <c r="A10881" s="3">
        <v>2345.0</v>
      </c>
      <c r="B10881" s="3" t="s">
        <v>19423</v>
      </c>
      <c r="C10881" s="3" t="s">
        <v>11281</v>
      </c>
      <c r="D10881" s="3" t="s">
        <v>17924</v>
      </c>
      <c r="E10881" s="3" t="s">
        <v>17925</v>
      </c>
      <c r="F10881" s="3" t="s">
        <v>17924</v>
      </c>
    </row>
    <row r="10882">
      <c r="A10882" s="3">
        <v>2346.0</v>
      </c>
      <c r="B10882" s="3" t="s">
        <v>19423</v>
      </c>
      <c r="C10882" s="3" t="s">
        <v>11281</v>
      </c>
      <c r="D10882" s="3" t="s">
        <v>17926</v>
      </c>
      <c r="E10882" s="3" t="s">
        <v>17927</v>
      </c>
      <c r="F10882" s="3" t="s">
        <v>17926</v>
      </c>
    </row>
    <row r="10883">
      <c r="A10883" s="3">
        <v>2347.0</v>
      </c>
      <c r="B10883" s="3" t="s">
        <v>19423</v>
      </c>
      <c r="C10883" s="3" t="s">
        <v>11281</v>
      </c>
      <c r="D10883" s="3" t="s">
        <v>17928</v>
      </c>
      <c r="E10883" s="3" t="s">
        <v>17929</v>
      </c>
      <c r="F10883" s="3" t="s">
        <v>17928</v>
      </c>
    </row>
    <row r="10884">
      <c r="A10884" s="3">
        <v>2348.0</v>
      </c>
      <c r="B10884" s="3" t="s">
        <v>19423</v>
      </c>
      <c r="C10884" s="3" t="s">
        <v>11281</v>
      </c>
      <c r="D10884" s="3" t="s">
        <v>17930</v>
      </c>
      <c r="E10884" s="3" t="s">
        <v>17931</v>
      </c>
      <c r="F10884" s="3" t="s">
        <v>17930</v>
      </c>
    </row>
    <row r="10885">
      <c r="A10885" s="3">
        <v>2349.0</v>
      </c>
      <c r="B10885" s="3" t="s">
        <v>19423</v>
      </c>
      <c r="C10885" s="3" t="s">
        <v>11281</v>
      </c>
      <c r="D10885" s="3" t="s">
        <v>17932</v>
      </c>
      <c r="E10885" s="3" t="s">
        <v>17933</v>
      </c>
      <c r="F10885" s="3" t="s">
        <v>17932</v>
      </c>
    </row>
    <row r="10886">
      <c r="A10886" s="3">
        <v>2350.0</v>
      </c>
      <c r="B10886" s="3" t="s">
        <v>19423</v>
      </c>
      <c r="C10886" s="3" t="s">
        <v>11281</v>
      </c>
      <c r="D10886" s="3" t="s">
        <v>17934</v>
      </c>
      <c r="E10886" s="3" t="s">
        <v>17935</v>
      </c>
      <c r="F10886" s="3" t="s">
        <v>17934</v>
      </c>
    </row>
    <row r="10887">
      <c r="A10887" s="3">
        <v>2351.0</v>
      </c>
      <c r="B10887" s="3" t="s">
        <v>19423</v>
      </c>
      <c r="C10887" s="3" t="s">
        <v>11281</v>
      </c>
      <c r="D10887" s="3" t="s">
        <v>17936</v>
      </c>
      <c r="E10887" s="3" t="s">
        <v>17937</v>
      </c>
      <c r="F10887" s="3" t="s">
        <v>17936</v>
      </c>
    </row>
    <row r="10888">
      <c r="A10888" s="3">
        <v>2352.0</v>
      </c>
      <c r="B10888" s="3" t="s">
        <v>19423</v>
      </c>
      <c r="C10888" s="3" t="s">
        <v>11281</v>
      </c>
      <c r="D10888" s="3" t="s">
        <v>174</v>
      </c>
      <c r="E10888" s="3" t="s">
        <v>175</v>
      </c>
      <c r="F10888" s="3" t="s">
        <v>174</v>
      </c>
      <c r="G10888" s="3"/>
      <c r="H10888" s="3" t="s">
        <v>174</v>
      </c>
      <c r="I10888" s="3" t="s">
        <v>17938</v>
      </c>
      <c r="J10888" s="3" t="s">
        <v>17939</v>
      </c>
      <c r="K10888" s="3" t="s">
        <v>17940</v>
      </c>
      <c r="L10888" s="3" t="s">
        <v>17941</v>
      </c>
      <c r="M10888" s="3" t="s">
        <v>17942</v>
      </c>
    </row>
    <row r="10889">
      <c r="A10889" s="3">
        <v>2353.0</v>
      </c>
      <c r="B10889" s="3" t="s">
        <v>19423</v>
      </c>
      <c r="C10889" s="3" t="s">
        <v>11281</v>
      </c>
      <c r="D10889" s="3" t="s">
        <v>17943</v>
      </c>
      <c r="E10889" s="3" t="s">
        <v>17944</v>
      </c>
      <c r="F10889" s="3" t="s">
        <v>17943</v>
      </c>
      <c r="G10889" s="3"/>
      <c r="H10889" s="3" t="s">
        <v>17945</v>
      </c>
      <c r="I10889" s="3" t="s">
        <v>17946</v>
      </c>
      <c r="J10889" s="3" t="s">
        <v>17947</v>
      </c>
      <c r="K10889" s="3" t="s">
        <v>17948</v>
      </c>
      <c r="L10889" s="3" t="s">
        <v>17949</v>
      </c>
      <c r="M10889" s="3" t="s">
        <v>17950</v>
      </c>
      <c r="N10889" s="3" t="s">
        <v>17951</v>
      </c>
    </row>
    <row r="10890">
      <c r="A10890" s="3">
        <v>2354.0</v>
      </c>
      <c r="B10890" s="3" t="s">
        <v>19423</v>
      </c>
      <c r="C10890" s="3" t="s">
        <v>11281</v>
      </c>
      <c r="D10890" s="3" t="s">
        <v>17952</v>
      </c>
      <c r="E10890" s="3" t="s">
        <v>17953</v>
      </c>
      <c r="F10890" s="3" t="s">
        <v>17952</v>
      </c>
    </row>
    <row r="10891">
      <c r="A10891" s="3">
        <v>2355.0</v>
      </c>
      <c r="B10891" s="3" t="s">
        <v>19423</v>
      </c>
      <c r="C10891" s="3" t="s">
        <v>11281</v>
      </c>
      <c r="D10891" s="3" t="s">
        <v>17954</v>
      </c>
      <c r="E10891" s="3" t="s">
        <v>17955</v>
      </c>
      <c r="F10891" s="3" t="s">
        <v>17956</v>
      </c>
    </row>
    <row r="10892">
      <c r="A10892" s="3">
        <v>2356.0</v>
      </c>
      <c r="B10892" s="3" t="s">
        <v>19423</v>
      </c>
      <c r="C10892" s="3" t="s">
        <v>11281</v>
      </c>
      <c r="D10892" s="3" t="s">
        <v>17957</v>
      </c>
      <c r="E10892" s="3" t="s">
        <v>17958</v>
      </c>
      <c r="F10892" s="3" t="s">
        <v>17959</v>
      </c>
    </row>
    <row r="10893">
      <c r="A10893" s="3">
        <v>2357.0</v>
      </c>
      <c r="B10893" s="3" t="s">
        <v>19423</v>
      </c>
      <c r="C10893" s="3" t="s">
        <v>11281</v>
      </c>
      <c r="D10893" s="3" t="s">
        <v>17960</v>
      </c>
      <c r="E10893" s="3" t="s">
        <v>17961</v>
      </c>
      <c r="F10893" s="3" t="s">
        <v>17962</v>
      </c>
    </row>
    <row r="10894">
      <c r="A10894" s="3">
        <v>2358.0</v>
      </c>
      <c r="B10894" s="3" t="s">
        <v>19423</v>
      </c>
      <c r="C10894" s="3" t="s">
        <v>11281</v>
      </c>
      <c r="D10894" s="3" t="s">
        <v>17963</v>
      </c>
      <c r="E10894" s="3" t="s">
        <v>17964</v>
      </c>
      <c r="F10894" s="3" t="s">
        <v>17965</v>
      </c>
    </row>
    <row r="10895">
      <c r="A10895" s="3">
        <v>2359.0</v>
      </c>
      <c r="B10895" s="3" t="s">
        <v>19423</v>
      </c>
      <c r="C10895" s="3" t="s">
        <v>11281</v>
      </c>
      <c r="D10895" s="3" t="s">
        <v>17966</v>
      </c>
      <c r="E10895" s="3" t="s">
        <v>17967</v>
      </c>
      <c r="F10895" s="3" t="s">
        <v>17968</v>
      </c>
    </row>
    <row r="10896">
      <c r="A10896" s="3">
        <v>2360.0</v>
      </c>
      <c r="B10896" s="3" t="s">
        <v>19423</v>
      </c>
      <c r="C10896" s="3" t="s">
        <v>11281</v>
      </c>
      <c r="D10896" s="3" t="s">
        <v>17969</v>
      </c>
      <c r="E10896" s="3" t="s">
        <v>17970</v>
      </c>
      <c r="F10896" s="3" t="s">
        <v>17971</v>
      </c>
    </row>
    <row r="10897">
      <c r="A10897" s="3">
        <v>2361.0</v>
      </c>
      <c r="B10897" s="3" t="s">
        <v>19423</v>
      </c>
      <c r="C10897" s="3" t="s">
        <v>11281</v>
      </c>
      <c r="D10897" s="3" t="s">
        <v>17972</v>
      </c>
      <c r="E10897" s="3" t="s">
        <v>17973</v>
      </c>
      <c r="F10897" s="3" t="s">
        <v>17974</v>
      </c>
    </row>
    <row r="10898">
      <c r="A10898" s="3">
        <v>2362.0</v>
      </c>
      <c r="B10898" s="3" t="s">
        <v>19423</v>
      </c>
      <c r="C10898" s="3" t="s">
        <v>11281</v>
      </c>
      <c r="D10898" s="3" t="s">
        <v>17975</v>
      </c>
      <c r="E10898" s="3" t="s">
        <v>17976</v>
      </c>
      <c r="F10898" s="3" t="s">
        <v>17977</v>
      </c>
    </row>
    <row r="10899">
      <c r="A10899" s="3">
        <v>2363.0</v>
      </c>
      <c r="B10899" s="3" t="s">
        <v>19423</v>
      </c>
      <c r="C10899" s="3" t="s">
        <v>11281</v>
      </c>
      <c r="D10899" s="3" t="s">
        <v>17978</v>
      </c>
      <c r="E10899" s="3" t="s">
        <v>17979</v>
      </c>
      <c r="F10899" s="3" t="s">
        <v>17980</v>
      </c>
    </row>
    <row r="10900">
      <c r="A10900" s="3">
        <v>2364.0</v>
      </c>
      <c r="B10900" s="3" t="s">
        <v>19423</v>
      </c>
      <c r="C10900" s="3" t="s">
        <v>11281</v>
      </c>
      <c r="D10900" s="3" t="s">
        <v>17981</v>
      </c>
      <c r="E10900" s="3" t="s">
        <v>17982</v>
      </c>
      <c r="F10900" s="3" t="s">
        <v>17983</v>
      </c>
    </row>
    <row r="10901">
      <c r="A10901" s="3">
        <v>2365.0</v>
      </c>
      <c r="B10901" s="3" t="s">
        <v>19423</v>
      </c>
      <c r="C10901" s="3" t="s">
        <v>11281</v>
      </c>
      <c r="D10901" s="3" t="s">
        <v>17984</v>
      </c>
      <c r="E10901" s="3" t="s">
        <v>17985</v>
      </c>
      <c r="F10901" s="3" t="s">
        <v>17986</v>
      </c>
      <c r="G10901" s="3"/>
      <c r="H10901" s="3" t="s">
        <v>17987</v>
      </c>
      <c r="I10901" s="3" t="s">
        <v>5426</v>
      </c>
      <c r="J10901" s="3" t="s">
        <v>5426</v>
      </c>
    </row>
    <row r="10902">
      <c r="A10902" s="3">
        <v>2366.0</v>
      </c>
      <c r="B10902" s="3" t="s">
        <v>19423</v>
      </c>
      <c r="C10902" s="3" t="s">
        <v>11281</v>
      </c>
      <c r="D10902" s="3" t="s">
        <v>17988</v>
      </c>
      <c r="E10902" s="3" t="s">
        <v>17989</v>
      </c>
      <c r="F10902" s="3" t="s">
        <v>17990</v>
      </c>
    </row>
    <row r="10903">
      <c r="A10903" s="3">
        <v>2367.0</v>
      </c>
      <c r="B10903" s="3" t="s">
        <v>19423</v>
      </c>
      <c r="C10903" s="3" t="s">
        <v>11281</v>
      </c>
      <c r="D10903" s="3" t="s">
        <v>17991</v>
      </c>
      <c r="E10903" s="3" t="s">
        <v>17992</v>
      </c>
      <c r="F10903" s="3" t="s">
        <v>14425</v>
      </c>
    </row>
    <row r="10904">
      <c r="A10904" s="3">
        <v>2368.0</v>
      </c>
      <c r="B10904" s="3" t="s">
        <v>19423</v>
      </c>
      <c r="C10904" s="3" t="s">
        <v>11281</v>
      </c>
      <c r="D10904" s="3" t="s">
        <v>17993</v>
      </c>
      <c r="E10904" s="3" t="s">
        <v>17994</v>
      </c>
      <c r="F10904" s="3" t="s">
        <v>14431</v>
      </c>
    </row>
    <row r="10905">
      <c r="A10905" s="3">
        <v>2369.0</v>
      </c>
      <c r="B10905" s="3" t="s">
        <v>19423</v>
      </c>
      <c r="C10905" s="3" t="s">
        <v>11281</v>
      </c>
      <c r="D10905" s="3" t="s">
        <v>17995</v>
      </c>
      <c r="E10905" s="3" t="s">
        <v>9405</v>
      </c>
      <c r="F10905" s="3" t="s">
        <v>9406</v>
      </c>
    </row>
    <row r="10906">
      <c r="A10906" s="3">
        <v>2370.0</v>
      </c>
      <c r="B10906" s="3" t="s">
        <v>19423</v>
      </c>
      <c r="C10906" s="3" t="s">
        <v>11281</v>
      </c>
      <c r="D10906" s="3" t="s">
        <v>17996</v>
      </c>
      <c r="E10906" s="3" t="s">
        <v>8254</v>
      </c>
      <c r="F10906" s="3" t="s">
        <v>8255</v>
      </c>
    </row>
    <row r="10907">
      <c r="A10907" s="3">
        <v>2371.0</v>
      </c>
      <c r="B10907" s="3" t="s">
        <v>19423</v>
      </c>
      <c r="C10907" s="3" t="s">
        <v>11281</v>
      </c>
      <c r="D10907" s="3" t="s">
        <v>17997</v>
      </c>
      <c r="E10907" s="3" t="s">
        <v>17998</v>
      </c>
      <c r="F10907" s="3" t="s">
        <v>17999</v>
      </c>
    </row>
    <row r="10908">
      <c r="A10908" s="3">
        <v>2372.0</v>
      </c>
      <c r="B10908" s="3" t="s">
        <v>19423</v>
      </c>
      <c r="C10908" s="3" t="s">
        <v>11281</v>
      </c>
      <c r="D10908" s="3" t="s">
        <v>18000</v>
      </c>
      <c r="E10908" s="3" t="s">
        <v>18001</v>
      </c>
      <c r="F10908" s="3" t="s">
        <v>18002</v>
      </c>
    </row>
    <row r="10909">
      <c r="A10909" s="3">
        <v>2373.0</v>
      </c>
      <c r="B10909" s="3" t="s">
        <v>19423</v>
      </c>
      <c r="C10909" s="3" t="s">
        <v>11281</v>
      </c>
      <c r="D10909" s="3" t="s">
        <v>18003</v>
      </c>
      <c r="E10909" s="3" t="s">
        <v>18004</v>
      </c>
      <c r="F10909" s="3" t="s">
        <v>18005</v>
      </c>
    </row>
    <row r="10910">
      <c r="A10910" s="3">
        <v>2374.0</v>
      </c>
      <c r="B10910" s="3" t="s">
        <v>19423</v>
      </c>
      <c r="C10910" s="3" t="s">
        <v>11281</v>
      </c>
      <c r="D10910" s="3" t="s">
        <v>18006</v>
      </c>
      <c r="E10910" s="3" t="s">
        <v>18007</v>
      </c>
      <c r="F10910" s="3" t="s">
        <v>18008</v>
      </c>
    </row>
    <row r="10911">
      <c r="A10911" s="3">
        <v>2375.0</v>
      </c>
      <c r="B10911" s="3" t="s">
        <v>19423</v>
      </c>
      <c r="C10911" s="3" t="s">
        <v>11281</v>
      </c>
      <c r="D10911" s="3" t="s">
        <v>18009</v>
      </c>
      <c r="E10911" s="3" t="s">
        <v>18010</v>
      </c>
      <c r="F10911" s="3" t="s">
        <v>18011</v>
      </c>
    </row>
    <row r="10912">
      <c r="A10912" s="3">
        <v>2376.0</v>
      </c>
      <c r="B10912" s="3" t="s">
        <v>19423</v>
      </c>
      <c r="C10912" s="3" t="s">
        <v>11281</v>
      </c>
      <c r="D10912" s="3" t="s">
        <v>18012</v>
      </c>
      <c r="E10912" s="3" t="s">
        <v>18013</v>
      </c>
      <c r="F10912" s="3" t="s">
        <v>18014</v>
      </c>
    </row>
    <row r="10913">
      <c r="A10913" s="3">
        <v>2377.0</v>
      </c>
      <c r="B10913" s="3" t="s">
        <v>19423</v>
      </c>
      <c r="C10913" s="3" t="s">
        <v>11281</v>
      </c>
      <c r="D10913" s="3" t="s">
        <v>18015</v>
      </c>
      <c r="E10913" s="3" t="s">
        <v>7738</v>
      </c>
      <c r="F10913" s="3" t="s">
        <v>5438</v>
      </c>
    </row>
    <row r="10914">
      <c r="A10914" s="3">
        <v>2378.0</v>
      </c>
      <c r="B10914" s="3" t="s">
        <v>19423</v>
      </c>
      <c r="C10914" s="3" t="s">
        <v>11281</v>
      </c>
      <c r="D10914" s="3" t="s">
        <v>18016</v>
      </c>
      <c r="E10914" s="3" t="s">
        <v>18017</v>
      </c>
      <c r="F10914" s="3" t="s">
        <v>15265</v>
      </c>
    </row>
    <row r="10915">
      <c r="A10915" s="3">
        <v>2379.0</v>
      </c>
      <c r="B10915" s="3" t="s">
        <v>19423</v>
      </c>
      <c r="C10915" s="3" t="s">
        <v>11281</v>
      </c>
      <c r="D10915" s="3" t="s">
        <v>18018</v>
      </c>
      <c r="E10915" s="3" t="s">
        <v>18019</v>
      </c>
      <c r="F10915" s="3" t="s">
        <v>15268</v>
      </c>
      <c r="G10915" s="3"/>
      <c r="H10915" s="3" t="s">
        <v>18020</v>
      </c>
      <c r="I10915" s="3" t="s">
        <v>12874</v>
      </c>
      <c r="J10915" s="3" t="s">
        <v>18021</v>
      </c>
      <c r="K10915" s="3" t="s">
        <v>18022</v>
      </c>
      <c r="L10915" s="3" t="s">
        <v>18021</v>
      </c>
      <c r="M10915" s="3" t="s">
        <v>18023</v>
      </c>
      <c r="N10915" s="3" t="s">
        <v>18020</v>
      </c>
      <c r="O10915" s="3" t="s">
        <v>18021</v>
      </c>
      <c r="P10915" s="3" t="s">
        <v>18024</v>
      </c>
      <c r="Q10915" s="3" t="s">
        <v>15115</v>
      </c>
      <c r="R10915" s="3" t="s">
        <v>18025</v>
      </c>
      <c r="S10915" s="3" t="s">
        <v>18026</v>
      </c>
      <c r="T10915" s="3" t="s">
        <v>18027</v>
      </c>
      <c r="U10915" s="3" t="s">
        <v>18028</v>
      </c>
      <c r="V10915" s="3" t="s">
        <v>18029</v>
      </c>
      <c r="W10915" s="3" t="s">
        <v>18030</v>
      </c>
      <c r="X10915" s="3" t="s">
        <v>18031</v>
      </c>
      <c r="Y10915" s="3" t="s">
        <v>18031</v>
      </c>
      <c r="Z10915" s="3" t="s">
        <v>18032</v>
      </c>
      <c r="AA10915" s="3" t="s">
        <v>12874</v>
      </c>
      <c r="AB10915" s="3" t="s">
        <v>12874</v>
      </c>
      <c r="AC10915" s="3" t="s">
        <v>18033</v>
      </c>
      <c r="AD10915" s="3" t="s">
        <v>18020</v>
      </c>
      <c r="AE10915" s="3" t="s">
        <v>1852</v>
      </c>
      <c r="AF10915" s="3" t="s">
        <v>1853</v>
      </c>
      <c r="AG10915" s="3" t="s">
        <v>1854</v>
      </c>
      <c r="AH10915" s="3" t="s">
        <v>1855</v>
      </c>
      <c r="AI10915" s="3" t="s">
        <v>1856</v>
      </c>
      <c r="AJ10915" s="3" t="s">
        <v>1857</v>
      </c>
      <c r="AK10915" s="3" t="s">
        <v>1858</v>
      </c>
      <c r="AL10915" s="3" t="s">
        <v>1859</v>
      </c>
      <c r="AM10915" s="3" t="s">
        <v>1860</v>
      </c>
      <c r="AN10915" s="3" t="s">
        <v>1861</v>
      </c>
      <c r="AO10915" s="3" t="s">
        <v>1862</v>
      </c>
      <c r="AP10915" s="3" t="s">
        <v>1863</v>
      </c>
      <c r="AQ10915" s="3" t="s">
        <v>18022</v>
      </c>
      <c r="AR10915" s="3" t="s">
        <v>17480</v>
      </c>
      <c r="AS10915" s="3" t="s">
        <v>14193</v>
      </c>
      <c r="AT10915" s="3" t="s">
        <v>18034</v>
      </c>
      <c r="AU10915" s="3" t="s">
        <v>18035</v>
      </c>
      <c r="AV10915" s="3" t="s">
        <v>6763</v>
      </c>
      <c r="AW10915" s="3" t="s">
        <v>18020</v>
      </c>
      <c r="AX10915" s="3" t="s">
        <v>14193</v>
      </c>
      <c r="AY10915" s="3" t="s">
        <v>18036</v>
      </c>
      <c r="AZ10915" s="3" t="s">
        <v>18020</v>
      </c>
    </row>
    <row r="10916">
      <c r="A10916" s="3">
        <v>2380.0</v>
      </c>
      <c r="B10916" s="3" t="s">
        <v>19423</v>
      </c>
      <c r="C10916" s="3" t="s">
        <v>11281</v>
      </c>
      <c r="D10916" s="3" t="s">
        <v>18037</v>
      </c>
      <c r="E10916" s="3" t="s">
        <v>8612</v>
      </c>
      <c r="F10916" s="3" t="s">
        <v>8613</v>
      </c>
    </row>
    <row r="10917">
      <c r="A10917" s="3">
        <v>2381.0</v>
      </c>
      <c r="B10917" s="3" t="s">
        <v>19423</v>
      </c>
      <c r="C10917" s="3" t="s">
        <v>11281</v>
      </c>
      <c r="D10917" s="3" t="s">
        <v>18038</v>
      </c>
      <c r="E10917" s="3" t="s">
        <v>18039</v>
      </c>
      <c r="F10917" s="3" t="s">
        <v>15273</v>
      </c>
    </row>
    <row r="10918">
      <c r="A10918" s="3">
        <v>2382.0</v>
      </c>
      <c r="B10918" s="3" t="s">
        <v>19423</v>
      </c>
      <c r="C10918" s="3" t="s">
        <v>11281</v>
      </c>
      <c r="D10918" s="3" t="s">
        <v>18040</v>
      </c>
      <c r="E10918" s="3" t="s">
        <v>18041</v>
      </c>
      <c r="F10918" s="3" t="s">
        <v>15276</v>
      </c>
    </row>
    <row r="10919">
      <c r="A10919" s="3">
        <v>2383.0</v>
      </c>
      <c r="B10919" s="3" t="s">
        <v>19423</v>
      </c>
      <c r="C10919" s="3" t="s">
        <v>11281</v>
      </c>
      <c r="D10919" s="3" t="s">
        <v>18042</v>
      </c>
      <c r="E10919" s="3" t="s">
        <v>7741</v>
      </c>
      <c r="F10919" s="3" t="s">
        <v>5447</v>
      </c>
    </row>
    <row r="10920">
      <c r="A10920" s="3">
        <v>2384.0</v>
      </c>
      <c r="B10920" s="3" t="s">
        <v>19423</v>
      </c>
      <c r="C10920" s="3" t="s">
        <v>11281</v>
      </c>
      <c r="D10920" s="3" t="s">
        <v>18043</v>
      </c>
      <c r="E10920" s="3" t="s">
        <v>18044</v>
      </c>
      <c r="F10920" s="3" t="s">
        <v>18045</v>
      </c>
      <c r="G10920" s="3"/>
      <c r="H10920" s="3" t="s">
        <v>18046</v>
      </c>
    </row>
    <row r="10921">
      <c r="A10921" s="3">
        <v>2385.0</v>
      </c>
      <c r="B10921" s="3" t="s">
        <v>19423</v>
      </c>
      <c r="C10921" s="3" t="s">
        <v>11281</v>
      </c>
      <c r="D10921" s="3" t="s">
        <v>18047</v>
      </c>
      <c r="E10921" s="3" t="s">
        <v>18048</v>
      </c>
      <c r="F10921" s="3" t="s">
        <v>18049</v>
      </c>
    </row>
    <row r="10922">
      <c r="A10922" s="3">
        <v>2386.0</v>
      </c>
      <c r="B10922" s="3" t="s">
        <v>19423</v>
      </c>
      <c r="C10922" s="3" t="s">
        <v>11281</v>
      </c>
      <c r="D10922" s="3" t="s">
        <v>18050</v>
      </c>
      <c r="E10922" s="3" t="s">
        <v>5493</v>
      </c>
      <c r="F10922" s="3" t="s">
        <v>5494</v>
      </c>
    </row>
    <row r="10923">
      <c r="A10923" s="3">
        <v>2387.0</v>
      </c>
      <c r="B10923" s="3" t="s">
        <v>19423</v>
      </c>
      <c r="C10923" s="3" t="s">
        <v>11281</v>
      </c>
      <c r="D10923" s="3" t="s">
        <v>18051</v>
      </c>
      <c r="E10923" s="3" t="s">
        <v>18052</v>
      </c>
      <c r="F10923" s="3" t="s">
        <v>18053</v>
      </c>
    </row>
    <row r="10924">
      <c r="A10924" s="3">
        <v>2388.0</v>
      </c>
      <c r="B10924" s="3" t="s">
        <v>19423</v>
      </c>
      <c r="C10924" s="3" t="s">
        <v>11281</v>
      </c>
      <c r="D10924" s="3" t="s">
        <v>18054</v>
      </c>
      <c r="E10924" s="3" t="s">
        <v>18055</v>
      </c>
      <c r="F10924" s="3" t="s">
        <v>18056</v>
      </c>
      <c r="G10924" s="3"/>
      <c r="H10924" s="3" t="s">
        <v>18020</v>
      </c>
      <c r="I10924" s="3" t="s">
        <v>12874</v>
      </c>
      <c r="J10924" s="3" t="s">
        <v>18021</v>
      </c>
      <c r="K10924" s="3" t="s">
        <v>18022</v>
      </c>
      <c r="L10924" s="3" t="s">
        <v>17480</v>
      </c>
      <c r="M10924" s="3" t="s">
        <v>18057</v>
      </c>
      <c r="N10924" s="3" t="s">
        <v>18058</v>
      </c>
      <c r="O10924" s="3" t="s">
        <v>18059</v>
      </c>
      <c r="P10924" s="3" t="s">
        <v>14191</v>
      </c>
      <c r="Q10924" s="3" t="s">
        <v>14192</v>
      </c>
      <c r="R10924" s="3" t="s">
        <v>14193</v>
      </c>
      <c r="S10924" s="3" t="s">
        <v>18060</v>
      </c>
      <c r="T10924" s="3" t="s">
        <v>18061</v>
      </c>
      <c r="U10924" s="3" t="s">
        <v>12561</v>
      </c>
      <c r="V10924" s="3" t="s">
        <v>9964</v>
      </c>
      <c r="W10924" s="3" t="s">
        <v>3692</v>
      </c>
      <c r="X10924" s="3" t="s">
        <v>11735</v>
      </c>
      <c r="Y10924" s="3" t="s">
        <v>11743</v>
      </c>
      <c r="Z10924" s="3" t="s">
        <v>18062</v>
      </c>
      <c r="AA10924" s="3" t="s">
        <v>18061</v>
      </c>
      <c r="AB10924" s="3" t="s">
        <v>14198</v>
      </c>
      <c r="AC10924" s="3" t="s">
        <v>17480</v>
      </c>
      <c r="AD10924" s="3" t="s">
        <v>4039</v>
      </c>
      <c r="AE10924" s="3" t="s">
        <v>18063</v>
      </c>
      <c r="AF10924" s="3" t="s">
        <v>18064</v>
      </c>
      <c r="AG10924" s="3" t="s">
        <v>18065</v>
      </c>
      <c r="AH10924" s="3" t="s">
        <v>18061</v>
      </c>
      <c r="AI10924" s="3" t="s">
        <v>18066</v>
      </c>
      <c r="AJ10924" s="3" t="s">
        <v>6238</v>
      </c>
      <c r="AK10924" s="3" t="s">
        <v>18067</v>
      </c>
      <c r="AL10924" s="3" t="s">
        <v>18068</v>
      </c>
      <c r="AM10924" s="3" t="s">
        <v>1863</v>
      </c>
      <c r="AN10924" s="3" t="s">
        <v>18069</v>
      </c>
      <c r="AO10924" s="3" t="s">
        <v>18061</v>
      </c>
      <c r="AP10924" s="3" t="s">
        <v>18070</v>
      </c>
      <c r="AQ10924" s="3" t="s">
        <v>18071</v>
      </c>
      <c r="AR10924" s="3" t="s">
        <v>5554</v>
      </c>
      <c r="AS10924" s="3" t="s">
        <v>18072</v>
      </c>
      <c r="AT10924" s="3" t="s">
        <v>18073</v>
      </c>
      <c r="AU10924" s="3" t="s">
        <v>18074</v>
      </c>
      <c r="AV10924" s="3" t="s">
        <v>18075</v>
      </c>
      <c r="AW10924" s="3" t="s">
        <v>15111</v>
      </c>
      <c r="AX10924" s="3" t="s">
        <v>15112</v>
      </c>
      <c r="AY10924" s="3" t="s">
        <v>15113</v>
      </c>
      <c r="AZ10924" s="3" t="s">
        <v>15114</v>
      </c>
      <c r="BA10924" s="3" t="s">
        <v>18076</v>
      </c>
      <c r="BB10924" s="3" t="s">
        <v>11739</v>
      </c>
      <c r="BC10924" s="3" t="s">
        <v>18077</v>
      </c>
      <c r="BD10924" s="3" t="s">
        <v>14192</v>
      </c>
      <c r="BE10924" s="3" t="s">
        <v>18078</v>
      </c>
      <c r="BF10924" s="3" t="s">
        <v>18079</v>
      </c>
      <c r="BG10924" s="3" t="s">
        <v>18080</v>
      </c>
      <c r="BH10924" s="3" t="s">
        <v>18081</v>
      </c>
      <c r="BI10924" s="3" t="s">
        <v>18082</v>
      </c>
      <c r="BJ10924" s="3" t="s">
        <v>18083</v>
      </c>
      <c r="BK10924" s="3" t="s">
        <v>18084</v>
      </c>
      <c r="BL10924" s="3" t="s">
        <v>18085</v>
      </c>
      <c r="BM10924" s="3" t="s">
        <v>18086</v>
      </c>
      <c r="BN10924" s="3" t="s">
        <v>18087</v>
      </c>
      <c r="BO10924" s="3" t="s">
        <v>17480</v>
      </c>
      <c r="BP10924" s="3" t="s">
        <v>15115</v>
      </c>
      <c r="BQ10924" s="3" t="s">
        <v>18088</v>
      </c>
      <c r="BR10924" s="3" t="s">
        <v>18066</v>
      </c>
      <c r="BS10924" s="3" t="s">
        <v>14193</v>
      </c>
      <c r="BT10924" s="3" t="s">
        <v>17454</v>
      </c>
      <c r="BU10924" s="3" t="s">
        <v>18089</v>
      </c>
      <c r="BV10924" s="3" t="s">
        <v>18061</v>
      </c>
      <c r="BW10924" s="3" t="s">
        <v>17159</v>
      </c>
      <c r="BX10924" s="3" t="s">
        <v>12871</v>
      </c>
      <c r="BY10924" s="3" t="s">
        <v>18090</v>
      </c>
      <c r="BZ10924" s="3" t="s">
        <v>10961</v>
      </c>
      <c r="CA10924" s="3" t="s">
        <v>18022</v>
      </c>
      <c r="CB10924" s="3" t="s">
        <v>17480</v>
      </c>
      <c r="CC10924" s="3" t="s">
        <v>14193</v>
      </c>
      <c r="CD10924" s="3" t="s">
        <v>18034</v>
      </c>
      <c r="CE10924" s="3" t="s">
        <v>18020</v>
      </c>
      <c r="CF10924" s="3" t="s">
        <v>14193</v>
      </c>
      <c r="CG10924" s="3" t="s">
        <v>18036</v>
      </c>
      <c r="CH10924" s="3" t="s">
        <v>18020</v>
      </c>
    </row>
    <row r="10925">
      <c r="A10925" s="3">
        <v>2389.0</v>
      </c>
      <c r="B10925" s="3" t="s">
        <v>19423</v>
      </c>
      <c r="C10925" s="3" t="s">
        <v>11281</v>
      </c>
      <c r="D10925" s="3" t="s">
        <v>18091</v>
      </c>
      <c r="E10925" s="3" t="s">
        <v>18092</v>
      </c>
      <c r="F10925" s="3" t="s">
        <v>18093</v>
      </c>
    </row>
    <row r="10926">
      <c r="A10926" s="3">
        <v>2390.0</v>
      </c>
      <c r="B10926" s="3" t="s">
        <v>19423</v>
      </c>
      <c r="C10926" s="3" t="s">
        <v>11281</v>
      </c>
      <c r="D10926" s="3" t="s">
        <v>18094</v>
      </c>
      <c r="E10926" s="3" t="s">
        <v>18095</v>
      </c>
      <c r="F10926" s="3" t="s">
        <v>18096</v>
      </c>
    </row>
    <row r="10927">
      <c r="A10927" s="3">
        <v>2391.0</v>
      </c>
      <c r="B10927" s="3" t="s">
        <v>19423</v>
      </c>
      <c r="C10927" s="3" t="s">
        <v>11281</v>
      </c>
      <c r="D10927" s="3" t="s">
        <v>18097</v>
      </c>
      <c r="E10927" s="3" t="s">
        <v>18098</v>
      </c>
      <c r="F10927" s="3" t="s">
        <v>18099</v>
      </c>
    </row>
    <row r="10928">
      <c r="A10928" s="3">
        <v>2392.0</v>
      </c>
      <c r="B10928" s="3" t="s">
        <v>19423</v>
      </c>
      <c r="C10928" s="3" t="s">
        <v>11281</v>
      </c>
      <c r="D10928" s="3" t="s">
        <v>18100</v>
      </c>
      <c r="E10928" s="3" t="s">
        <v>18101</v>
      </c>
      <c r="F10928" s="3" t="s">
        <v>18102</v>
      </c>
    </row>
    <row r="10929">
      <c r="A10929" s="3">
        <v>2393.0</v>
      </c>
      <c r="B10929" s="3" t="s">
        <v>19423</v>
      </c>
      <c r="C10929" s="3" t="s">
        <v>11281</v>
      </c>
      <c r="D10929" s="3" t="s">
        <v>18103</v>
      </c>
      <c r="E10929" s="3" t="s">
        <v>18104</v>
      </c>
      <c r="F10929" s="3" t="s">
        <v>18105</v>
      </c>
    </row>
    <row r="10930">
      <c r="A10930" s="3">
        <v>2394.0</v>
      </c>
      <c r="B10930" s="3" t="s">
        <v>19423</v>
      </c>
      <c r="C10930" s="3" t="s">
        <v>11281</v>
      </c>
      <c r="D10930" s="3" t="s">
        <v>18106</v>
      </c>
      <c r="E10930" s="3" t="s">
        <v>5502</v>
      </c>
      <c r="F10930" s="3" t="s">
        <v>5503</v>
      </c>
    </row>
    <row r="10931">
      <c r="A10931" s="3">
        <v>2395.0</v>
      </c>
      <c r="B10931" s="3" t="s">
        <v>19423</v>
      </c>
      <c r="C10931" s="3" t="s">
        <v>11281</v>
      </c>
      <c r="D10931" s="3" t="s">
        <v>18107</v>
      </c>
      <c r="E10931" s="3" t="s">
        <v>18108</v>
      </c>
      <c r="F10931" s="3" t="s">
        <v>18109</v>
      </c>
    </row>
    <row r="10932">
      <c r="A10932" s="3">
        <v>2396.0</v>
      </c>
      <c r="B10932" s="3" t="s">
        <v>19423</v>
      </c>
      <c r="C10932" s="3" t="s">
        <v>11281</v>
      </c>
      <c r="D10932" s="3" t="s">
        <v>18110</v>
      </c>
      <c r="E10932" s="3" t="s">
        <v>20351</v>
      </c>
      <c r="F10932" s="3" t="s">
        <v>20352</v>
      </c>
    </row>
    <row r="10933">
      <c r="A10933" s="3">
        <v>2397.0</v>
      </c>
      <c r="B10933" s="3" t="s">
        <v>19423</v>
      </c>
      <c r="C10933" s="3" t="s">
        <v>11281</v>
      </c>
      <c r="D10933" s="3" t="s">
        <v>18113</v>
      </c>
      <c r="E10933" s="3" t="s">
        <v>20353</v>
      </c>
      <c r="F10933" s="3" t="s">
        <v>20354</v>
      </c>
    </row>
    <row r="10934">
      <c r="A10934" s="3">
        <v>2398.0</v>
      </c>
      <c r="B10934" s="3" t="s">
        <v>19423</v>
      </c>
      <c r="C10934" s="3" t="s">
        <v>11281</v>
      </c>
      <c r="D10934" s="3" t="s">
        <v>18116</v>
      </c>
      <c r="E10934" s="3" t="s">
        <v>18117</v>
      </c>
      <c r="F10934" s="3" t="s">
        <v>5494</v>
      </c>
      <c r="G10934" s="3"/>
      <c r="H10934" s="3" t="s">
        <v>18116</v>
      </c>
      <c r="I10934" s="3" t="s">
        <v>8087</v>
      </c>
      <c r="J10934" s="3" t="s">
        <v>18118</v>
      </c>
      <c r="K10934" s="3" t="s">
        <v>18119</v>
      </c>
      <c r="L10934" s="3" t="s">
        <v>18120</v>
      </c>
      <c r="M10934" s="3" t="s">
        <v>18121</v>
      </c>
      <c r="N10934" s="3" t="s">
        <v>18122</v>
      </c>
      <c r="O10934" s="3" t="s">
        <v>18123</v>
      </c>
      <c r="P10934" s="3" t="s">
        <v>1499</v>
      </c>
      <c r="Q10934" s="3" t="s">
        <v>18124</v>
      </c>
      <c r="R10934" s="3" t="s">
        <v>14324</v>
      </c>
      <c r="S10934" s="3" t="s">
        <v>18125</v>
      </c>
      <c r="T10934" s="3" t="s">
        <v>18126</v>
      </c>
      <c r="U10934" s="3" t="s">
        <v>18127</v>
      </c>
      <c r="V10934" s="3" t="s">
        <v>18128</v>
      </c>
      <c r="W10934" s="3" t="s">
        <v>18129</v>
      </c>
      <c r="X10934" s="3" t="s">
        <v>14323</v>
      </c>
      <c r="Y10934" s="3" t="s">
        <v>18130</v>
      </c>
      <c r="Z10934" s="3" t="s">
        <v>18131</v>
      </c>
      <c r="AA10934" s="3" t="s">
        <v>18132</v>
      </c>
    </row>
    <row r="10935">
      <c r="A10935" s="3">
        <v>2399.0</v>
      </c>
      <c r="B10935" s="3" t="s">
        <v>19423</v>
      </c>
      <c r="C10935" s="3" t="s">
        <v>11281</v>
      </c>
      <c r="D10935" s="3" t="s">
        <v>18133</v>
      </c>
      <c r="E10935" s="3" t="s">
        <v>18134</v>
      </c>
      <c r="F10935" s="3" t="s">
        <v>5503</v>
      </c>
    </row>
    <row r="10936">
      <c r="A10936" s="3">
        <v>2400.0</v>
      </c>
      <c r="B10936" s="3" t="s">
        <v>19423</v>
      </c>
      <c r="C10936" s="3" t="s">
        <v>11281</v>
      </c>
      <c r="D10936" s="3" t="s">
        <v>18135</v>
      </c>
      <c r="E10936" s="3" t="s">
        <v>20355</v>
      </c>
      <c r="F10936" s="3" t="s">
        <v>20356</v>
      </c>
      <c r="G10936" s="3"/>
      <c r="H10936" s="3" t="s">
        <v>18136</v>
      </c>
      <c r="I10936" s="3" t="s">
        <v>18137</v>
      </c>
    </row>
    <row r="10937">
      <c r="A10937" s="3">
        <v>2401.0</v>
      </c>
      <c r="B10937" s="3" t="s">
        <v>19423</v>
      </c>
      <c r="C10937" s="3" t="s">
        <v>11281</v>
      </c>
      <c r="D10937" s="3" t="s">
        <v>18138</v>
      </c>
      <c r="E10937" s="3" t="s">
        <v>18139</v>
      </c>
      <c r="F10937" s="3" t="s">
        <v>18140</v>
      </c>
    </row>
    <row r="10938">
      <c r="A10938" s="3">
        <v>2402.0</v>
      </c>
      <c r="B10938" s="3" t="s">
        <v>19423</v>
      </c>
      <c r="C10938" s="3" t="s">
        <v>11281</v>
      </c>
      <c r="D10938" s="3" t="s">
        <v>18141</v>
      </c>
      <c r="E10938" s="3" t="s">
        <v>18142</v>
      </c>
      <c r="F10938" s="3" t="s">
        <v>18143</v>
      </c>
    </row>
    <row r="10939">
      <c r="A10939" s="3">
        <v>2403.0</v>
      </c>
      <c r="B10939" s="3" t="s">
        <v>19423</v>
      </c>
      <c r="C10939" s="3" t="s">
        <v>11281</v>
      </c>
      <c r="D10939" s="3" t="s">
        <v>18144</v>
      </c>
      <c r="E10939" s="3" t="s">
        <v>18145</v>
      </c>
      <c r="F10939" s="3" t="s">
        <v>18146</v>
      </c>
    </row>
    <row r="10940">
      <c r="A10940" s="3">
        <v>2404.0</v>
      </c>
      <c r="B10940" s="3" t="s">
        <v>19423</v>
      </c>
      <c r="C10940" s="3" t="s">
        <v>11281</v>
      </c>
      <c r="D10940" s="3" t="s">
        <v>18147</v>
      </c>
      <c r="E10940" s="3" t="s">
        <v>18148</v>
      </c>
      <c r="F10940" s="3" t="s">
        <v>5494</v>
      </c>
    </row>
    <row r="10941">
      <c r="A10941" s="3">
        <v>2405.0</v>
      </c>
      <c r="B10941" s="3" t="s">
        <v>19423</v>
      </c>
      <c r="C10941" s="3" t="s">
        <v>11281</v>
      </c>
      <c r="D10941" s="3" t="s">
        <v>18149</v>
      </c>
      <c r="E10941" s="3" t="s">
        <v>18150</v>
      </c>
      <c r="F10941" s="3" t="s">
        <v>18053</v>
      </c>
    </row>
    <row r="10942">
      <c r="A10942" s="3">
        <v>2406.0</v>
      </c>
      <c r="B10942" s="3" t="s">
        <v>19423</v>
      </c>
      <c r="C10942" s="3" t="s">
        <v>11281</v>
      </c>
      <c r="D10942" s="3" t="s">
        <v>18151</v>
      </c>
      <c r="E10942" s="3" t="s">
        <v>18152</v>
      </c>
      <c r="F10942" s="3" t="s">
        <v>18056</v>
      </c>
      <c r="G10942" s="3"/>
      <c r="H10942" s="3" t="s">
        <v>18153</v>
      </c>
    </row>
    <row r="10943">
      <c r="A10943" s="3">
        <v>2407.0</v>
      </c>
      <c r="B10943" s="3" t="s">
        <v>19423</v>
      </c>
      <c r="C10943" s="3" t="s">
        <v>11281</v>
      </c>
      <c r="D10943" s="3" t="s">
        <v>18154</v>
      </c>
      <c r="E10943" s="3" t="s">
        <v>18155</v>
      </c>
      <c r="F10943" s="3" t="s">
        <v>18093</v>
      </c>
    </row>
    <row r="10944">
      <c r="A10944" s="3">
        <v>2408.0</v>
      </c>
      <c r="B10944" s="3" t="s">
        <v>19423</v>
      </c>
      <c r="C10944" s="3" t="s">
        <v>11281</v>
      </c>
      <c r="D10944" s="3" t="s">
        <v>18156</v>
      </c>
      <c r="E10944" s="3" t="s">
        <v>18157</v>
      </c>
      <c r="F10944" s="3" t="s">
        <v>18096</v>
      </c>
    </row>
    <row r="10945">
      <c r="A10945" s="3">
        <v>2409.0</v>
      </c>
      <c r="B10945" s="3" t="s">
        <v>19423</v>
      </c>
      <c r="C10945" s="3" t="s">
        <v>11281</v>
      </c>
      <c r="D10945" s="3" t="s">
        <v>18158</v>
      </c>
      <c r="E10945" s="3" t="s">
        <v>18159</v>
      </c>
      <c r="F10945" s="3" t="s">
        <v>18099</v>
      </c>
    </row>
    <row r="10946">
      <c r="A10946" s="3">
        <v>2410.0</v>
      </c>
      <c r="B10946" s="3" t="s">
        <v>19423</v>
      </c>
      <c r="C10946" s="3" t="s">
        <v>11281</v>
      </c>
      <c r="D10946" s="3" t="s">
        <v>18160</v>
      </c>
      <c r="E10946" s="3" t="s">
        <v>18161</v>
      </c>
      <c r="F10946" s="3" t="s">
        <v>5503</v>
      </c>
    </row>
    <row r="10947">
      <c r="A10947" s="3">
        <v>2411.0</v>
      </c>
      <c r="B10947" s="3" t="s">
        <v>19423</v>
      </c>
      <c r="C10947" s="3" t="s">
        <v>11281</v>
      </c>
      <c r="D10947" s="3" t="s">
        <v>1412</v>
      </c>
      <c r="E10947" s="3" t="s">
        <v>1411</v>
      </c>
      <c r="F10947" s="3" t="s">
        <v>1412</v>
      </c>
      <c r="G10947" s="3"/>
      <c r="H10947" s="3" t="s">
        <v>5831</v>
      </c>
      <c r="I10947" s="3" t="s">
        <v>5837</v>
      </c>
      <c r="J10947" s="3" t="s">
        <v>5838</v>
      </c>
      <c r="K10947" s="3" t="s">
        <v>5831</v>
      </c>
    </row>
    <row r="10948">
      <c r="A10948" s="3">
        <v>2412.0</v>
      </c>
      <c r="B10948" s="3" t="s">
        <v>19423</v>
      </c>
      <c r="C10948" s="3" t="s">
        <v>11281</v>
      </c>
      <c r="D10948" s="3" t="s">
        <v>5580</v>
      </c>
      <c r="E10948" s="3" t="s">
        <v>5579</v>
      </c>
      <c r="F10948" s="3" t="s">
        <v>5580</v>
      </c>
      <c r="G10948" s="3"/>
      <c r="H10948" s="3" t="s">
        <v>18162</v>
      </c>
      <c r="I10948" s="3" t="s">
        <v>9463</v>
      </c>
      <c r="J10948" s="3" t="s">
        <v>9464</v>
      </c>
      <c r="K10948" s="3" t="s">
        <v>5649</v>
      </c>
      <c r="L10948" s="3" t="s">
        <v>5655</v>
      </c>
      <c r="M10948" s="3" t="s">
        <v>5657</v>
      </c>
    </row>
    <row r="10949">
      <c r="A10949" s="3">
        <v>2413.0</v>
      </c>
      <c r="B10949" s="3" t="s">
        <v>19423</v>
      </c>
      <c r="C10949" s="3" t="s">
        <v>11281</v>
      </c>
      <c r="D10949" s="3" t="s">
        <v>18163</v>
      </c>
      <c r="E10949" s="3" t="s">
        <v>18164</v>
      </c>
      <c r="F10949" s="3" t="s">
        <v>18163</v>
      </c>
    </row>
    <row r="10950">
      <c r="A10950" s="3">
        <v>2414.0</v>
      </c>
      <c r="B10950" s="3" t="s">
        <v>19423</v>
      </c>
      <c r="C10950" s="3" t="s">
        <v>11281</v>
      </c>
      <c r="D10950" s="3" t="s">
        <v>18165</v>
      </c>
      <c r="E10950" s="3" t="s">
        <v>18166</v>
      </c>
      <c r="F10950" s="3" t="s">
        <v>18165</v>
      </c>
      <c r="G10950" s="3"/>
      <c r="H10950" s="3" t="s">
        <v>5831</v>
      </c>
      <c r="I10950" s="3" t="s">
        <v>18167</v>
      </c>
      <c r="J10950" s="3" t="s">
        <v>18168</v>
      </c>
      <c r="K10950" s="3" t="s">
        <v>18169</v>
      </c>
      <c r="L10950" s="3" t="s">
        <v>18170</v>
      </c>
      <c r="M10950" s="3" t="s">
        <v>5831</v>
      </c>
    </row>
    <row r="10951">
      <c r="A10951" s="3">
        <v>2415.0</v>
      </c>
      <c r="B10951" s="3" t="s">
        <v>19423</v>
      </c>
      <c r="C10951" s="3" t="s">
        <v>11281</v>
      </c>
      <c r="D10951" s="3" t="s">
        <v>18171</v>
      </c>
      <c r="E10951" s="3" t="s">
        <v>18172</v>
      </c>
      <c r="F10951" s="3" t="s">
        <v>18171</v>
      </c>
    </row>
    <row r="10952">
      <c r="A10952" s="3">
        <v>2416.0</v>
      </c>
      <c r="B10952" s="3" t="s">
        <v>19423</v>
      </c>
      <c r="C10952" s="3" t="s">
        <v>11281</v>
      </c>
      <c r="D10952" s="3" t="s">
        <v>18173</v>
      </c>
      <c r="E10952" s="3" t="s">
        <v>18174</v>
      </c>
      <c r="F10952" s="3" t="s">
        <v>18173</v>
      </c>
    </row>
    <row r="10953">
      <c r="A10953" s="3">
        <v>2417.0</v>
      </c>
      <c r="B10953" s="3" t="s">
        <v>19423</v>
      </c>
      <c r="C10953" s="3" t="s">
        <v>11281</v>
      </c>
      <c r="D10953" s="3" t="s">
        <v>18175</v>
      </c>
      <c r="E10953" s="3" t="s">
        <v>18176</v>
      </c>
      <c r="F10953" s="3" t="s">
        <v>18175</v>
      </c>
    </row>
    <row r="10954">
      <c r="A10954" s="3">
        <v>2418.0</v>
      </c>
      <c r="B10954" s="3" t="s">
        <v>19423</v>
      </c>
      <c r="C10954" s="3" t="s">
        <v>11281</v>
      </c>
      <c r="D10954" s="3" t="s">
        <v>5569</v>
      </c>
      <c r="E10954" s="3" t="s">
        <v>5568</v>
      </c>
      <c r="F10954" s="3" t="s">
        <v>5569</v>
      </c>
    </row>
    <row r="10955">
      <c r="A10955" s="3">
        <v>2419.0</v>
      </c>
      <c r="B10955" s="3" t="s">
        <v>19423</v>
      </c>
      <c r="C10955" s="3" t="s">
        <v>11281</v>
      </c>
      <c r="D10955" s="3" t="s">
        <v>18177</v>
      </c>
      <c r="E10955" s="3" t="s">
        <v>20357</v>
      </c>
      <c r="F10955" s="3" t="s">
        <v>20358</v>
      </c>
    </row>
    <row r="10956">
      <c r="A10956" s="3">
        <v>2420.0</v>
      </c>
      <c r="B10956" s="3" t="s">
        <v>19423</v>
      </c>
      <c r="C10956" s="3" t="s">
        <v>11281</v>
      </c>
      <c r="D10956" s="3" t="s">
        <v>18178</v>
      </c>
      <c r="E10956" s="3" t="s">
        <v>20359</v>
      </c>
      <c r="F10956" s="3" t="s">
        <v>20360</v>
      </c>
    </row>
    <row r="10957">
      <c r="A10957" s="3">
        <v>2421.0</v>
      </c>
      <c r="B10957" s="3" t="s">
        <v>19423</v>
      </c>
      <c r="C10957" s="3" t="s">
        <v>11281</v>
      </c>
      <c r="D10957" s="3" t="s">
        <v>18181</v>
      </c>
      <c r="E10957" s="3" t="s">
        <v>20361</v>
      </c>
      <c r="F10957" s="3" t="s">
        <v>20362</v>
      </c>
    </row>
    <row r="10958">
      <c r="A10958" s="3">
        <v>2422.0</v>
      </c>
      <c r="B10958" s="3" t="s">
        <v>19423</v>
      </c>
      <c r="C10958" s="3" t="s">
        <v>11281</v>
      </c>
      <c r="D10958" s="3" t="s">
        <v>5628</v>
      </c>
      <c r="E10958" s="3" t="s">
        <v>7757</v>
      </c>
      <c r="F10958" s="3" t="s">
        <v>5628</v>
      </c>
    </row>
    <row r="10959">
      <c r="A10959" s="3">
        <v>2423.0</v>
      </c>
      <c r="B10959" s="3" t="s">
        <v>19423</v>
      </c>
      <c r="C10959" s="3" t="s">
        <v>11281</v>
      </c>
      <c r="D10959" s="3" t="s">
        <v>18184</v>
      </c>
      <c r="E10959" s="3" t="s">
        <v>18185</v>
      </c>
      <c r="F10959" s="3" t="s">
        <v>18184</v>
      </c>
    </row>
    <row r="10960">
      <c r="A10960" s="3">
        <v>2424.0</v>
      </c>
      <c r="B10960" s="3" t="s">
        <v>19423</v>
      </c>
      <c r="C10960" s="3" t="s">
        <v>11281</v>
      </c>
      <c r="D10960" s="3" t="s">
        <v>18186</v>
      </c>
      <c r="E10960" s="3" t="s">
        <v>18187</v>
      </c>
      <c r="F10960" s="3" t="s">
        <v>18186</v>
      </c>
    </row>
    <row r="10961">
      <c r="A10961" s="3">
        <v>2425.0</v>
      </c>
      <c r="B10961" s="3" t="s">
        <v>19423</v>
      </c>
      <c r="C10961" s="3" t="s">
        <v>11281</v>
      </c>
      <c r="D10961" s="3" t="s">
        <v>18188</v>
      </c>
      <c r="E10961" s="3" t="s">
        <v>18189</v>
      </c>
      <c r="F10961" s="3" t="s">
        <v>18188</v>
      </c>
    </row>
    <row r="10962">
      <c r="A10962" s="3">
        <v>2426.0</v>
      </c>
      <c r="B10962" s="3" t="s">
        <v>19423</v>
      </c>
      <c r="C10962" s="3" t="s">
        <v>11281</v>
      </c>
      <c r="D10962" s="3" t="s">
        <v>18190</v>
      </c>
      <c r="E10962" s="3" t="s">
        <v>18191</v>
      </c>
      <c r="F10962" s="3" t="s">
        <v>18190</v>
      </c>
    </row>
    <row r="10963">
      <c r="A10963" s="3">
        <v>2427.0</v>
      </c>
      <c r="B10963" s="3" t="s">
        <v>19423</v>
      </c>
      <c r="C10963" s="3" t="s">
        <v>11281</v>
      </c>
      <c r="D10963" s="3" t="s">
        <v>18192</v>
      </c>
      <c r="E10963" s="3" t="s">
        <v>18193</v>
      </c>
      <c r="F10963" s="3" t="s">
        <v>18192</v>
      </c>
      <c r="G10963" s="3"/>
      <c r="H10963" s="3" t="s">
        <v>18194</v>
      </c>
      <c r="I10963" s="3" t="s">
        <v>17610</v>
      </c>
      <c r="J10963" s="3" t="s">
        <v>18195</v>
      </c>
      <c r="K10963" s="3" t="s">
        <v>18196</v>
      </c>
      <c r="L10963" s="3" t="s">
        <v>18197</v>
      </c>
      <c r="M10963" s="3" t="s">
        <v>18198</v>
      </c>
      <c r="N10963" s="3" t="s">
        <v>18199</v>
      </c>
      <c r="O10963" s="3" t="s">
        <v>18200</v>
      </c>
      <c r="P10963" s="3" t="s">
        <v>18201</v>
      </c>
      <c r="Q10963" s="3" t="s">
        <v>18202</v>
      </c>
      <c r="R10963" s="3" t="s">
        <v>18198</v>
      </c>
      <c r="S10963" s="3" t="s">
        <v>18203</v>
      </c>
      <c r="T10963" s="3" t="s">
        <v>9964</v>
      </c>
      <c r="U10963" s="3" t="s">
        <v>18203</v>
      </c>
      <c r="V10963" s="3" t="s">
        <v>18198</v>
      </c>
      <c r="W10963" s="3" t="s">
        <v>18204</v>
      </c>
      <c r="X10963" s="3" t="s">
        <v>15040</v>
      </c>
      <c r="Y10963" s="3" t="s">
        <v>18205</v>
      </c>
      <c r="Z10963" s="3" t="s">
        <v>14892</v>
      </c>
      <c r="AA10963" s="3" t="s">
        <v>18206</v>
      </c>
      <c r="AB10963" s="3" t="s">
        <v>18198</v>
      </c>
      <c r="AC10963" s="3" t="s">
        <v>18207</v>
      </c>
      <c r="AD10963" s="3" t="s">
        <v>18208</v>
      </c>
      <c r="AE10963" s="3" t="s">
        <v>18209</v>
      </c>
      <c r="AF10963" s="3" t="s">
        <v>18198</v>
      </c>
      <c r="AG10963" s="3" t="s">
        <v>18210</v>
      </c>
      <c r="AH10963" s="3" t="s">
        <v>18211</v>
      </c>
      <c r="AI10963" s="3" t="s">
        <v>18212</v>
      </c>
      <c r="AJ10963" s="3" t="s">
        <v>18213</v>
      </c>
      <c r="AK10963" s="3" t="s">
        <v>9772</v>
      </c>
      <c r="AL10963" s="3" t="s">
        <v>18214</v>
      </c>
      <c r="AM10963" s="3" t="s">
        <v>18215</v>
      </c>
      <c r="AN10963" s="3" t="s">
        <v>18216</v>
      </c>
      <c r="AO10963" s="3" t="s">
        <v>15039</v>
      </c>
      <c r="AP10963" s="3" t="s">
        <v>15040</v>
      </c>
      <c r="AQ10963" s="3" t="s">
        <v>15041</v>
      </c>
      <c r="AR10963" s="3" t="s">
        <v>18213</v>
      </c>
      <c r="AS10963" s="3" t="s">
        <v>18217</v>
      </c>
      <c r="AT10963" s="3" t="s">
        <v>18213</v>
      </c>
      <c r="AU10963" s="3" t="s">
        <v>18066</v>
      </c>
      <c r="AV10963" s="3" t="s">
        <v>15039</v>
      </c>
      <c r="AW10963" s="3" t="s">
        <v>18218</v>
      </c>
      <c r="AX10963" s="3" t="s">
        <v>18219</v>
      </c>
      <c r="AY10963" s="3" t="s">
        <v>18220</v>
      </c>
      <c r="AZ10963" s="3" t="s">
        <v>18221</v>
      </c>
      <c r="BA10963" s="3" t="s">
        <v>18222</v>
      </c>
      <c r="BB10963" s="3" t="s">
        <v>18223</v>
      </c>
      <c r="BC10963" s="3" t="s">
        <v>14174</v>
      </c>
      <c r="BD10963" s="3" t="s">
        <v>18224</v>
      </c>
      <c r="BE10963" s="3" t="s">
        <v>18213</v>
      </c>
      <c r="BF10963" s="3" t="s">
        <v>14174</v>
      </c>
      <c r="BG10963" s="3" t="s">
        <v>16707</v>
      </c>
      <c r="BH10963" s="3" t="s">
        <v>10618</v>
      </c>
      <c r="BI10963" s="3" t="s">
        <v>13151</v>
      </c>
      <c r="BJ10963" s="3" t="s">
        <v>15044</v>
      </c>
      <c r="BK10963" s="3" t="s">
        <v>15045</v>
      </c>
      <c r="BL10963" s="3" t="s">
        <v>15046</v>
      </c>
      <c r="BM10963" s="3" t="s">
        <v>15047</v>
      </c>
      <c r="BN10963" s="3" t="s">
        <v>12559</v>
      </c>
      <c r="BO10963" s="3" t="s">
        <v>18214</v>
      </c>
    </row>
    <row r="10964">
      <c r="A10964" s="3">
        <v>2428.0</v>
      </c>
      <c r="B10964" s="3" t="s">
        <v>19423</v>
      </c>
      <c r="C10964" s="3" t="s">
        <v>11281</v>
      </c>
      <c r="D10964" s="3" t="s">
        <v>18225</v>
      </c>
      <c r="E10964" s="3" t="s">
        <v>18226</v>
      </c>
      <c r="F10964" s="3" t="s">
        <v>18225</v>
      </c>
    </row>
    <row r="10965">
      <c r="A10965" s="3">
        <v>2429.0</v>
      </c>
      <c r="B10965" s="3" t="s">
        <v>19423</v>
      </c>
      <c r="C10965" s="3" t="s">
        <v>11281</v>
      </c>
      <c r="D10965" s="3" t="s">
        <v>18227</v>
      </c>
      <c r="E10965" s="3" t="s">
        <v>18228</v>
      </c>
      <c r="F10965" s="3" t="s">
        <v>18227</v>
      </c>
    </row>
    <row r="10966">
      <c r="A10966" s="3">
        <v>2430.0</v>
      </c>
      <c r="B10966" s="3" t="s">
        <v>19423</v>
      </c>
      <c r="C10966" s="3" t="s">
        <v>11281</v>
      </c>
      <c r="D10966" s="3" t="s">
        <v>18229</v>
      </c>
      <c r="E10966" s="3" t="s">
        <v>18230</v>
      </c>
      <c r="F10966" s="3" t="s">
        <v>18229</v>
      </c>
    </row>
    <row r="10967">
      <c r="A10967" s="3">
        <v>2431.0</v>
      </c>
      <c r="B10967" s="3" t="s">
        <v>19423</v>
      </c>
      <c r="C10967" s="3" t="s">
        <v>11281</v>
      </c>
      <c r="D10967" s="3" t="s">
        <v>18231</v>
      </c>
      <c r="E10967" s="3" t="s">
        <v>18232</v>
      </c>
      <c r="F10967" s="3" t="s">
        <v>18231</v>
      </c>
    </row>
    <row r="10968">
      <c r="A10968" s="3">
        <v>2432.0</v>
      </c>
      <c r="B10968" s="3" t="s">
        <v>19423</v>
      </c>
      <c r="C10968" s="3" t="s">
        <v>11281</v>
      </c>
      <c r="D10968" s="3" t="s">
        <v>18233</v>
      </c>
      <c r="E10968" s="3" t="s">
        <v>18234</v>
      </c>
      <c r="F10968" s="3" t="s">
        <v>18233</v>
      </c>
    </row>
    <row r="10969">
      <c r="A10969" s="3">
        <v>2433.0</v>
      </c>
      <c r="B10969" s="3" t="s">
        <v>19423</v>
      </c>
      <c r="C10969" s="3" t="s">
        <v>11281</v>
      </c>
      <c r="D10969" s="3" t="s">
        <v>18235</v>
      </c>
      <c r="E10969" s="3" t="s">
        <v>18236</v>
      </c>
      <c r="F10969" s="3" t="s">
        <v>18235</v>
      </c>
    </row>
    <row r="10970">
      <c r="A10970" s="3">
        <v>2434.0</v>
      </c>
      <c r="B10970" s="3" t="s">
        <v>19423</v>
      </c>
      <c r="C10970" s="3" t="s">
        <v>11281</v>
      </c>
      <c r="D10970" s="3" t="s">
        <v>18237</v>
      </c>
      <c r="E10970" s="3" t="s">
        <v>18238</v>
      </c>
      <c r="F10970" s="3" t="s">
        <v>18237</v>
      </c>
    </row>
    <row r="10971">
      <c r="A10971" s="3">
        <v>2435.0</v>
      </c>
      <c r="B10971" s="3" t="s">
        <v>19423</v>
      </c>
      <c r="C10971" s="3" t="s">
        <v>11281</v>
      </c>
      <c r="D10971" s="3" t="s">
        <v>18239</v>
      </c>
      <c r="E10971" s="3" t="s">
        <v>18240</v>
      </c>
      <c r="F10971" s="3" t="s">
        <v>18239</v>
      </c>
    </row>
    <row r="10972">
      <c r="A10972" s="3">
        <v>2436.0</v>
      </c>
      <c r="B10972" s="3" t="s">
        <v>19423</v>
      </c>
      <c r="C10972" s="3" t="s">
        <v>11281</v>
      </c>
      <c r="D10972" s="3" t="s">
        <v>18241</v>
      </c>
      <c r="E10972" s="3" t="s">
        <v>18242</v>
      </c>
      <c r="F10972" s="3" t="s">
        <v>18241</v>
      </c>
    </row>
    <row r="10973">
      <c r="A10973" s="3">
        <v>2437.0</v>
      </c>
      <c r="B10973" s="3" t="s">
        <v>19423</v>
      </c>
      <c r="C10973" s="3" t="s">
        <v>11281</v>
      </c>
      <c r="D10973" s="3" t="s">
        <v>18243</v>
      </c>
      <c r="E10973" s="3" t="s">
        <v>18244</v>
      </c>
      <c r="F10973" s="3" t="s">
        <v>18243</v>
      </c>
    </row>
    <row r="10974">
      <c r="A10974" s="3">
        <v>2438.0</v>
      </c>
      <c r="B10974" s="3" t="s">
        <v>19423</v>
      </c>
      <c r="C10974" s="3" t="s">
        <v>11281</v>
      </c>
      <c r="D10974" s="3" t="s">
        <v>18245</v>
      </c>
      <c r="E10974" s="3" t="s">
        <v>18246</v>
      </c>
      <c r="F10974" s="3" t="s">
        <v>18245</v>
      </c>
    </row>
    <row r="10975">
      <c r="A10975" s="3">
        <v>2439.0</v>
      </c>
      <c r="B10975" s="3" t="s">
        <v>19423</v>
      </c>
      <c r="C10975" s="3" t="s">
        <v>11281</v>
      </c>
      <c r="D10975" s="3" t="s">
        <v>18247</v>
      </c>
      <c r="E10975" s="3" t="s">
        <v>18248</v>
      </c>
      <c r="F10975" s="3" t="s">
        <v>18247</v>
      </c>
    </row>
    <row r="10976">
      <c r="A10976" s="3">
        <v>2440.0</v>
      </c>
      <c r="B10976" s="3" t="s">
        <v>19423</v>
      </c>
      <c r="C10976" s="3" t="s">
        <v>11281</v>
      </c>
      <c r="D10976" s="3" t="s">
        <v>18249</v>
      </c>
      <c r="E10976" s="3" t="s">
        <v>18250</v>
      </c>
      <c r="F10976" s="3" t="s">
        <v>18249</v>
      </c>
    </row>
    <row r="10977">
      <c r="A10977" s="3">
        <v>2441.0</v>
      </c>
      <c r="B10977" s="3" t="s">
        <v>19423</v>
      </c>
      <c r="C10977" s="3" t="s">
        <v>11281</v>
      </c>
      <c r="D10977" s="3" t="s">
        <v>18251</v>
      </c>
      <c r="E10977" s="3" t="s">
        <v>18252</v>
      </c>
      <c r="F10977" s="3" t="s">
        <v>18251</v>
      </c>
    </row>
    <row r="10978">
      <c r="A10978" s="3">
        <v>2442.0</v>
      </c>
      <c r="B10978" s="3" t="s">
        <v>19423</v>
      </c>
      <c r="C10978" s="3" t="s">
        <v>11281</v>
      </c>
      <c r="D10978" s="3" t="s">
        <v>18253</v>
      </c>
      <c r="E10978" s="3" t="s">
        <v>18254</v>
      </c>
      <c r="F10978" s="3" t="s">
        <v>18253</v>
      </c>
    </row>
    <row r="10979">
      <c r="A10979" s="3">
        <v>2443.0</v>
      </c>
      <c r="B10979" s="3" t="s">
        <v>19423</v>
      </c>
      <c r="C10979" s="3" t="s">
        <v>11281</v>
      </c>
      <c r="D10979" s="3" t="s">
        <v>18255</v>
      </c>
      <c r="E10979" s="3" t="s">
        <v>18256</v>
      </c>
      <c r="F10979" s="3" t="s">
        <v>18255</v>
      </c>
    </row>
    <row r="10980">
      <c r="A10980" s="3">
        <v>2444.0</v>
      </c>
      <c r="B10980" s="3" t="s">
        <v>19423</v>
      </c>
      <c r="C10980" s="3" t="s">
        <v>11281</v>
      </c>
      <c r="D10980" s="3" t="s">
        <v>18257</v>
      </c>
      <c r="E10980" s="3" t="s">
        <v>18258</v>
      </c>
      <c r="F10980" s="3" t="s">
        <v>18259</v>
      </c>
    </row>
    <row r="10981">
      <c r="A10981" s="3">
        <v>2445.0</v>
      </c>
      <c r="B10981" s="3" t="s">
        <v>19423</v>
      </c>
      <c r="C10981" s="3" t="s">
        <v>11281</v>
      </c>
      <c r="D10981" s="3" t="s">
        <v>18260</v>
      </c>
      <c r="E10981" s="3" t="s">
        <v>18261</v>
      </c>
      <c r="F10981" s="3" t="s">
        <v>18262</v>
      </c>
    </row>
    <row r="10982">
      <c r="A10982" s="3">
        <v>2446.0</v>
      </c>
      <c r="B10982" s="3" t="s">
        <v>19423</v>
      </c>
      <c r="C10982" s="3" t="s">
        <v>11281</v>
      </c>
      <c r="D10982" s="3" t="s">
        <v>1419</v>
      </c>
      <c r="E10982" s="3" t="s">
        <v>1418</v>
      </c>
      <c r="F10982" s="3" t="s">
        <v>1419</v>
      </c>
    </row>
    <row r="10983">
      <c r="A10983" s="3">
        <v>2447.0</v>
      </c>
      <c r="B10983" s="3" t="s">
        <v>19423</v>
      </c>
      <c r="C10983" s="3" t="s">
        <v>11281</v>
      </c>
      <c r="D10983" s="3" t="s">
        <v>7761</v>
      </c>
      <c r="E10983" s="3" t="s">
        <v>7762</v>
      </c>
      <c r="F10983" s="3" t="s">
        <v>7761</v>
      </c>
    </row>
    <row r="10984">
      <c r="A10984" s="3">
        <v>2448.0</v>
      </c>
      <c r="B10984" s="3" t="s">
        <v>19423</v>
      </c>
      <c r="C10984" s="3" t="s">
        <v>11281</v>
      </c>
      <c r="D10984" s="3" t="s">
        <v>18263</v>
      </c>
      <c r="E10984" s="3" t="s">
        <v>18264</v>
      </c>
      <c r="F10984" s="3" t="s">
        <v>18263</v>
      </c>
    </row>
    <row r="10985">
      <c r="A10985" s="3">
        <v>2449.0</v>
      </c>
      <c r="B10985" s="3" t="s">
        <v>19423</v>
      </c>
      <c r="C10985" s="3" t="s">
        <v>11281</v>
      </c>
      <c r="D10985" s="3" t="s">
        <v>18265</v>
      </c>
      <c r="E10985" s="3" t="s">
        <v>18266</v>
      </c>
      <c r="F10985" s="3" t="s">
        <v>18267</v>
      </c>
    </row>
    <row r="10986">
      <c r="A10986" s="3">
        <v>2450.0</v>
      </c>
      <c r="B10986" s="3" t="s">
        <v>19423</v>
      </c>
      <c r="C10986" s="3" t="s">
        <v>11281</v>
      </c>
      <c r="D10986" s="3" t="s">
        <v>18268</v>
      </c>
      <c r="E10986" s="3" t="s">
        <v>18269</v>
      </c>
      <c r="F10986" s="3" t="s">
        <v>18270</v>
      </c>
    </row>
    <row r="10987">
      <c r="A10987" s="3">
        <v>2451.0</v>
      </c>
      <c r="B10987" s="3" t="s">
        <v>19423</v>
      </c>
      <c r="C10987" s="3" t="s">
        <v>11281</v>
      </c>
      <c r="D10987" s="3" t="s">
        <v>18271</v>
      </c>
      <c r="E10987" s="3" t="s">
        <v>18272</v>
      </c>
      <c r="F10987" s="3" t="s">
        <v>18271</v>
      </c>
      <c r="G10987" s="3"/>
      <c r="H10987" s="3" t="s">
        <v>14387</v>
      </c>
      <c r="I10987" s="3" t="s">
        <v>14377</v>
      </c>
      <c r="J10987" s="3" t="s">
        <v>14388</v>
      </c>
    </row>
    <row r="10988">
      <c r="A10988" s="3">
        <v>2452.0</v>
      </c>
      <c r="B10988" s="3" t="s">
        <v>19423</v>
      </c>
      <c r="C10988" s="3" t="s">
        <v>11281</v>
      </c>
      <c r="D10988" s="3" t="s">
        <v>18273</v>
      </c>
      <c r="E10988" s="3" t="s">
        <v>18274</v>
      </c>
      <c r="F10988" s="3" t="s">
        <v>18273</v>
      </c>
    </row>
    <row r="10989">
      <c r="A10989" s="3">
        <v>2453.0</v>
      </c>
      <c r="B10989" s="3" t="s">
        <v>19423</v>
      </c>
      <c r="C10989" s="3" t="s">
        <v>11281</v>
      </c>
      <c r="D10989" s="3" t="s">
        <v>18275</v>
      </c>
      <c r="E10989" s="3" t="s">
        <v>18276</v>
      </c>
      <c r="F10989" s="3" t="s">
        <v>18275</v>
      </c>
    </row>
    <row r="10990">
      <c r="A10990" s="3">
        <v>2454.0</v>
      </c>
      <c r="B10990" s="3" t="s">
        <v>19423</v>
      </c>
      <c r="C10990" s="3" t="s">
        <v>11281</v>
      </c>
      <c r="D10990" s="3" t="s">
        <v>18277</v>
      </c>
      <c r="E10990" s="3" t="s">
        <v>18278</v>
      </c>
      <c r="F10990" s="3" t="s">
        <v>18277</v>
      </c>
    </row>
    <row r="10991">
      <c r="A10991" s="3">
        <v>2455.0</v>
      </c>
      <c r="B10991" s="3" t="s">
        <v>19423</v>
      </c>
      <c r="C10991" s="3" t="s">
        <v>11281</v>
      </c>
      <c r="D10991" s="3" t="s">
        <v>7763</v>
      </c>
      <c r="E10991" s="3" t="s">
        <v>18279</v>
      </c>
      <c r="F10991" s="3" t="s">
        <v>7763</v>
      </c>
    </row>
    <row r="10992">
      <c r="A10992" s="3">
        <v>2456.0</v>
      </c>
      <c r="B10992" s="3" t="s">
        <v>19423</v>
      </c>
      <c r="C10992" s="3" t="s">
        <v>11281</v>
      </c>
      <c r="D10992" s="3" t="s">
        <v>1389</v>
      </c>
      <c r="E10992" s="3" t="s">
        <v>1388</v>
      </c>
      <c r="F10992" s="3" t="s">
        <v>1389</v>
      </c>
    </row>
    <row r="10993">
      <c r="A10993" s="3">
        <v>2457.0</v>
      </c>
      <c r="B10993" s="3" t="s">
        <v>19423</v>
      </c>
      <c r="C10993" s="3" t="s">
        <v>11281</v>
      </c>
      <c r="D10993" s="3" t="s">
        <v>5527</v>
      </c>
      <c r="E10993" s="3" t="s">
        <v>5526</v>
      </c>
      <c r="F10993" s="3" t="s">
        <v>5527</v>
      </c>
    </row>
    <row r="10994">
      <c r="A10994" s="3">
        <v>2458.0</v>
      </c>
      <c r="B10994" s="3" t="s">
        <v>19423</v>
      </c>
      <c r="C10994" s="3" t="s">
        <v>11281</v>
      </c>
      <c r="D10994" s="3" t="s">
        <v>18280</v>
      </c>
      <c r="E10994" s="3" t="s">
        <v>18281</v>
      </c>
      <c r="F10994" s="3" t="s">
        <v>18280</v>
      </c>
    </row>
    <row r="10995">
      <c r="A10995" s="3">
        <v>2459.0</v>
      </c>
      <c r="B10995" s="3" t="s">
        <v>19423</v>
      </c>
      <c r="C10995" s="3" t="s">
        <v>11281</v>
      </c>
      <c r="D10995" s="3" t="s">
        <v>18282</v>
      </c>
      <c r="E10995" s="3" t="s">
        <v>18283</v>
      </c>
      <c r="F10995" s="3" t="s">
        <v>18282</v>
      </c>
    </row>
    <row r="10996">
      <c r="A10996" s="3">
        <v>2460.0</v>
      </c>
      <c r="B10996" s="3" t="s">
        <v>19423</v>
      </c>
      <c r="C10996" s="3" t="s">
        <v>11281</v>
      </c>
      <c r="D10996" s="3" t="s">
        <v>18284</v>
      </c>
      <c r="E10996" s="3" t="s">
        <v>18285</v>
      </c>
      <c r="F10996" s="3" t="s">
        <v>18284</v>
      </c>
    </row>
    <row r="10997">
      <c r="A10997" s="3">
        <v>2461.0</v>
      </c>
      <c r="B10997" s="3" t="s">
        <v>19423</v>
      </c>
      <c r="C10997" s="3" t="s">
        <v>11281</v>
      </c>
      <c r="D10997" s="3" t="s">
        <v>18286</v>
      </c>
      <c r="E10997" s="3" t="s">
        <v>18287</v>
      </c>
      <c r="F10997" s="3" t="s">
        <v>18286</v>
      </c>
    </row>
    <row r="10998">
      <c r="A10998" s="3">
        <v>2462.0</v>
      </c>
      <c r="B10998" s="3" t="s">
        <v>19423</v>
      </c>
      <c r="C10998" s="3" t="s">
        <v>11281</v>
      </c>
      <c r="D10998" s="3" t="s">
        <v>9734</v>
      </c>
      <c r="E10998" s="3" t="s">
        <v>9733</v>
      </c>
      <c r="F10998" s="3" t="s">
        <v>9734</v>
      </c>
    </row>
    <row r="10999">
      <c r="A10999" s="3">
        <v>2463.0</v>
      </c>
      <c r="B10999" s="3" t="s">
        <v>19423</v>
      </c>
      <c r="C10999" s="3" t="s">
        <v>11281</v>
      </c>
      <c r="D10999" s="3" t="s">
        <v>18288</v>
      </c>
      <c r="E10999" s="3" t="s">
        <v>18289</v>
      </c>
      <c r="F10999" s="3" t="s">
        <v>18288</v>
      </c>
    </row>
    <row r="11000">
      <c r="A11000" s="3">
        <v>2464.0</v>
      </c>
      <c r="B11000" s="3" t="s">
        <v>19423</v>
      </c>
      <c r="C11000" s="3" t="s">
        <v>11281</v>
      </c>
      <c r="D11000" s="3" t="s">
        <v>18290</v>
      </c>
      <c r="E11000" s="3" t="s">
        <v>18291</v>
      </c>
      <c r="F11000" s="3" t="s">
        <v>18290</v>
      </c>
    </row>
    <row r="11001">
      <c r="A11001" s="3">
        <v>2465.0</v>
      </c>
      <c r="B11001" s="3" t="s">
        <v>19423</v>
      </c>
      <c r="C11001" s="3" t="s">
        <v>11281</v>
      </c>
      <c r="D11001" s="3" t="s">
        <v>18292</v>
      </c>
      <c r="E11001" s="3" t="s">
        <v>18293</v>
      </c>
      <c r="F11001" s="3" t="s">
        <v>18292</v>
      </c>
    </row>
    <row r="11002">
      <c r="A11002" s="3">
        <v>2466.0</v>
      </c>
      <c r="B11002" s="3" t="s">
        <v>19423</v>
      </c>
      <c r="C11002" s="3" t="s">
        <v>11281</v>
      </c>
      <c r="D11002" s="3" t="s">
        <v>7777</v>
      </c>
      <c r="E11002" s="3" t="s">
        <v>7778</v>
      </c>
      <c r="F11002" s="3" t="s">
        <v>7777</v>
      </c>
    </row>
    <row r="11003">
      <c r="A11003" s="3">
        <v>2467.0</v>
      </c>
      <c r="B11003" s="3" t="s">
        <v>19423</v>
      </c>
      <c r="C11003" s="3" t="s">
        <v>11281</v>
      </c>
      <c r="D11003" s="3" t="s">
        <v>18294</v>
      </c>
      <c r="E11003" s="3" t="s">
        <v>18295</v>
      </c>
      <c r="F11003" s="3" t="s">
        <v>18294</v>
      </c>
    </row>
    <row r="11004">
      <c r="A11004" s="3">
        <v>2468.0</v>
      </c>
      <c r="B11004" s="3" t="s">
        <v>19423</v>
      </c>
      <c r="C11004" s="3" t="s">
        <v>11281</v>
      </c>
      <c r="D11004" s="3" t="s">
        <v>18296</v>
      </c>
      <c r="E11004" s="3" t="s">
        <v>18297</v>
      </c>
      <c r="F11004" s="3" t="s">
        <v>18296</v>
      </c>
    </row>
    <row r="11005">
      <c r="A11005" s="3">
        <v>2469.0</v>
      </c>
      <c r="B11005" s="3" t="s">
        <v>19423</v>
      </c>
      <c r="C11005" s="3" t="s">
        <v>11281</v>
      </c>
      <c r="D11005" s="3" t="s">
        <v>18298</v>
      </c>
      <c r="E11005" s="3" t="s">
        <v>18299</v>
      </c>
      <c r="F11005" s="3" t="s">
        <v>18298</v>
      </c>
    </row>
    <row r="11006">
      <c r="A11006" s="3">
        <v>2470.0</v>
      </c>
      <c r="B11006" s="3" t="s">
        <v>19423</v>
      </c>
      <c r="C11006" s="3" t="s">
        <v>11281</v>
      </c>
      <c r="D11006" s="3" t="s">
        <v>18300</v>
      </c>
      <c r="E11006" s="3" t="s">
        <v>18301</v>
      </c>
      <c r="F11006" s="3" t="s">
        <v>18300</v>
      </c>
    </row>
    <row r="11007">
      <c r="A11007" s="3">
        <v>2471.0</v>
      </c>
      <c r="B11007" s="3" t="s">
        <v>19423</v>
      </c>
      <c r="C11007" s="3" t="s">
        <v>11281</v>
      </c>
      <c r="D11007" s="3" t="s">
        <v>18302</v>
      </c>
      <c r="E11007" s="3" t="s">
        <v>18303</v>
      </c>
      <c r="F11007" s="3" t="s">
        <v>18302</v>
      </c>
    </row>
    <row r="11008">
      <c r="A11008" s="3">
        <v>2472.0</v>
      </c>
      <c r="B11008" s="3" t="s">
        <v>19423</v>
      </c>
      <c r="C11008" s="3" t="s">
        <v>11281</v>
      </c>
      <c r="D11008" s="3" t="s">
        <v>7782</v>
      </c>
      <c r="E11008" s="3" t="s">
        <v>7784</v>
      </c>
      <c r="F11008" s="3" t="s">
        <v>7782</v>
      </c>
    </row>
    <row r="11009">
      <c r="A11009" s="3">
        <v>2473.0</v>
      </c>
      <c r="B11009" s="3" t="s">
        <v>19423</v>
      </c>
      <c r="C11009" s="3" t="s">
        <v>11281</v>
      </c>
      <c r="D11009" s="3" t="s">
        <v>18304</v>
      </c>
      <c r="E11009" s="3" t="s">
        <v>20363</v>
      </c>
      <c r="F11009" s="3" t="s">
        <v>20364</v>
      </c>
    </row>
    <row r="11010">
      <c r="A11010" s="3">
        <v>2474.0</v>
      </c>
      <c r="B11010" s="3" t="s">
        <v>19423</v>
      </c>
      <c r="C11010" s="3" t="s">
        <v>11281</v>
      </c>
      <c r="D11010" s="3" t="s">
        <v>18307</v>
      </c>
      <c r="E11010" s="3" t="s">
        <v>20365</v>
      </c>
      <c r="F11010" s="3" t="s">
        <v>20366</v>
      </c>
    </row>
    <row r="11011">
      <c r="A11011" s="3">
        <v>2475.0</v>
      </c>
      <c r="B11011" s="3" t="s">
        <v>19423</v>
      </c>
      <c r="C11011" s="3" t="s">
        <v>11281</v>
      </c>
      <c r="D11011" s="3" t="s">
        <v>18310</v>
      </c>
      <c r="E11011" s="3" t="s">
        <v>20367</v>
      </c>
      <c r="F11011" s="3" t="s">
        <v>20368</v>
      </c>
      <c r="G11011" s="3"/>
      <c r="H11011" s="3" t="s">
        <v>18313</v>
      </c>
      <c r="I11011" s="3" t="s">
        <v>18314</v>
      </c>
      <c r="J11011" s="3" t="s">
        <v>18315</v>
      </c>
      <c r="K11011" s="3" t="s">
        <v>18316</v>
      </c>
      <c r="L11011" s="3" t="s">
        <v>18317</v>
      </c>
      <c r="M11011" s="3" t="s">
        <v>14954</v>
      </c>
    </row>
    <row r="11012">
      <c r="A11012" s="3">
        <v>2476.0</v>
      </c>
      <c r="B11012" s="3" t="s">
        <v>19423</v>
      </c>
      <c r="C11012" s="3" t="s">
        <v>11281</v>
      </c>
      <c r="D11012" s="3" t="s">
        <v>18318</v>
      </c>
      <c r="E11012" s="3" t="s">
        <v>20369</v>
      </c>
      <c r="F11012" s="3" t="s">
        <v>20370</v>
      </c>
    </row>
    <row r="11013">
      <c r="A11013" s="3">
        <v>2477.0</v>
      </c>
      <c r="B11013" s="3" t="s">
        <v>19423</v>
      </c>
      <c r="C11013" s="3" t="s">
        <v>11281</v>
      </c>
      <c r="D11013" s="3" t="s">
        <v>18321</v>
      </c>
      <c r="E11013" s="3" t="s">
        <v>20371</v>
      </c>
      <c r="F11013" s="3" t="s">
        <v>20372</v>
      </c>
    </row>
    <row r="11014">
      <c r="A11014" s="3">
        <v>2478.0</v>
      </c>
      <c r="B11014" s="3" t="s">
        <v>19423</v>
      </c>
      <c r="C11014" s="3" t="s">
        <v>11281</v>
      </c>
      <c r="D11014" s="3" t="s">
        <v>18324</v>
      </c>
      <c r="E11014" s="3" t="s">
        <v>20373</v>
      </c>
      <c r="F11014" s="3" t="s">
        <v>20374</v>
      </c>
    </row>
    <row r="11015">
      <c r="A11015" s="3">
        <v>2479.0</v>
      </c>
      <c r="B11015" s="3" t="s">
        <v>19423</v>
      </c>
      <c r="C11015" s="3" t="s">
        <v>11281</v>
      </c>
      <c r="D11015" s="3" t="s">
        <v>18327</v>
      </c>
      <c r="E11015" s="3" t="s">
        <v>20375</v>
      </c>
      <c r="F11015" s="3" t="s">
        <v>20376</v>
      </c>
    </row>
    <row r="11016">
      <c r="A11016" s="3">
        <v>2480.0</v>
      </c>
      <c r="B11016" s="3" t="s">
        <v>19423</v>
      </c>
      <c r="C11016" s="3" t="s">
        <v>11281</v>
      </c>
      <c r="D11016" s="3" t="s">
        <v>18330</v>
      </c>
      <c r="E11016" s="3" t="s">
        <v>18331</v>
      </c>
      <c r="F11016" s="3" t="s">
        <v>18330</v>
      </c>
    </row>
    <row r="11017">
      <c r="A11017" s="3">
        <v>2481.0</v>
      </c>
      <c r="B11017" s="3" t="s">
        <v>19423</v>
      </c>
      <c r="C11017" s="3" t="s">
        <v>11281</v>
      </c>
      <c r="D11017" s="3" t="s">
        <v>18332</v>
      </c>
      <c r="E11017" s="3" t="s">
        <v>18333</v>
      </c>
      <c r="F11017" s="3" t="s">
        <v>18332</v>
      </c>
    </row>
    <row r="11018">
      <c r="A11018" s="3">
        <v>2482.0</v>
      </c>
      <c r="B11018" s="3" t="s">
        <v>19423</v>
      </c>
      <c r="C11018" s="3" t="s">
        <v>11281</v>
      </c>
      <c r="D11018" s="3" t="s">
        <v>18334</v>
      </c>
      <c r="E11018" s="3" t="s">
        <v>18335</v>
      </c>
      <c r="F11018" s="3" t="s">
        <v>18334</v>
      </c>
    </row>
    <row r="11019">
      <c r="A11019" s="3">
        <v>2483.0</v>
      </c>
      <c r="B11019" s="3" t="s">
        <v>19423</v>
      </c>
      <c r="C11019" s="3" t="s">
        <v>11281</v>
      </c>
      <c r="D11019" s="3" t="s">
        <v>18336</v>
      </c>
      <c r="E11019" s="3" t="s">
        <v>18337</v>
      </c>
      <c r="F11019" s="3" t="s">
        <v>18336</v>
      </c>
    </row>
    <row r="11020">
      <c r="A11020" s="3">
        <v>2484.0</v>
      </c>
      <c r="B11020" s="3" t="s">
        <v>19423</v>
      </c>
      <c r="C11020" s="3" t="s">
        <v>11281</v>
      </c>
      <c r="D11020" s="3" t="s">
        <v>18338</v>
      </c>
      <c r="E11020" s="3" t="s">
        <v>18339</v>
      </c>
      <c r="F11020" s="3" t="s">
        <v>18338</v>
      </c>
    </row>
    <row r="11021">
      <c r="A11021" s="3">
        <v>2485.0</v>
      </c>
      <c r="B11021" s="3" t="s">
        <v>19423</v>
      </c>
      <c r="C11021" s="3" t="s">
        <v>11281</v>
      </c>
      <c r="D11021" s="3" t="s">
        <v>18340</v>
      </c>
      <c r="E11021" s="3" t="s">
        <v>18341</v>
      </c>
      <c r="F11021" s="3" t="s">
        <v>18340</v>
      </c>
    </row>
    <row r="11022">
      <c r="A11022" s="3">
        <v>2486.0</v>
      </c>
      <c r="B11022" s="3" t="s">
        <v>19423</v>
      </c>
      <c r="C11022" s="3" t="s">
        <v>11281</v>
      </c>
      <c r="D11022" s="3" t="s">
        <v>18342</v>
      </c>
      <c r="E11022" s="3" t="s">
        <v>18343</v>
      </c>
      <c r="F11022" s="3" t="s">
        <v>18342</v>
      </c>
    </row>
    <row r="11023">
      <c r="A11023" s="3">
        <v>2487.0</v>
      </c>
      <c r="B11023" s="3" t="s">
        <v>19423</v>
      </c>
      <c r="C11023" s="3" t="s">
        <v>11281</v>
      </c>
      <c r="D11023" s="3" t="s">
        <v>18344</v>
      </c>
      <c r="E11023" s="3" t="s">
        <v>18345</v>
      </c>
      <c r="F11023" s="3" t="s">
        <v>18344</v>
      </c>
    </row>
    <row r="11024">
      <c r="A11024" s="3">
        <v>2488.0</v>
      </c>
      <c r="B11024" s="3" t="s">
        <v>19423</v>
      </c>
      <c r="C11024" s="3" t="s">
        <v>11281</v>
      </c>
      <c r="D11024" s="3" t="s">
        <v>18346</v>
      </c>
      <c r="E11024" s="3" t="s">
        <v>20377</v>
      </c>
      <c r="F11024" s="3" t="s">
        <v>20378</v>
      </c>
    </row>
    <row r="11025">
      <c r="A11025" s="3">
        <v>2489.0</v>
      </c>
      <c r="B11025" s="3" t="s">
        <v>19423</v>
      </c>
      <c r="C11025" s="3" t="s">
        <v>11281</v>
      </c>
      <c r="D11025" s="3" t="s">
        <v>1910</v>
      </c>
      <c r="E11025" s="3" t="s">
        <v>1909</v>
      </c>
      <c r="F11025" s="3" t="s">
        <v>1910</v>
      </c>
      <c r="G11025" s="3"/>
      <c r="H11025" s="3" t="s">
        <v>7912</v>
      </c>
      <c r="I11025" s="3" t="s">
        <v>18347</v>
      </c>
      <c r="J11025" s="3" t="s">
        <v>1910</v>
      </c>
    </row>
    <row r="11026">
      <c r="A11026" s="3">
        <v>2490.0</v>
      </c>
      <c r="B11026" s="3" t="s">
        <v>19423</v>
      </c>
      <c r="C11026" s="3" t="s">
        <v>11281</v>
      </c>
      <c r="D11026" s="3" t="s">
        <v>18348</v>
      </c>
      <c r="E11026" s="3" t="s">
        <v>18349</v>
      </c>
      <c r="F11026" s="3" t="s">
        <v>18350</v>
      </c>
    </row>
    <row r="11027">
      <c r="A11027" s="3">
        <v>2491.0</v>
      </c>
      <c r="B11027" s="3" t="s">
        <v>19423</v>
      </c>
      <c r="C11027" s="3" t="s">
        <v>11281</v>
      </c>
      <c r="D11027" s="3" t="s">
        <v>18351</v>
      </c>
      <c r="E11027" s="3" t="s">
        <v>18352</v>
      </c>
      <c r="F11027" s="3" t="s">
        <v>18353</v>
      </c>
    </row>
    <row r="11028">
      <c r="A11028" s="3">
        <v>2492.0</v>
      </c>
      <c r="B11028" s="3" t="s">
        <v>19423</v>
      </c>
      <c r="C11028" s="3" t="s">
        <v>11281</v>
      </c>
      <c r="D11028" s="3" t="s">
        <v>18354</v>
      </c>
      <c r="E11028" s="3" t="s">
        <v>18355</v>
      </c>
      <c r="F11028" s="3" t="s">
        <v>18356</v>
      </c>
    </row>
    <row r="11029">
      <c r="A11029" s="3">
        <v>2493.0</v>
      </c>
      <c r="B11029" s="3" t="s">
        <v>19423</v>
      </c>
      <c r="C11029" s="3" t="s">
        <v>11281</v>
      </c>
      <c r="D11029" s="3" t="s">
        <v>18357</v>
      </c>
      <c r="E11029" s="3" t="s">
        <v>18358</v>
      </c>
      <c r="F11029" s="3" t="s">
        <v>18359</v>
      </c>
    </row>
    <row r="11030">
      <c r="A11030" s="3">
        <v>2494.0</v>
      </c>
      <c r="B11030" s="3" t="s">
        <v>19423</v>
      </c>
      <c r="C11030" s="3" t="s">
        <v>11281</v>
      </c>
      <c r="D11030" s="3" t="s">
        <v>18360</v>
      </c>
      <c r="E11030" s="3" t="s">
        <v>18361</v>
      </c>
      <c r="F11030" s="3" t="s">
        <v>18362</v>
      </c>
    </row>
    <row r="11031">
      <c r="A11031" s="3">
        <v>2495.0</v>
      </c>
      <c r="B11031" s="3" t="s">
        <v>19423</v>
      </c>
      <c r="C11031" s="3" t="s">
        <v>11281</v>
      </c>
      <c r="D11031" s="3" t="s">
        <v>18363</v>
      </c>
      <c r="E11031" s="3" t="s">
        <v>18364</v>
      </c>
      <c r="F11031" s="3" t="s">
        <v>18365</v>
      </c>
    </row>
    <row r="11032">
      <c r="A11032" s="3">
        <v>2496.0</v>
      </c>
      <c r="B11032" s="3" t="s">
        <v>19423</v>
      </c>
      <c r="C11032" s="3" t="s">
        <v>11281</v>
      </c>
      <c r="D11032" s="3" t="s">
        <v>18366</v>
      </c>
      <c r="E11032" s="3" t="s">
        <v>18367</v>
      </c>
      <c r="F11032" s="3" t="s">
        <v>18368</v>
      </c>
    </row>
    <row r="11033">
      <c r="A11033" s="3">
        <v>2497.0</v>
      </c>
      <c r="B11033" s="3" t="s">
        <v>19423</v>
      </c>
      <c r="C11033" s="3" t="s">
        <v>11281</v>
      </c>
      <c r="D11033" s="3" t="s">
        <v>18369</v>
      </c>
      <c r="E11033" s="3" t="s">
        <v>18370</v>
      </c>
      <c r="F11033" s="3" t="s">
        <v>18371</v>
      </c>
    </row>
    <row r="11034">
      <c r="A11034" s="3">
        <v>2498.0</v>
      </c>
      <c r="B11034" s="3" t="s">
        <v>19423</v>
      </c>
      <c r="C11034" s="3" t="s">
        <v>11281</v>
      </c>
      <c r="D11034" s="3" t="s">
        <v>18372</v>
      </c>
      <c r="E11034" s="3" t="s">
        <v>18373</v>
      </c>
      <c r="F11034" s="3" t="s">
        <v>18374</v>
      </c>
    </row>
    <row r="11035">
      <c r="A11035" s="3">
        <v>2499.0</v>
      </c>
      <c r="B11035" s="3" t="s">
        <v>19423</v>
      </c>
      <c r="C11035" s="3" t="s">
        <v>11281</v>
      </c>
      <c r="D11035" s="3" t="s">
        <v>18375</v>
      </c>
      <c r="E11035" s="3" t="s">
        <v>18376</v>
      </c>
      <c r="F11035" s="3" t="s">
        <v>18377</v>
      </c>
    </row>
    <row r="11036">
      <c r="A11036" s="3">
        <v>2500.0</v>
      </c>
      <c r="B11036" s="3" t="s">
        <v>19423</v>
      </c>
      <c r="C11036" s="3" t="s">
        <v>11281</v>
      </c>
      <c r="D11036" s="3" t="s">
        <v>18378</v>
      </c>
      <c r="E11036" s="3" t="s">
        <v>18379</v>
      </c>
      <c r="F11036" s="3" t="s">
        <v>18378</v>
      </c>
      <c r="G11036" s="3"/>
      <c r="H11036" s="3" t="s">
        <v>18380</v>
      </c>
      <c r="I11036" s="3" t="s">
        <v>18381</v>
      </c>
      <c r="J11036" s="3" t="s">
        <v>18380</v>
      </c>
      <c r="K11036" s="3" t="s">
        <v>18382</v>
      </c>
      <c r="L11036" s="3" t="s">
        <v>18383</v>
      </c>
      <c r="M11036" s="3" t="s">
        <v>5849</v>
      </c>
    </row>
    <row r="11037">
      <c r="A11037" s="3">
        <v>2501.0</v>
      </c>
      <c r="B11037" s="3" t="s">
        <v>19423</v>
      </c>
      <c r="C11037" s="3" t="s">
        <v>11281</v>
      </c>
      <c r="D11037" s="3" t="s">
        <v>18384</v>
      </c>
      <c r="E11037" s="3" t="s">
        <v>18385</v>
      </c>
      <c r="F11037" s="3" t="s">
        <v>18384</v>
      </c>
      <c r="G11037" s="3"/>
      <c r="H11037" s="3" t="s">
        <v>18386</v>
      </c>
    </row>
    <row r="11038">
      <c r="A11038" s="3">
        <v>2502.0</v>
      </c>
      <c r="B11038" s="3" t="s">
        <v>19423</v>
      </c>
      <c r="C11038" s="3" t="s">
        <v>11281</v>
      </c>
      <c r="D11038" s="3" t="s">
        <v>18387</v>
      </c>
      <c r="E11038" s="3" t="s">
        <v>18388</v>
      </c>
      <c r="F11038" s="3" t="s">
        <v>18387</v>
      </c>
    </row>
    <row r="11039">
      <c r="A11039" s="3">
        <v>2503.0</v>
      </c>
      <c r="B11039" s="3" t="s">
        <v>19423</v>
      </c>
      <c r="C11039" s="3" t="s">
        <v>11281</v>
      </c>
      <c r="D11039" s="3" t="s">
        <v>14134</v>
      </c>
      <c r="E11039" s="3" t="s">
        <v>14133</v>
      </c>
      <c r="F11039" s="3" t="s">
        <v>14134</v>
      </c>
    </row>
    <row r="11040">
      <c r="A11040" s="3">
        <v>2504.0</v>
      </c>
      <c r="B11040" s="3" t="s">
        <v>19423</v>
      </c>
      <c r="C11040" s="3" t="s">
        <v>11281</v>
      </c>
      <c r="D11040" s="3" t="s">
        <v>14139</v>
      </c>
      <c r="E11040" s="3" t="s">
        <v>14138</v>
      </c>
      <c r="F11040" s="3" t="s">
        <v>14139</v>
      </c>
    </row>
    <row r="11041">
      <c r="A11041" s="3">
        <v>2505.0</v>
      </c>
      <c r="B11041" s="3" t="s">
        <v>19423</v>
      </c>
      <c r="C11041" s="3" t="s">
        <v>11281</v>
      </c>
      <c r="D11041" s="3" t="s">
        <v>3682</v>
      </c>
      <c r="E11041" s="3" t="s">
        <v>18389</v>
      </c>
      <c r="F11041" s="3" t="s">
        <v>3682</v>
      </c>
      <c r="G11041" s="3"/>
      <c r="H11041" s="3" t="s">
        <v>3677</v>
      </c>
      <c r="I11041" s="3" t="s">
        <v>3682</v>
      </c>
      <c r="J11041" s="3" t="s">
        <v>18390</v>
      </c>
      <c r="K11041" s="3" t="s">
        <v>10823</v>
      </c>
      <c r="L11041" s="3" t="s">
        <v>3682</v>
      </c>
      <c r="M11041" s="3" t="s">
        <v>3677</v>
      </c>
      <c r="N11041" s="3" t="s">
        <v>3682</v>
      </c>
      <c r="O11041" s="3" t="s">
        <v>3682</v>
      </c>
    </row>
    <row r="11042">
      <c r="A11042" s="3">
        <v>2506.0</v>
      </c>
      <c r="B11042" s="3" t="s">
        <v>19423</v>
      </c>
      <c r="C11042" s="3" t="s">
        <v>11281</v>
      </c>
      <c r="D11042" s="3" t="s">
        <v>18391</v>
      </c>
      <c r="E11042" s="3" t="s">
        <v>18392</v>
      </c>
      <c r="F11042" s="3" t="s">
        <v>18391</v>
      </c>
    </row>
    <row r="11043">
      <c r="A11043" s="3">
        <v>2507.0</v>
      </c>
      <c r="B11043" s="3" t="s">
        <v>19423</v>
      </c>
      <c r="C11043" s="3" t="s">
        <v>11281</v>
      </c>
      <c r="D11043" s="3" t="s">
        <v>18393</v>
      </c>
      <c r="E11043" s="3" t="s">
        <v>18394</v>
      </c>
      <c r="F11043" s="3" t="s">
        <v>18393</v>
      </c>
    </row>
    <row r="11044">
      <c r="A11044" s="3">
        <v>2508.0</v>
      </c>
      <c r="B11044" s="3" t="s">
        <v>19423</v>
      </c>
      <c r="C11044" s="3" t="s">
        <v>11281</v>
      </c>
      <c r="D11044" s="3" t="s">
        <v>18395</v>
      </c>
      <c r="E11044" s="3" t="s">
        <v>18396</v>
      </c>
      <c r="F11044" s="3" t="s">
        <v>18395</v>
      </c>
      <c r="G11044" s="3"/>
      <c r="H11044" s="3" t="s">
        <v>315</v>
      </c>
      <c r="I11044" s="3" t="s">
        <v>15281</v>
      </c>
      <c r="J11044" s="3" t="s">
        <v>18397</v>
      </c>
      <c r="K11044" s="3" t="s">
        <v>18398</v>
      </c>
      <c r="L11044" s="3" t="s">
        <v>11170</v>
      </c>
      <c r="M11044" s="3" t="s">
        <v>18399</v>
      </c>
      <c r="N11044" s="3" t="s">
        <v>18400</v>
      </c>
      <c r="O11044" s="3" t="s">
        <v>3522</v>
      </c>
      <c r="P11044" s="3" t="s">
        <v>14958</v>
      </c>
      <c r="Q11044" s="3" t="s">
        <v>12870</v>
      </c>
      <c r="R11044" s="3" t="s">
        <v>11170</v>
      </c>
      <c r="S11044" s="3" t="s">
        <v>18398</v>
      </c>
      <c r="T11044" s="3" t="s">
        <v>18401</v>
      </c>
    </row>
    <row r="11045">
      <c r="A11045" s="3">
        <v>2509.0</v>
      </c>
      <c r="B11045" s="3" t="s">
        <v>19423</v>
      </c>
      <c r="C11045" s="3" t="s">
        <v>11281</v>
      </c>
      <c r="D11045" s="3" t="s">
        <v>18402</v>
      </c>
      <c r="E11045" s="3" t="s">
        <v>18403</v>
      </c>
      <c r="F11045" s="3" t="s">
        <v>18402</v>
      </c>
    </row>
    <row r="11046">
      <c r="A11046" s="3">
        <v>2510.0</v>
      </c>
      <c r="B11046" s="3" t="s">
        <v>19423</v>
      </c>
      <c r="C11046" s="3" t="s">
        <v>11281</v>
      </c>
      <c r="D11046" s="3" t="s">
        <v>18404</v>
      </c>
      <c r="E11046" s="3" t="s">
        <v>18405</v>
      </c>
      <c r="F11046" s="3" t="s">
        <v>18404</v>
      </c>
    </row>
    <row r="11047">
      <c r="A11047" s="3">
        <v>2511.0</v>
      </c>
      <c r="B11047" s="3" t="s">
        <v>19423</v>
      </c>
      <c r="C11047" s="3" t="s">
        <v>11281</v>
      </c>
      <c r="D11047" s="3" t="s">
        <v>18406</v>
      </c>
      <c r="E11047" s="3" t="s">
        <v>18407</v>
      </c>
      <c r="F11047" s="3" t="s">
        <v>18406</v>
      </c>
    </row>
    <row r="11048">
      <c r="A11048" s="3">
        <v>2512.0</v>
      </c>
      <c r="B11048" s="3" t="s">
        <v>19423</v>
      </c>
      <c r="C11048" s="3" t="s">
        <v>11281</v>
      </c>
      <c r="D11048" s="3" t="s">
        <v>18408</v>
      </c>
      <c r="E11048" s="3" t="s">
        <v>18409</v>
      </c>
      <c r="F11048" s="3" t="s">
        <v>18408</v>
      </c>
    </row>
    <row r="11049">
      <c r="A11049" s="3">
        <v>2513.0</v>
      </c>
      <c r="B11049" s="3" t="s">
        <v>19423</v>
      </c>
      <c r="C11049" s="3" t="s">
        <v>11281</v>
      </c>
      <c r="D11049" s="3" t="s">
        <v>5828</v>
      </c>
      <c r="E11049" s="3" t="s">
        <v>7794</v>
      </c>
      <c r="F11049" s="3" t="s">
        <v>5828</v>
      </c>
    </row>
    <row r="11050">
      <c r="A11050" s="3">
        <v>2514.0</v>
      </c>
      <c r="B11050" s="3" t="s">
        <v>19423</v>
      </c>
      <c r="C11050" s="3" t="s">
        <v>11281</v>
      </c>
      <c r="D11050" s="3" t="s">
        <v>18410</v>
      </c>
      <c r="E11050" s="3" t="s">
        <v>18411</v>
      </c>
      <c r="F11050" s="3" t="s">
        <v>18410</v>
      </c>
      <c r="G11050" s="3"/>
      <c r="H11050" s="3" t="s">
        <v>18410</v>
      </c>
    </row>
    <row r="11051">
      <c r="A11051" s="3">
        <v>2515.0</v>
      </c>
      <c r="B11051" s="3" t="s">
        <v>19423</v>
      </c>
      <c r="C11051" s="3" t="s">
        <v>11281</v>
      </c>
      <c r="D11051" s="3" t="s">
        <v>18412</v>
      </c>
      <c r="E11051" s="3" t="s">
        <v>18413</v>
      </c>
      <c r="F11051" s="3" t="s">
        <v>18412</v>
      </c>
    </row>
    <row r="11052">
      <c r="A11052" s="3">
        <v>2516.0</v>
      </c>
      <c r="B11052" s="3" t="s">
        <v>19423</v>
      </c>
      <c r="C11052" s="3" t="s">
        <v>11281</v>
      </c>
      <c r="D11052" s="3" t="s">
        <v>18414</v>
      </c>
      <c r="E11052" s="3" t="s">
        <v>18415</v>
      </c>
      <c r="F11052" s="3" t="s">
        <v>18416</v>
      </c>
    </row>
    <row r="11053">
      <c r="A11053" s="3">
        <v>2517.0</v>
      </c>
      <c r="B11053" s="3" t="s">
        <v>19423</v>
      </c>
      <c r="C11053" s="3" t="s">
        <v>11281</v>
      </c>
      <c r="D11053" s="3" t="s">
        <v>18417</v>
      </c>
      <c r="E11053" s="3" t="s">
        <v>18418</v>
      </c>
      <c r="F11053" s="3" t="s">
        <v>18419</v>
      </c>
    </row>
    <row r="11054">
      <c r="A11054" s="3">
        <v>2518.0</v>
      </c>
      <c r="B11054" s="3" t="s">
        <v>19423</v>
      </c>
      <c r="C11054" s="3" t="s">
        <v>11281</v>
      </c>
      <c r="D11054" s="3" t="s">
        <v>18420</v>
      </c>
      <c r="E11054" s="3" t="s">
        <v>18421</v>
      </c>
      <c r="F11054" s="3" t="s">
        <v>18420</v>
      </c>
    </row>
    <row r="11055">
      <c r="A11055" s="3">
        <v>2519.0</v>
      </c>
      <c r="B11055" s="3" t="s">
        <v>19423</v>
      </c>
      <c r="C11055" s="3" t="s">
        <v>11281</v>
      </c>
      <c r="D11055" s="3" t="s">
        <v>18422</v>
      </c>
      <c r="E11055" s="3" t="s">
        <v>18423</v>
      </c>
      <c r="F11055" s="3" t="s">
        <v>18422</v>
      </c>
    </row>
    <row r="11056">
      <c r="A11056" s="3">
        <v>2520.0</v>
      </c>
      <c r="B11056" s="3" t="s">
        <v>19423</v>
      </c>
      <c r="C11056" s="3" t="s">
        <v>11281</v>
      </c>
      <c r="D11056" s="3" t="s">
        <v>18424</v>
      </c>
      <c r="E11056" s="3" t="s">
        <v>18425</v>
      </c>
      <c r="F11056" s="3" t="s">
        <v>18424</v>
      </c>
    </row>
    <row r="11057">
      <c r="A11057" s="3">
        <v>2521.0</v>
      </c>
      <c r="B11057" s="3" t="s">
        <v>19423</v>
      </c>
      <c r="C11057" s="3" t="s">
        <v>11281</v>
      </c>
      <c r="D11057" s="3" t="s">
        <v>18426</v>
      </c>
      <c r="E11057" s="3" t="s">
        <v>18427</v>
      </c>
      <c r="F11057" s="3" t="s">
        <v>18426</v>
      </c>
    </row>
    <row r="11058">
      <c r="A11058" s="3">
        <v>2522.0</v>
      </c>
      <c r="B11058" s="3" t="s">
        <v>19423</v>
      </c>
      <c r="C11058" s="3" t="s">
        <v>11281</v>
      </c>
      <c r="D11058" s="3" t="s">
        <v>18428</v>
      </c>
      <c r="E11058" s="3" t="s">
        <v>18429</v>
      </c>
      <c r="F11058" s="3" t="s">
        <v>18428</v>
      </c>
    </row>
    <row r="11059">
      <c r="A11059" s="3">
        <v>2523.0</v>
      </c>
      <c r="B11059" s="3" t="s">
        <v>19423</v>
      </c>
      <c r="C11059" s="3" t="s">
        <v>11281</v>
      </c>
      <c r="D11059" s="3" t="s">
        <v>18430</v>
      </c>
      <c r="E11059" s="3" t="s">
        <v>18431</v>
      </c>
      <c r="F11059" s="3" t="s">
        <v>18430</v>
      </c>
    </row>
    <row r="11060">
      <c r="A11060" s="3">
        <v>2524.0</v>
      </c>
      <c r="B11060" s="3" t="s">
        <v>19423</v>
      </c>
      <c r="C11060" s="3" t="s">
        <v>11281</v>
      </c>
      <c r="D11060" s="3" t="s">
        <v>18432</v>
      </c>
      <c r="E11060" s="3" t="s">
        <v>18433</v>
      </c>
      <c r="F11060" s="3" t="s">
        <v>18432</v>
      </c>
    </row>
    <row r="11061">
      <c r="A11061" s="3">
        <v>2525.0</v>
      </c>
      <c r="B11061" s="3" t="s">
        <v>19423</v>
      </c>
      <c r="C11061" s="3" t="s">
        <v>11281</v>
      </c>
      <c r="D11061" s="3" t="s">
        <v>18434</v>
      </c>
      <c r="E11061" s="3" t="s">
        <v>18435</v>
      </c>
      <c r="F11061" s="3" t="s">
        <v>18434</v>
      </c>
    </row>
    <row r="11062">
      <c r="A11062" s="3">
        <v>2526.0</v>
      </c>
      <c r="B11062" s="3" t="s">
        <v>19423</v>
      </c>
      <c r="C11062" s="3" t="s">
        <v>11281</v>
      </c>
      <c r="D11062" s="3" t="s">
        <v>1973</v>
      </c>
      <c r="E11062" s="3" t="s">
        <v>7051</v>
      </c>
      <c r="F11062" s="3" t="s">
        <v>1973</v>
      </c>
    </row>
    <row r="11063">
      <c r="A11063" s="3">
        <v>2527.0</v>
      </c>
      <c r="B11063" s="3" t="s">
        <v>19423</v>
      </c>
      <c r="C11063" s="3" t="s">
        <v>11281</v>
      </c>
      <c r="D11063" s="3" t="s">
        <v>1982</v>
      </c>
      <c r="E11063" s="3" t="s">
        <v>7054</v>
      </c>
      <c r="F11063" s="3" t="s">
        <v>1982</v>
      </c>
    </row>
    <row r="11064">
      <c r="A11064" s="3">
        <v>2528.0</v>
      </c>
      <c r="B11064" s="3" t="s">
        <v>19423</v>
      </c>
      <c r="C11064" s="3" t="s">
        <v>11281</v>
      </c>
      <c r="D11064" s="3" t="s">
        <v>5669</v>
      </c>
      <c r="E11064" s="3" t="s">
        <v>5668</v>
      </c>
      <c r="F11064" s="3" t="s">
        <v>5669</v>
      </c>
    </row>
    <row r="11065">
      <c r="A11065" s="3">
        <v>2529.0</v>
      </c>
      <c r="B11065" s="3" t="s">
        <v>19423</v>
      </c>
      <c r="C11065" s="3" t="s">
        <v>11281</v>
      </c>
      <c r="D11065" s="3" t="s">
        <v>5672</v>
      </c>
      <c r="E11065" s="3" t="s">
        <v>7765</v>
      </c>
      <c r="F11065" s="3" t="s">
        <v>5672</v>
      </c>
      <c r="G11065" s="3"/>
      <c r="H11065" s="3" t="s">
        <v>18436</v>
      </c>
      <c r="I11065" s="3" t="s">
        <v>18437</v>
      </c>
      <c r="J11065" s="3" t="s">
        <v>18438</v>
      </c>
    </row>
    <row r="11066">
      <c r="A11066" s="3">
        <v>2530.0</v>
      </c>
      <c r="B11066" s="3" t="s">
        <v>19423</v>
      </c>
      <c r="C11066" s="3" t="s">
        <v>11281</v>
      </c>
      <c r="D11066" s="3" t="s">
        <v>5681</v>
      </c>
      <c r="E11066" s="3" t="s">
        <v>7768</v>
      </c>
      <c r="F11066" s="3" t="s">
        <v>5681</v>
      </c>
    </row>
    <row r="11067">
      <c r="A11067" s="3">
        <v>2531.0</v>
      </c>
      <c r="B11067" s="3" t="s">
        <v>19423</v>
      </c>
      <c r="C11067" s="3" t="s">
        <v>11281</v>
      </c>
      <c r="D11067" s="3" t="s">
        <v>6093</v>
      </c>
      <c r="E11067" s="3" t="s">
        <v>18439</v>
      </c>
      <c r="F11067" s="3" t="s">
        <v>6093</v>
      </c>
      <c r="G11067" s="3"/>
      <c r="H11067" s="3" t="s">
        <v>18440</v>
      </c>
      <c r="I11067" s="3" t="s">
        <v>18441</v>
      </c>
      <c r="J11067" s="3" t="s">
        <v>858</v>
      </c>
      <c r="K11067" s="3" t="s">
        <v>18442</v>
      </c>
      <c r="L11067" s="3" t="s">
        <v>18443</v>
      </c>
      <c r="M11067" s="3" t="s">
        <v>18444</v>
      </c>
      <c r="N11067" s="3" t="s">
        <v>18445</v>
      </c>
      <c r="O11067" s="3" t="s">
        <v>18442</v>
      </c>
      <c r="P11067" s="3" t="s">
        <v>18446</v>
      </c>
      <c r="Q11067" s="3" t="s">
        <v>18443</v>
      </c>
      <c r="R11067" s="3" t="s">
        <v>18442</v>
      </c>
      <c r="S11067" s="3" t="s">
        <v>18440</v>
      </c>
      <c r="T11067" s="3" t="s">
        <v>18447</v>
      </c>
      <c r="U11067" s="3" t="s">
        <v>18442</v>
      </c>
      <c r="V11067" s="3" t="s">
        <v>18448</v>
      </c>
      <c r="W11067" s="3" t="s">
        <v>18446</v>
      </c>
      <c r="X11067" s="3" t="s">
        <v>18449</v>
      </c>
    </row>
    <row r="11068">
      <c r="A11068" s="3">
        <v>2532.0</v>
      </c>
      <c r="B11068" s="3" t="s">
        <v>19423</v>
      </c>
      <c r="C11068" s="3" t="s">
        <v>11281</v>
      </c>
      <c r="D11068" s="3" t="s">
        <v>18450</v>
      </c>
      <c r="E11068" s="3" t="s">
        <v>18451</v>
      </c>
      <c r="F11068" s="3" t="s">
        <v>18452</v>
      </c>
    </row>
    <row r="11069">
      <c r="A11069" s="3">
        <v>2533.0</v>
      </c>
      <c r="B11069" s="3" t="s">
        <v>19423</v>
      </c>
      <c r="C11069" s="3" t="s">
        <v>11281</v>
      </c>
      <c r="D11069" s="3" t="s">
        <v>18453</v>
      </c>
      <c r="E11069" s="3" t="s">
        <v>18454</v>
      </c>
      <c r="F11069" s="3" t="s">
        <v>18455</v>
      </c>
    </row>
    <row r="11070">
      <c r="A11070" s="3">
        <v>2534.0</v>
      </c>
      <c r="B11070" s="3" t="s">
        <v>19423</v>
      </c>
      <c r="C11070" s="3" t="s">
        <v>11281</v>
      </c>
      <c r="D11070" s="3" t="s">
        <v>18456</v>
      </c>
      <c r="E11070" s="3" t="s">
        <v>18457</v>
      </c>
      <c r="F11070" s="3" t="s">
        <v>18456</v>
      </c>
    </row>
    <row r="11071">
      <c r="A11071" s="3">
        <v>2535.0</v>
      </c>
      <c r="B11071" s="3" t="s">
        <v>19423</v>
      </c>
      <c r="C11071" s="3" t="s">
        <v>11281</v>
      </c>
      <c r="D11071" s="3" t="s">
        <v>18458</v>
      </c>
      <c r="E11071" s="3" t="s">
        <v>18459</v>
      </c>
      <c r="F11071" s="3" t="s">
        <v>18458</v>
      </c>
      <c r="G11071" s="3"/>
      <c r="H11071" s="3" t="s">
        <v>18460</v>
      </c>
      <c r="I11071" s="3" t="s">
        <v>18461</v>
      </c>
      <c r="J11071" s="3" t="s">
        <v>18462</v>
      </c>
      <c r="K11071" s="3" t="s">
        <v>18463</v>
      </c>
      <c r="L11071" s="3" t="s">
        <v>18443</v>
      </c>
      <c r="M11071" s="3" t="s">
        <v>18464</v>
      </c>
      <c r="N11071" s="3" t="s">
        <v>18465</v>
      </c>
      <c r="O11071" s="3" t="s">
        <v>18442</v>
      </c>
      <c r="P11071" s="3" t="s">
        <v>18466</v>
      </c>
      <c r="Q11071" s="3" t="s">
        <v>18467</v>
      </c>
      <c r="R11071" s="3" t="s">
        <v>18468</v>
      </c>
      <c r="S11071" s="3" t="s">
        <v>18462</v>
      </c>
      <c r="T11071" s="3" t="s">
        <v>18463</v>
      </c>
      <c r="U11071" s="3" t="s">
        <v>18469</v>
      </c>
      <c r="V11071" s="3" t="s">
        <v>18470</v>
      </c>
      <c r="W11071" s="3" t="s">
        <v>18443</v>
      </c>
      <c r="X11071" s="3" t="s">
        <v>323</v>
      </c>
      <c r="Y11071" s="3" t="s">
        <v>18470</v>
      </c>
      <c r="Z11071" s="3" t="s">
        <v>15046</v>
      </c>
      <c r="AA11071" s="3" t="s">
        <v>18446</v>
      </c>
    </row>
    <row r="11072">
      <c r="A11072" s="3">
        <v>2536.0</v>
      </c>
      <c r="B11072" s="3" t="s">
        <v>19423</v>
      </c>
      <c r="C11072" s="3" t="s">
        <v>11281</v>
      </c>
      <c r="D11072" s="3" t="s">
        <v>18471</v>
      </c>
      <c r="E11072" s="3" t="s">
        <v>18472</v>
      </c>
      <c r="F11072" s="3" t="s">
        <v>18471</v>
      </c>
    </row>
    <row r="11073">
      <c r="A11073" s="3">
        <v>2537.0</v>
      </c>
      <c r="B11073" s="3" t="s">
        <v>19423</v>
      </c>
      <c r="C11073" s="3" t="s">
        <v>11281</v>
      </c>
      <c r="D11073" s="3" t="s">
        <v>18473</v>
      </c>
      <c r="E11073" s="3" t="s">
        <v>18474</v>
      </c>
      <c r="F11073" s="3" t="s">
        <v>18473</v>
      </c>
    </row>
    <row r="11074">
      <c r="A11074" s="3">
        <v>2538.0</v>
      </c>
      <c r="B11074" s="3" t="s">
        <v>19423</v>
      </c>
      <c r="C11074" s="3" t="s">
        <v>11281</v>
      </c>
      <c r="D11074" s="3" t="s">
        <v>18475</v>
      </c>
      <c r="E11074" s="3" t="s">
        <v>18476</v>
      </c>
      <c r="F11074" s="3" t="s">
        <v>18475</v>
      </c>
    </row>
    <row r="11075">
      <c r="A11075" s="3">
        <v>2539.0</v>
      </c>
      <c r="B11075" s="3" t="s">
        <v>19423</v>
      </c>
      <c r="C11075" s="3" t="s">
        <v>11281</v>
      </c>
      <c r="D11075" s="3" t="s">
        <v>18477</v>
      </c>
      <c r="E11075" s="3" t="s">
        <v>18478</v>
      </c>
      <c r="F11075" s="3" t="s">
        <v>18477</v>
      </c>
    </row>
    <row r="11076">
      <c r="A11076" s="3">
        <v>2540.0</v>
      </c>
      <c r="B11076" s="3" t="s">
        <v>19423</v>
      </c>
      <c r="C11076" s="3" t="s">
        <v>11281</v>
      </c>
      <c r="D11076" s="3" t="s">
        <v>18479</v>
      </c>
      <c r="E11076" s="3" t="s">
        <v>18480</v>
      </c>
      <c r="F11076" s="3" t="s">
        <v>18479</v>
      </c>
      <c r="G11076" s="3"/>
      <c r="H11076" s="3" t="s">
        <v>17481</v>
      </c>
    </row>
    <row r="11077">
      <c r="A11077" s="3">
        <v>2541.0</v>
      </c>
      <c r="B11077" s="3" t="s">
        <v>19423</v>
      </c>
      <c r="C11077" s="3" t="s">
        <v>11281</v>
      </c>
      <c r="D11077" s="3" t="s">
        <v>18481</v>
      </c>
      <c r="E11077" s="3" t="s">
        <v>18482</v>
      </c>
      <c r="F11077" s="3" t="s">
        <v>18481</v>
      </c>
    </row>
    <row r="11078">
      <c r="A11078" s="3">
        <v>2542.0</v>
      </c>
      <c r="B11078" s="3" t="s">
        <v>19423</v>
      </c>
      <c r="C11078" s="3" t="s">
        <v>11281</v>
      </c>
      <c r="D11078" s="3" t="s">
        <v>18483</v>
      </c>
      <c r="E11078" s="3" t="s">
        <v>18484</v>
      </c>
      <c r="F11078" s="3" t="s">
        <v>18483</v>
      </c>
    </row>
    <row r="11079">
      <c r="A11079" s="3">
        <v>2543.0</v>
      </c>
      <c r="B11079" s="3" t="s">
        <v>19423</v>
      </c>
      <c r="C11079" s="3" t="s">
        <v>11281</v>
      </c>
      <c r="D11079" s="3" t="s">
        <v>18485</v>
      </c>
      <c r="E11079" s="3" t="s">
        <v>18486</v>
      </c>
      <c r="F11079" s="3" t="s">
        <v>18485</v>
      </c>
    </row>
    <row r="11080">
      <c r="A11080" s="3">
        <v>2544.0</v>
      </c>
      <c r="B11080" s="3" t="s">
        <v>19423</v>
      </c>
      <c r="C11080" s="3" t="s">
        <v>11281</v>
      </c>
      <c r="D11080" s="3" t="s">
        <v>18487</v>
      </c>
      <c r="E11080" s="3" t="s">
        <v>18488</v>
      </c>
      <c r="F11080" s="3" t="s">
        <v>18487</v>
      </c>
    </row>
    <row r="11081">
      <c r="A11081" s="3">
        <v>2545.0</v>
      </c>
      <c r="B11081" s="3" t="s">
        <v>19423</v>
      </c>
      <c r="C11081" s="3" t="s">
        <v>11281</v>
      </c>
      <c r="D11081" s="3" t="s">
        <v>18489</v>
      </c>
      <c r="E11081" s="3" t="s">
        <v>18490</v>
      </c>
      <c r="F11081" s="3" t="s">
        <v>18489</v>
      </c>
    </row>
    <row r="11082">
      <c r="A11082" s="3">
        <v>2546.0</v>
      </c>
      <c r="B11082" s="3" t="s">
        <v>19423</v>
      </c>
      <c r="C11082" s="3" t="s">
        <v>11281</v>
      </c>
      <c r="D11082" s="3" t="s">
        <v>18491</v>
      </c>
      <c r="E11082" s="3" t="s">
        <v>18492</v>
      </c>
      <c r="F11082" s="3" t="s">
        <v>18491</v>
      </c>
    </row>
    <row r="11083">
      <c r="A11083" s="3">
        <v>2547.0</v>
      </c>
      <c r="B11083" s="3" t="s">
        <v>19423</v>
      </c>
      <c r="C11083" s="3" t="s">
        <v>11281</v>
      </c>
      <c r="D11083" s="3" t="s">
        <v>18493</v>
      </c>
      <c r="E11083" s="3" t="s">
        <v>18494</v>
      </c>
      <c r="F11083" s="3" t="s">
        <v>18493</v>
      </c>
    </row>
    <row r="11084">
      <c r="A11084" s="3">
        <v>2548.0</v>
      </c>
      <c r="B11084" s="3" t="s">
        <v>19423</v>
      </c>
      <c r="C11084" s="3" t="s">
        <v>11281</v>
      </c>
      <c r="D11084" s="3" t="s">
        <v>18495</v>
      </c>
      <c r="E11084" s="3" t="s">
        <v>18496</v>
      </c>
      <c r="F11084" s="3" t="s">
        <v>18495</v>
      </c>
    </row>
    <row r="11085">
      <c r="A11085" s="3">
        <v>2549.0</v>
      </c>
      <c r="B11085" s="3" t="s">
        <v>19423</v>
      </c>
      <c r="C11085" s="3" t="s">
        <v>11281</v>
      </c>
      <c r="D11085" s="3" t="s">
        <v>18497</v>
      </c>
      <c r="E11085" s="3" t="s">
        <v>18498</v>
      </c>
      <c r="F11085" s="3" t="s">
        <v>18497</v>
      </c>
      <c r="G11085" s="3"/>
      <c r="H11085" s="3" t="s">
        <v>18499</v>
      </c>
      <c r="I11085" s="3" t="s">
        <v>18500</v>
      </c>
      <c r="J11085" s="3" t="s">
        <v>18501</v>
      </c>
      <c r="K11085" s="3" t="s">
        <v>18502</v>
      </c>
      <c r="L11085" s="3" t="s">
        <v>13419</v>
      </c>
      <c r="M11085" s="3" t="s">
        <v>18503</v>
      </c>
      <c r="N11085" s="3" t="s">
        <v>12744</v>
      </c>
    </row>
    <row r="11086">
      <c r="A11086" s="3">
        <v>2550.0</v>
      </c>
      <c r="B11086" s="3" t="s">
        <v>19423</v>
      </c>
      <c r="C11086" s="3" t="s">
        <v>11281</v>
      </c>
      <c r="D11086" s="3" t="s">
        <v>18504</v>
      </c>
      <c r="E11086" s="3" t="s">
        <v>18505</v>
      </c>
      <c r="F11086" s="3" t="s">
        <v>18504</v>
      </c>
    </row>
    <row r="11087">
      <c r="A11087" s="3">
        <v>2551.0</v>
      </c>
      <c r="B11087" s="3" t="s">
        <v>19423</v>
      </c>
      <c r="C11087" s="3" t="s">
        <v>11281</v>
      </c>
      <c r="D11087" s="3" t="s">
        <v>18506</v>
      </c>
      <c r="E11087" s="3" t="s">
        <v>18507</v>
      </c>
      <c r="F11087" s="3" t="s">
        <v>18506</v>
      </c>
    </row>
    <row r="11088">
      <c r="A11088" s="3">
        <v>2552.0</v>
      </c>
      <c r="B11088" s="3" t="s">
        <v>19423</v>
      </c>
      <c r="C11088" s="3" t="s">
        <v>11281</v>
      </c>
      <c r="D11088" s="3" t="s">
        <v>18508</v>
      </c>
      <c r="E11088" s="3" t="s">
        <v>18509</v>
      </c>
      <c r="F11088" s="3" t="s">
        <v>18508</v>
      </c>
    </row>
    <row r="11089">
      <c r="A11089" s="3">
        <v>2553.0</v>
      </c>
      <c r="B11089" s="3" t="s">
        <v>19423</v>
      </c>
      <c r="C11089" s="3" t="s">
        <v>11281</v>
      </c>
      <c r="D11089" s="3" t="s">
        <v>18510</v>
      </c>
      <c r="E11089" s="3" t="s">
        <v>18511</v>
      </c>
      <c r="F11089" s="3" t="s">
        <v>18510</v>
      </c>
    </row>
    <row r="11090">
      <c r="A11090" s="3">
        <v>2554.0</v>
      </c>
      <c r="B11090" s="3" t="s">
        <v>19423</v>
      </c>
      <c r="C11090" s="3" t="s">
        <v>11281</v>
      </c>
      <c r="D11090" s="3" t="s">
        <v>18512</v>
      </c>
      <c r="E11090" s="3" t="s">
        <v>18513</v>
      </c>
      <c r="F11090" s="3" t="s">
        <v>18512</v>
      </c>
      <c r="G11090" s="3"/>
      <c r="H11090" s="3" t="s">
        <v>18514</v>
      </c>
      <c r="I11090" s="3" t="s">
        <v>10125</v>
      </c>
      <c r="J11090" s="3" t="s">
        <v>10126</v>
      </c>
      <c r="K11090" s="3" t="s">
        <v>10127</v>
      </c>
      <c r="L11090" s="3" t="s">
        <v>5450</v>
      </c>
    </row>
    <row r="11091">
      <c r="A11091" s="3">
        <v>2555.0</v>
      </c>
      <c r="B11091" s="3" t="s">
        <v>19423</v>
      </c>
      <c r="C11091" s="3" t="s">
        <v>11281</v>
      </c>
      <c r="D11091" s="3" t="s">
        <v>185</v>
      </c>
      <c r="E11091" s="3" t="s">
        <v>186</v>
      </c>
      <c r="F11091" s="3" t="s">
        <v>185</v>
      </c>
      <c r="G11091" s="3"/>
      <c r="H11091" s="3" t="s">
        <v>18515</v>
      </c>
      <c r="I11091" s="3" t="s">
        <v>18516</v>
      </c>
      <c r="J11091" s="3" t="s">
        <v>18517</v>
      </c>
      <c r="K11091" s="3" t="s">
        <v>5270</v>
      </c>
      <c r="L11091" s="3" t="s">
        <v>18518</v>
      </c>
      <c r="M11091" s="3" t="s">
        <v>18519</v>
      </c>
      <c r="N11091" s="3" t="s">
        <v>18520</v>
      </c>
    </row>
    <row r="11092">
      <c r="A11092" s="3">
        <v>2556.0</v>
      </c>
      <c r="B11092" s="3" t="s">
        <v>19423</v>
      </c>
      <c r="C11092" s="3" t="s">
        <v>11281</v>
      </c>
      <c r="D11092" s="3" t="s">
        <v>18521</v>
      </c>
      <c r="E11092" s="3" t="s">
        <v>18522</v>
      </c>
      <c r="F11092" s="3" t="s">
        <v>18521</v>
      </c>
    </row>
    <row r="11093">
      <c r="A11093" s="3">
        <v>2557.0</v>
      </c>
      <c r="B11093" s="3" t="s">
        <v>19423</v>
      </c>
      <c r="C11093" s="3" t="s">
        <v>11281</v>
      </c>
      <c r="D11093" s="3" t="s">
        <v>18523</v>
      </c>
      <c r="E11093" s="3" t="s">
        <v>18524</v>
      </c>
      <c r="F11093" s="3" t="s">
        <v>18523</v>
      </c>
    </row>
    <row r="11094">
      <c r="A11094" s="3">
        <v>2558.0</v>
      </c>
      <c r="B11094" s="3" t="s">
        <v>19423</v>
      </c>
      <c r="C11094" s="3" t="s">
        <v>11281</v>
      </c>
      <c r="D11094" s="3" t="s">
        <v>18525</v>
      </c>
      <c r="E11094" s="3" t="s">
        <v>18526</v>
      </c>
      <c r="F11094" s="3" t="s">
        <v>18525</v>
      </c>
      <c r="G11094" s="3"/>
      <c r="H11094" s="3" t="s">
        <v>18527</v>
      </c>
      <c r="I11094" s="3" t="s">
        <v>18528</v>
      </c>
      <c r="J11094" s="3" t="s">
        <v>18529</v>
      </c>
      <c r="K11094" s="3" t="s">
        <v>18530</v>
      </c>
      <c r="L11094" s="3" t="s">
        <v>18529</v>
      </c>
      <c r="M11094" s="3" t="s">
        <v>18529</v>
      </c>
      <c r="N11094" s="3" t="s">
        <v>18531</v>
      </c>
    </row>
    <row r="11095">
      <c r="A11095" s="3">
        <v>2559.0</v>
      </c>
      <c r="B11095" s="3" t="s">
        <v>19423</v>
      </c>
      <c r="C11095" s="3" t="s">
        <v>11281</v>
      </c>
      <c r="D11095" s="3" t="s">
        <v>18532</v>
      </c>
      <c r="E11095" s="3" t="s">
        <v>20379</v>
      </c>
      <c r="F11095" s="3" t="s">
        <v>20380</v>
      </c>
    </row>
    <row r="11096">
      <c r="A11096" s="3">
        <v>2560.0</v>
      </c>
      <c r="B11096" s="3" t="s">
        <v>19423</v>
      </c>
      <c r="C11096" s="3" t="s">
        <v>11281</v>
      </c>
      <c r="D11096" s="3" t="s">
        <v>18535</v>
      </c>
      <c r="E11096" s="3" t="s">
        <v>20381</v>
      </c>
      <c r="F11096" s="3" t="s">
        <v>20382</v>
      </c>
    </row>
    <row r="11097">
      <c r="A11097" s="3">
        <v>2561.0</v>
      </c>
      <c r="B11097" s="3" t="s">
        <v>19423</v>
      </c>
      <c r="C11097" s="3" t="s">
        <v>11281</v>
      </c>
      <c r="D11097" s="3" t="s">
        <v>18538</v>
      </c>
      <c r="E11097" s="3" t="s">
        <v>20383</v>
      </c>
      <c r="F11097" s="3" t="s">
        <v>20384</v>
      </c>
    </row>
    <row r="11098">
      <c r="A11098" s="3">
        <v>2562.0</v>
      </c>
      <c r="B11098" s="3" t="s">
        <v>19423</v>
      </c>
      <c r="C11098" s="3" t="s">
        <v>11281</v>
      </c>
      <c r="D11098" s="3" t="s">
        <v>18541</v>
      </c>
      <c r="E11098" s="3" t="s">
        <v>20385</v>
      </c>
      <c r="F11098" s="3" t="s">
        <v>20386</v>
      </c>
    </row>
    <row r="11099">
      <c r="A11099" s="3">
        <v>2563.0</v>
      </c>
      <c r="B11099" s="3" t="s">
        <v>19423</v>
      </c>
      <c r="C11099" s="3" t="s">
        <v>11281</v>
      </c>
      <c r="D11099" s="3" t="s">
        <v>18544</v>
      </c>
      <c r="E11099" s="3" t="s">
        <v>20387</v>
      </c>
      <c r="F11099" s="3" t="s">
        <v>20388</v>
      </c>
    </row>
    <row r="11100">
      <c r="A11100" s="3">
        <v>2564.0</v>
      </c>
      <c r="B11100" s="3" t="s">
        <v>19423</v>
      </c>
      <c r="C11100" s="3" t="s">
        <v>11281</v>
      </c>
      <c r="D11100" s="3" t="s">
        <v>18547</v>
      </c>
      <c r="E11100" s="3" t="s">
        <v>20389</v>
      </c>
      <c r="F11100" s="3" t="s">
        <v>20390</v>
      </c>
    </row>
    <row r="11101">
      <c r="A11101" s="3">
        <v>2565.0</v>
      </c>
      <c r="B11101" s="3" t="s">
        <v>19423</v>
      </c>
      <c r="C11101" s="3" t="s">
        <v>11281</v>
      </c>
      <c r="D11101" s="3" t="s">
        <v>18550</v>
      </c>
      <c r="E11101" s="3" t="s">
        <v>20391</v>
      </c>
      <c r="F11101" s="3" t="s">
        <v>20392</v>
      </c>
    </row>
    <row r="11102">
      <c r="A11102" s="3">
        <v>2566.0</v>
      </c>
      <c r="B11102" s="3" t="s">
        <v>19423</v>
      </c>
      <c r="C11102" s="3" t="s">
        <v>11281</v>
      </c>
      <c r="D11102" s="3" t="s">
        <v>18553</v>
      </c>
      <c r="E11102" s="3" t="s">
        <v>18554</v>
      </c>
      <c r="F11102" s="3" t="s">
        <v>18553</v>
      </c>
    </row>
    <row r="11103">
      <c r="A11103" s="3">
        <v>2567.0</v>
      </c>
      <c r="B11103" s="3" t="s">
        <v>19423</v>
      </c>
      <c r="C11103" s="3" t="s">
        <v>11281</v>
      </c>
      <c r="D11103" s="3" t="s">
        <v>18555</v>
      </c>
      <c r="E11103" s="3" t="s">
        <v>18556</v>
      </c>
      <c r="F11103" s="3" t="s">
        <v>18555</v>
      </c>
    </row>
    <row r="11104">
      <c r="A11104" s="3">
        <v>2568.0</v>
      </c>
      <c r="B11104" s="3" t="s">
        <v>19423</v>
      </c>
      <c r="C11104" s="3" t="s">
        <v>11281</v>
      </c>
      <c r="D11104" s="3" t="s">
        <v>18557</v>
      </c>
      <c r="E11104" s="3" t="s">
        <v>6430</v>
      </c>
      <c r="F11104" s="3" t="s">
        <v>6431</v>
      </c>
    </row>
    <row r="11105">
      <c r="A11105" s="3">
        <v>2569.0</v>
      </c>
      <c r="B11105" s="3" t="s">
        <v>19423</v>
      </c>
      <c r="C11105" s="3" t="s">
        <v>11281</v>
      </c>
      <c r="D11105" s="3" t="s">
        <v>18558</v>
      </c>
      <c r="E11105" s="3" t="s">
        <v>18559</v>
      </c>
      <c r="F11105" s="3" t="s">
        <v>18560</v>
      </c>
    </row>
    <row r="11106">
      <c r="A11106" s="3">
        <v>2570.0</v>
      </c>
      <c r="B11106" s="3" t="s">
        <v>19423</v>
      </c>
      <c r="C11106" s="3" t="s">
        <v>11281</v>
      </c>
      <c r="D11106" s="3" t="s">
        <v>18561</v>
      </c>
      <c r="E11106" s="3" t="s">
        <v>18562</v>
      </c>
      <c r="F11106" s="3" t="s">
        <v>18563</v>
      </c>
    </row>
    <row r="11107">
      <c r="A11107" s="3">
        <v>2571.0</v>
      </c>
      <c r="B11107" s="3" t="s">
        <v>19423</v>
      </c>
      <c r="C11107" s="3" t="s">
        <v>11281</v>
      </c>
      <c r="D11107" s="3" t="s">
        <v>18564</v>
      </c>
      <c r="E11107" s="3" t="s">
        <v>18565</v>
      </c>
      <c r="F11107" s="3" t="s">
        <v>18566</v>
      </c>
    </row>
    <row r="11108">
      <c r="A11108" s="3">
        <v>2572.0</v>
      </c>
      <c r="B11108" s="3" t="s">
        <v>19423</v>
      </c>
      <c r="C11108" s="3" t="s">
        <v>11281</v>
      </c>
      <c r="D11108" s="3" t="s">
        <v>18567</v>
      </c>
      <c r="E11108" s="3" t="s">
        <v>18568</v>
      </c>
      <c r="F11108" s="3" t="s">
        <v>18569</v>
      </c>
    </row>
    <row r="11109">
      <c r="A11109" s="3">
        <v>2573.0</v>
      </c>
      <c r="B11109" s="3" t="s">
        <v>19423</v>
      </c>
      <c r="C11109" s="3" t="s">
        <v>11281</v>
      </c>
      <c r="D11109" s="3" t="s">
        <v>18570</v>
      </c>
      <c r="E11109" s="3" t="s">
        <v>9166</v>
      </c>
      <c r="F11109" s="3" t="s">
        <v>9167</v>
      </c>
    </row>
    <row r="11110">
      <c r="A11110" s="3">
        <v>2574.0</v>
      </c>
      <c r="B11110" s="3" t="s">
        <v>19423</v>
      </c>
      <c r="C11110" s="3" t="s">
        <v>11281</v>
      </c>
      <c r="D11110" s="3" t="s">
        <v>18571</v>
      </c>
      <c r="E11110" s="3" t="s">
        <v>18572</v>
      </c>
      <c r="F11110" s="3" t="s">
        <v>18573</v>
      </c>
    </row>
    <row r="11111">
      <c r="A11111" s="3">
        <v>2575.0</v>
      </c>
      <c r="B11111" s="3" t="s">
        <v>19423</v>
      </c>
      <c r="C11111" s="3" t="s">
        <v>11281</v>
      </c>
      <c r="D11111" s="3" t="s">
        <v>18574</v>
      </c>
      <c r="E11111" s="3" t="s">
        <v>18575</v>
      </c>
      <c r="F11111" s="3" t="s">
        <v>18576</v>
      </c>
    </row>
    <row r="11112">
      <c r="A11112" s="3">
        <v>2576.0</v>
      </c>
      <c r="B11112" s="3" t="s">
        <v>19423</v>
      </c>
      <c r="C11112" s="3" t="s">
        <v>11281</v>
      </c>
      <c r="D11112" s="3" t="s">
        <v>18577</v>
      </c>
      <c r="E11112" s="3" t="s">
        <v>18578</v>
      </c>
      <c r="F11112" s="3" t="s">
        <v>18579</v>
      </c>
    </row>
    <row r="11113">
      <c r="A11113" s="3">
        <v>2577.0</v>
      </c>
      <c r="B11113" s="3" t="s">
        <v>19423</v>
      </c>
      <c r="C11113" s="3" t="s">
        <v>11281</v>
      </c>
      <c r="D11113" s="3" t="s">
        <v>18580</v>
      </c>
      <c r="E11113" s="3" t="s">
        <v>20393</v>
      </c>
      <c r="F11113" s="3" t="s">
        <v>20394</v>
      </c>
    </row>
    <row r="11114">
      <c r="A11114" s="3">
        <v>2578.0</v>
      </c>
      <c r="B11114" s="3" t="s">
        <v>19423</v>
      </c>
      <c r="C11114" s="3" t="s">
        <v>11281</v>
      </c>
      <c r="D11114" s="3" t="s">
        <v>18583</v>
      </c>
      <c r="E11114" s="3" t="s">
        <v>20395</v>
      </c>
      <c r="F11114" s="3" t="s">
        <v>20396</v>
      </c>
    </row>
    <row r="11115">
      <c r="A11115" s="3">
        <v>2579.0</v>
      </c>
      <c r="B11115" s="3" t="s">
        <v>19423</v>
      </c>
      <c r="C11115" s="3" t="s">
        <v>11281</v>
      </c>
      <c r="D11115" s="3" t="s">
        <v>18586</v>
      </c>
      <c r="E11115" s="3" t="s">
        <v>18587</v>
      </c>
      <c r="F11115" s="3" t="s">
        <v>18588</v>
      </c>
    </row>
    <row r="11116">
      <c r="A11116" s="3">
        <v>2580.0</v>
      </c>
      <c r="B11116" s="3" t="s">
        <v>19423</v>
      </c>
      <c r="C11116" s="3" t="s">
        <v>11281</v>
      </c>
      <c r="D11116" s="3" t="s">
        <v>18589</v>
      </c>
      <c r="E11116" s="3" t="s">
        <v>18590</v>
      </c>
      <c r="F11116" s="3" t="s">
        <v>18591</v>
      </c>
    </row>
    <row r="11117">
      <c r="A11117" s="3">
        <v>2581.0</v>
      </c>
      <c r="B11117" s="3" t="s">
        <v>19423</v>
      </c>
      <c r="C11117" s="3" t="s">
        <v>11281</v>
      </c>
      <c r="D11117" s="3" t="s">
        <v>18592</v>
      </c>
      <c r="E11117" s="3" t="s">
        <v>18593</v>
      </c>
      <c r="F11117" s="3" t="s">
        <v>6431</v>
      </c>
    </row>
    <row r="11118">
      <c r="A11118" s="3">
        <v>2582.0</v>
      </c>
      <c r="B11118" s="3" t="s">
        <v>19423</v>
      </c>
      <c r="C11118" s="3" t="s">
        <v>11281</v>
      </c>
      <c r="D11118" s="3" t="s">
        <v>18594</v>
      </c>
      <c r="E11118" s="3" t="s">
        <v>18595</v>
      </c>
      <c r="F11118" s="3" t="s">
        <v>18596</v>
      </c>
    </row>
    <row r="11119">
      <c r="A11119" s="3">
        <v>2583.0</v>
      </c>
      <c r="B11119" s="3" t="s">
        <v>19423</v>
      </c>
      <c r="C11119" s="3" t="s">
        <v>11281</v>
      </c>
      <c r="D11119" s="3" t="s">
        <v>18597</v>
      </c>
      <c r="E11119" s="3" t="s">
        <v>18598</v>
      </c>
      <c r="F11119" s="3" t="s">
        <v>18560</v>
      </c>
    </row>
    <row r="11120">
      <c r="A11120" s="3">
        <v>2584.0</v>
      </c>
      <c r="B11120" s="3" t="s">
        <v>19423</v>
      </c>
      <c r="C11120" s="3" t="s">
        <v>11281</v>
      </c>
      <c r="D11120" s="3" t="s">
        <v>18599</v>
      </c>
      <c r="E11120" s="3" t="s">
        <v>18600</v>
      </c>
      <c r="F11120" s="3" t="s">
        <v>18569</v>
      </c>
      <c r="G11120" s="3"/>
      <c r="H11120" s="3" t="s">
        <v>17606</v>
      </c>
      <c r="I11120" s="3" t="s">
        <v>18601</v>
      </c>
      <c r="J11120" s="3" t="s">
        <v>13848</v>
      </c>
    </row>
    <row r="11121">
      <c r="A11121" s="3">
        <v>2585.0</v>
      </c>
      <c r="B11121" s="3" t="s">
        <v>19423</v>
      </c>
      <c r="C11121" s="3" t="s">
        <v>11281</v>
      </c>
      <c r="D11121" s="3" t="s">
        <v>18602</v>
      </c>
      <c r="E11121" s="3" t="s">
        <v>18603</v>
      </c>
      <c r="F11121" s="3" t="s">
        <v>9167</v>
      </c>
    </row>
    <row r="11122">
      <c r="A11122" s="3">
        <v>2586.0</v>
      </c>
      <c r="B11122" s="3" t="s">
        <v>19423</v>
      </c>
      <c r="C11122" s="3" t="s">
        <v>11281</v>
      </c>
      <c r="D11122" s="3" t="s">
        <v>18604</v>
      </c>
      <c r="E11122" s="3" t="s">
        <v>18605</v>
      </c>
      <c r="F11122" s="3" t="s">
        <v>18573</v>
      </c>
    </row>
    <row r="11123">
      <c r="A11123" s="3">
        <v>2587.0</v>
      </c>
      <c r="B11123" s="3" t="s">
        <v>19423</v>
      </c>
      <c r="C11123" s="3" t="s">
        <v>11281</v>
      </c>
      <c r="D11123" s="3" t="s">
        <v>18606</v>
      </c>
      <c r="E11123" s="3" t="s">
        <v>18607</v>
      </c>
      <c r="F11123" s="3" t="s">
        <v>18576</v>
      </c>
    </row>
    <row r="11124">
      <c r="A11124" s="3">
        <v>2588.0</v>
      </c>
      <c r="B11124" s="3" t="s">
        <v>19423</v>
      </c>
      <c r="C11124" s="3" t="s">
        <v>11281</v>
      </c>
      <c r="D11124" s="3" t="s">
        <v>18608</v>
      </c>
      <c r="E11124" s="3" t="s">
        <v>18609</v>
      </c>
      <c r="F11124" s="3" t="s">
        <v>18579</v>
      </c>
    </row>
    <row r="11125">
      <c r="A11125" s="3">
        <v>2589.0</v>
      </c>
      <c r="B11125" s="3" t="s">
        <v>19423</v>
      </c>
      <c r="C11125" s="3" t="s">
        <v>11281</v>
      </c>
      <c r="D11125" s="3" t="s">
        <v>6327</v>
      </c>
      <c r="E11125" s="3" t="s">
        <v>6326</v>
      </c>
      <c r="F11125" s="3" t="s">
        <v>6327</v>
      </c>
    </row>
    <row r="11126">
      <c r="A11126" s="3">
        <v>2590.0</v>
      </c>
      <c r="B11126" s="3" t="s">
        <v>19423</v>
      </c>
      <c r="C11126" s="3" t="s">
        <v>11281</v>
      </c>
      <c r="D11126" s="3" t="s">
        <v>18610</v>
      </c>
      <c r="E11126" s="3" t="s">
        <v>18611</v>
      </c>
      <c r="F11126" s="3" t="s">
        <v>18610</v>
      </c>
    </row>
    <row r="11127">
      <c r="A11127" s="3">
        <v>2591.0</v>
      </c>
      <c r="B11127" s="3" t="s">
        <v>19423</v>
      </c>
      <c r="C11127" s="3" t="s">
        <v>11281</v>
      </c>
      <c r="D11127" s="3" t="s">
        <v>18612</v>
      </c>
      <c r="E11127" s="3" t="s">
        <v>18613</v>
      </c>
      <c r="F11127" s="3" t="s">
        <v>18612</v>
      </c>
    </row>
    <row r="11128">
      <c r="A11128" s="3">
        <v>2592.0</v>
      </c>
      <c r="B11128" s="3" t="s">
        <v>19423</v>
      </c>
      <c r="C11128" s="3" t="s">
        <v>11281</v>
      </c>
      <c r="D11128" s="3" t="s">
        <v>18614</v>
      </c>
      <c r="E11128" s="3" t="s">
        <v>18615</v>
      </c>
      <c r="F11128" s="3" t="s">
        <v>18614</v>
      </c>
      <c r="G11128" s="3"/>
      <c r="H11128" s="3" t="s">
        <v>18616</v>
      </c>
    </row>
    <row r="11129">
      <c r="A11129" s="3">
        <v>2593.0</v>
      </c>
      <c r="B11129" s="3" t="s">
        <v>19423</v>
      </c>
      <c r="C11129" s="3" t="s">
        <v>11281</v>
      </c>
      <c r="D11129" s="3" t="s">
        <v>18617</v>
      </c>
      <c r="E11129" s="3" t="s">
        <v>18618</v>
      </c>
      <c r="F11129" s="3" t="s">
        <v>18617</v>
      </c>
    </row>
    <row r="11130">
      <c r="A11130" s="3">
        <v>2594.0</v>
      </c>
      <c r="B11130" s="3" t="s">
        <v>19423</v>
      </c>
      <c r="C11130" s="3" t="s">
        <v>11281</v>
      </c>
      <c r="D11130" s="3" t="s">
        <v>18619</v>
      </c>
      <c r="E11130" s="3" t="s">
        <v>18620</v>
      </c>
      <c r="F11130" s="3" t="s">
        <v>18619</v>
      </c>
    </row>
    <row r="11131">
      <c r="A11131" s="3">
        <v>2595.0</v>
      </c>
      <c r="B11131" s="3" t="s">
        <v>19423</v>
      </c>
      <c r="C11131" s="3" t="s">
        <v>11281</v>
      </c>
      <c r="D11131" s="3" t="s">
        <v>18621</v>
      </c>
      <c r="E11131" s="3" t="s">
        <v>18622</v>
      </c>
      <c r="F11131" s="3" t="s">
        <v>18621</v>
      </c>
    </row>
    <row r="11132">
      <c r="A11132" s="3">
        <v>2596.0</v>
      </c>
      <c r="B11132" s="3" t="s">
        <v>19423</v>
      </c>
      <c r="C11132" s="3" t="s">
        <v>11281</v>
      </c>
      <c r="D11132" s="3" t="s">
        <v>18623</v>
      </c>
      <c r="E11132" s="3" t="s">
        <v>18624</v>
      </c>
      <c r="F11132" s="3" t="s">
        <v>18623</v>
      </c>
    </row>
    <row r="11133">
      <c r="A11133" s="3">
        <v>2597.0</v>
      </c>
      <c r="B11133" s="3" t="s">
        <v>19423</v>
      </c>
      <c r="C11133" s="3" t="s">
        <v>11281</v>
      </c>
      <c r="D11133" s="3" t="s">
        <v>18625</v>
      </c>
      <c r="E11133" s="3" t="s">
        <v>18626</v>
      </c>
      <c r="F11133" s="3" t="s">
        <v>18625</v>
      </c>
      <c r="G11133" s="3"/>
      <c r="H11133" s="3" t="s">
        <v>18627</v>
      </c>
      <c r="I11133" s="3" t="s">
        <v>18628</v>
      </c>
      <c r="J11133" s="3" t="s">
        <v>18628</v>
      </c>
      <c r="K11133" s="3" t="s">
        <v>2182</v>
      </c>
      <c r="L11133" s="3" t="s">
        <v>18629</v>
      </c>
      <c r="M11133" s="3" t="s">
        <v>6313</v>
      </c>
      <c r="N11133" s="3" t="s">
        <v>1964</v>
      </c>
      <c r="O11133" s="3" t="s">
        <v>6314</v>
      </c>
      <c r="P11133" s="3" t="s">
        <v>6313</v>
      </c>
    </row>
    <row r="11134">
      <c r="A11134" s="3">
        <v>2598.0</v>
      </c>
      <c r="B11134" s="3" t="s">
        <v>19423</v>
      </c>
      <c r="C11134" s="3" t="s">
        <v>11281</v>
      </c>
      <c r="D11134" s="3" t="s">
        <v>18630</v>
      </c>
      <c r="E11134" s="3" t="s">
        <v>18631</v>
      </c>
      <c r="F11134" s="3" t="s">
        <v>18630</v>
      </c>
    </row>
    <row r="11135">
      <c r="A11135" s="3">
        <v>2599.0</v>
      </c>
      <c r="B11135" s="3" t="s">
        <v>19423</v>
      </c>
      <c r="C11135" s="3" t="s">
        <v>11281</v>
      </c>
      <c r="D11135" s="3" t="s">
        <v>18632</v>
      </c>
      <c r="E11135" s="3" t="s">
        <v>18633</v>
      </c>
      <c r="F11135" s="3" t="s">
        <v>18632</v>
      </c>
      <c r="G11135" s="3"/>
      <c r="H11135" s="3" t="s">
        <v>18634</v>
      </c>
      <c r="I11135" s="3" t="s">
        <v>18634</v>
      </c>
      <c r="J11135" s="3" t="s">
        <v>18635</v>
      </c>
      <c r="K11135" s="3" t="s">
        <v>18636</v>
      </c>
      <c r="L11135" s="3" t="s">
        <v>18637</v>
      </c>
    </row>
    <row r="11136">
      <c r="A11136" s="3">
        <v>2600.0</v>
      </c>
      <c r="B11136" s="3" t="s">
        <v>19423</v>
      </c>
      <c r="C11136" s="3" t="s">
        <v>11281</v>
      </c>
      <c r="D11136" s="3" t="s">
        <v>18638</v>
      </c>
      <c r="E11136" s="3" t="s">
        <v>18639</v>
      </c>
      <c r="F11136" s="3" t="s">
        <v>18638</v>
      </c>
    </row>
    <row r="11137">
      <c r="A11137" s="3">
        <v>2601.0</v>
      </c>
      <c r="B11137" s="3" t="s">
        <v>19423</v>
      </c>
      <c r="C11137" s="3" t="s">
        <v>11281</v>
      </c>
      <c r="D11137" s="3" t="s">
        <v>18640</v>
      </c>
      <c r="E11137" s="3" t="s">
        <v>18641</v>
      </c>
      <c r="F11137" s="3" t="s">
        <v>18640</v>
      </c>
    </row>
    <row r="11138">
      <c r="A11138" s="3">
        <v>2602.0</v>
      </c>
      <c r="B11138" s="3" t="s">
        <v>19423</v>
      </c>
      <c r="C11138" s="3" t="s">
        <v>11281</v>
      </c>
      <c r="D11138" s="3" t="s">
        <v>18642</v>
      </c>
      <c r="E11138" s="3" t="s">
        <v>18643</v>
      </c>
      <c r="F11138" s="3" t="s">
        <v>18642</v>
      </c>
    </row>
    <row r="11139">
      <c r="A11139" s="3">
        <v>2603.0</v>
      </c>
      <c r="B11139" s="3" t="s">
        <v>19423</v>
      </c>
      <c r="C11139" s="3" t="s">
        <v>11281</v>
      </c>
      <c r="D11139" s="3" t="s">
        <v>18644</v>
      </c>
      <c r="E11139" s="3" t="s">
        <v>18645</v>
      </c>
      <c r="F11139" s="3" t="s">
        <v>18644</v>
      </c>
    </row>
    <row r="11140">
      <c r="A11140" s="3">
        <v>2604.0</v>
      </c>
      <c r="B11140" s="3" t="s">
        <v>19423</v>
      </c>
      <c r="C11140" s="3" t="s">
        <v>11281</v>
      </c>
      <c r="D11140" s="3" t="s">
        <v>18646</v>
      </c>
      <c r="E11140" s="3" t="s">
        <v>18647</v>
      </c>
      <c r="F11140" s="3" t="s">
        <v>18646</v>
      </c>
    </row>
    <row r="11141">
      <c r="A11141" s="3">
        <v>2605.0</v>
      </c>
      <c r="B11141" s="3" t="s">
        <v>19423</v>
      </c>
      <c r="C11141" s="3" t="s">
        <v>11281</v>
      </c>
      <c r="D11141" s="3" t="s">
        <v>18648</v>
      </c>
      <c r="E11141" s="3" t="s">
        <v>18649</v>
      </c>
      <c r="F11141" s="3" t="s">
        <v>18650</v>
      </c>
    </row>
    <row r="11142">
      <c r="A11142" s="3">
        <v>2606.0</v>
      </c>
      <c r="B11142" s="3" t="s">
        <v>19423</v>
      </c>
      <c r="C11142" s="3" t="s">
        <v>11281</v>
      </c>
      <c r="D11142" s="3" t="s">
        <v>18651</v>
      </c>
      <c r="E11142" s="3" t="s">
        <v>18652</v>
      </c>
      <c r="F11142" s="3" t="s">
        <v>18653</v>
      </c>
    </row>
    <row r="11143">
      <c r="A11143" s="3">
        <v>2607.0</v>
      </c>
      <c r="B11143" s="3" t="s">
        <v>19423</v>
      </c>
      <c r="C11143" s="3" t="s">
        <v>11281</v>
      </c>
      <c r="D11143" s="3" t="s">
        <v>18654</v>
      </c>
      <c r="E11143" s="3" t="s">
        <v>18655</v>
      </c>
      <c r="F11143" s="3" t="s">
        <v>18654</v>
      </c>
    </row>
    <row r="11144">
      <c r="A11144" s="3">
        <v>2608.0</v>
      </c>
      <c r="B11144" s="3" t="s">
        <v>19423</v>
      </c>
      <c r="C11144" s="3" t="s">
        <v>11281</v>
      </c>
      <c r="D11144" s="3" t="s">
        <v>18656</v>
      </c>
      <c r="E11144" s="3" t="s">
        <v>18657</v>
      </c>
      <c r="F11144" s="3" t="s">
        <v>18656</v>
      </c>
    </row>
    <row r="11145">
      <c r="A11145" s="3">
        <v>2609.0</v>
      </c>
      <c r="B11145" s="3" t="s">
        <v>19423</v>
      </c>
      <c r="C11145" s="3" t="s">
        <v>11281</v>
      </c>
      <c r="D11145" s="3" t="s">
        <v>18658</v>
      </c>
      <c r="E11145" s="3" t="s">
        <v>18659</v>
      </c>
      <c r="F11145" s="3" t="s">
        <v>18658</v>
      </c>
    </row>
    <row r="11146">
      <c r="A11146" s="3">
        <v>2610.0</v>
      </c>
      <c r="B11146" s="3" t="s">
        <v>19423</v>
      </c>
      <c r="C11146" s="3" t="s">
        <v>11281</v>
      </c>
      <c r="D11146" s="3" t="s">
        <v>18660</v>
      </c>
      <c r="E11146" s="3" t="s">
        <v>18661</v>
      </c>
      <c r="F11146" s="3" t="s">
        <v>18660</v>
      </c>
    </row>
    <row r="11147">
      <c r="A11147" s="3">
        <v>2611.0</v>
      </c>
      <c r="B11147" s="3" t="s">
        <v>19423</v>
      </c>
      <c r="C11147" s="3" t="s">
        <v>11281</v>
      </c>
      <c r="D11147" s="3" t="s">
        <v>18662</v>
      </c>
      <c r="E11147" s="3" t="s">
        <v>18663</v>
      </c>
      <c r="F11147" s="3" t="s">
        <v>18662</v>
      </c>
    </row>
    <row r="11148">
      <c r="A11148" s="3">
        <v>2612.0</v>
      </c>
      <c r="B11148" s="3" t="s">
        <v>19423</v>
      </c>
      <c r="C11148" s="3" t="s">
        <v>11281</v>
      </c>
      <c r="D11148" s="3" t="s">
        <v>18664</v>
      </c>
      <c r="E11148" s="3" t="s">
        <v>18665</v>
      </c>
      <c r="F11148" s="3" t="s">
        <v>18666</v>
      </c>
    </row>
    <row r="11149">
      <c r="A11149" s="3">
        <v>2613.0</v>
      </c>
      <c r="B11149" s="3" t="s">
        <v>19423</v>
      </c>
      <c r="C11149" s="3" t="s">
        <v>11281</v>
      </c>
      <c r="D11149" s="3" t="s">
        <v>18667</v>
      </c>
      <c r="E11149" s="3" t="s">
        <v>18668</v>
      </c>
      <c r="F11149" s="3" t="s">
        <v>18667</v>
      </c>
    </row>
    <row r="11150">
      <c r="A11150" s="3">
        <v>2614.0</v>
      </c>
      <c r="B11150" s="3" t="s">
        <v>19423</v>
      </c>
      <c r="C11150" s="3" t="s">
        <v>11281</v>
      </c>
      <c r="D11150" s="3" t="s">
        <v>18669</v>
      </c>
      <c r="E11150" s="3" t="s">
        <v>18670</v>
      </c>
      <c r="F11150" s="3" t="s">
        <v>18669</v>
      </c>
    </row>
    <row r="11151">
      <c r="A11151" s="3">
        <v>2615.0</v>
      </c>
      <c r="B11151" s="3" t="s">
        <v>19423</v>
      </c>
      <c r="C11151" s="3" t="s">
        <v>11281</v>
      </c>
      <c r="D11151" s="3" t="s">
        <v>18671</v>
      </c>
      <c r="E11151" s="3" t="s">
        <v>20397</v>
      </c>
      <c r="F11151" s="3" t="s">
        <v>20398</v>
      </c>
    </row>
    <row r="11152">
      <c r="A11152" s="3">
        <v>2616.0</v>
      </c>
      <c r="B11152" s="3" t="s">
        <v>19423</v>
      </c>
      <c r="C11152" s="3" t="s">
        <v>11281</v>
      </c>
      <c r="D11152" s="3" t="s">
        <v>18674</v>
      </c>
      <c r="E11152" s="3" t="s">
        <v>20399</v>
      </c>
      <c r="F11152" s="3" t="s">
        <v>20400</v>
      </c>
    </row>
    <row r="11153">
      <c r="A11153" s="3">
        <v>2617.0</v>
      </c>
      <c r="B11153" s="3" t="s">
        <v>19423</v>
      </c>
      <c r="C11153" s="3" t="s">
        <v>11281</v>
      </c>
      <c r="D11153" s="3" t="s">
        <v>18676</v>
      </c>
      <c r="E11153" s="3" t="s">
        <v>20401</v>
      </c>
      <c r="F11153" s="3" t="s">
        <v>20402</v>
      </c>
    </row>
    <row r="11154">
      <c r="A11154" s="3">
        <v>2618.0</v>
      </c>
      <c r="B11154" s="3" t="s">
        <v>19423</v>
      </c>
      <c r="C11154" s="3" t="s">
        <v>11281</v>
      </c>
      <c r="D11154" s="3" t="s">
        <v>18679</v>
      </c>
      <c r="E11154" s="3" t="s">
        <v>20403</v>
      </c>
      <c r="F11154" s="3" t="s">
        <v>20404</v>
      </c>
    </row>
    <row r="11155">
      <c r="A11155" s="3">
        <v>2619.0</v>
      </c>
      <c r="B11155" s="3" t="s">
        <v>19423</v>
      </c>
      <c r="C11155" s="3" t="s">
        <v>11281</v>
      </c>
      <c r="D11155" s="3" t="s">
        <v>18682</v>
      </c>
      <c r="E11155" s="3" t="s">
        <v>20405</v>
      </c>
      <c r="F11155" s="3" t="s">
        <v>20406</v>
      </c>
    </row>
    <row r="11156">
      <c r="A11156" s="3">
        <v>2620.0</v>
      </c>
      <c r="B11156" s="3" t="s">
        <v>19423</v>
      </c>
      <c r="C11156" s="3" t="s">
        <v>11281</v>
      </c>
      <c r="D11156" s="3" t="s">
        <v>18685</v>
      </c>
      <c r="E11156" s="3" t="s">
        <v>20407</v>
      </c>
      <c r="F11156" s="3" t="s">
        <v>20408</v>
      </c>
    </row>
    <row r="11157">
      <c r="A11157" s="3">
        <v>2621.0</v>
      </c>
      <c r="B11157" s="3" t="s">
        <v>19423</v>
      </c>
      <c r="C11157" s="3" t="s">
        <v>11281</v>
      </c>
      <c r="D11157" s="3" t="s">
        <v>18688</v>
      </c>
      <c r="E11157" s="3" t="s">
        <v>20409</v>
      </c>
      <c r="F11157" s="3" t="s">
        <v>20410</v>
      </c>
    </row>
    <row r="11158">
      <c r="A11158" s="3">
        <v>2622.0</v>
      </c>
      <c r="B11158" s="3" t="s">
        <v>19423</v>
      </c>
      <c r="C11158" s="3" t="s">
        <v>11281</v>
      </c>
      <c r="D11158" s="3" t="s">
        <v>18691</v>
      </c>
      <c r="E11158" s="3" t="s">
        <v>20411</v>
      </c>
      <c r="F11158" s="3" t="s">
        <v>20412</v>
      </c>
    </row>
    <row r="11159">
      <c r="A11159" s="3">
        <v>2623.0</v>
      </c>
      <c r="B11159" s="3" t="s">
        <v>19423</v>
      </c>
      <c r="C11159" s="3" t="s">
        <v>11281</v>
      </c>
      <c r="D11159" s="3" t="s">
        <v>18694</v>
      </c>
      <c r="E11159" s="3" t="s">
        <v>20413</v>
      </c>
      <c r="F11159" s="3" t="s">
        <v>20414</v>
      </c>
    </row>
    <row r="11160">
      <c r="A11160" s="3">
        <v>2624.0</v>
      </c>
      <c r="B11160" s="3" t="s">
        <v>19423</v>
      </c>
      <c r="C11160" s="3" t="s">
        <v>11281</v>
      </c>
      <c r="D11160" s="3" t="s">
        <v>18697</v>
      </c>
      <c r="E11160" s="3" t="s">
        <v>18698</v>
      </c>
      <c r="F11160" s="3" t="s">
        <v>18699</v>
      </c>
    </row>
    <row r="11161">
      <c r="A11161" s="3">
        <v>2625.0</v>
      </c>
      <c r="B11161" s="3" t="s">
        <v>19423</v>
      </c>
      <c r="C11161" s="3" t="s">
        <v>11281</v>
      </c>
      <c r="D11161" s="3" t="s">
        <v>18700</v>
      </c>
      <c r="E11161" s="3" t="s">
        <v>18701</v>
      </c>
      <c r="F11161" s="3" t="s">
        <v>18702</v>
      </c>
    </row>
    <row r="11162">
      <c r="A11162" s="3">
        <v>2626.0</v>
      </c>
      <c r="B11162" s="3" t="s">
        <v>19423</v>
      </c>
      <c r="C11162" s="3" t="s">
        <v>11281</v>
      </c>
      <c r="D11162" s="3" t="s">
        <v>6357</v>
      </c>
      <c r="E11162" s="3" t="s">
        <v>6356</v>
      </c>
      <c r="F11162" s="3" t="s">
        <v>6357</v>
      </c>
      <c r="G11162" s="3"/>
      <c r="H11162" s="3" t="s">
        <v>5882</v>
      </c>
    </row>
    <row r="11163">
      <c r="A11163" s="3">
        <v>2627.0</v>
      </c>
      <c r="B11163" s="3" t="s">
        <v>19423</v>
      </c>
      <c r="C11163" s="3" t="s">
        <v>11281</v>
      </c>
      <c r="D11163" s="3" t="s">
        <v>6509</v>
      </c>
      <c r="E11163" s="3" t="s">
        <v>6508</v>
      </c>
      <c r="F11163" s="3" t="s">
        <v>6509</v>
      </c>
    </row>
    <row r="11164">
      <c r="A11164" s="3">
        <v>2628.0</v>
      </c>
      <c r="B11164" s="3" t="s">
        <v>19423</v>
      </c>
      <c r="C11164" s="3" t="s">
        <v>11281</v>
      </c>
      <c r="D11164" s="3" t="s">
        <v>18703</v>
      </c>
      <c r="E11164" s="3" t="s">
        <v>18704</v>
      </c>
      <c r="F11164" s="3" t="s">
        <v>18703</v>
      </c>
    </row>
    <row r="11165">
      <c r="A11165" s="3">
        <v>2629.0</v>
      </c>
      <c r="B11165" s="3" t="s">
        <v>19423</v>
      </c>
      <c r="C11165" s="3" t="s">
        <v>11281</v>
      </c>
      <c r="D11165" s="3" t="s">
        <v>18705</v>
      </c>
      <c r="E11165" s="3" t="s">
        <v>18706</v>
      </c>
      <c r="F11165" s="3" t="s">
        <v>18705</v>
      </c>
    </row>
    <row r="11166">
      <c r="A11166" s="3">
        <v>2630.0</v>
      </c>
      <c r="B11166" s="3" t="s">
        <v>19423</v>
      </c>
      <c r="C11166" s="3" t="s">
        <v>11281</v>
      </c>
      <c r="D11166" s="3" t="s">
        <v>6362</v>
      </c>
      <c r="E11166" s="3" t="s">
        <v>6361</v>
      </c>
      <c r="F11166" s="3" t="s">
        <v>6362</v>
      </c>
    </row>
    <row r="11167">
      <c r="A11167" s="3">
        <v>2631.0</v>
      </c>
      <c r="B11167" s="3" t="s">
        <v>19423</v>
      </c>
      <c r="C11167" s="3" t="s">
        <v>11281</v>
      </c>
      <c r="D11167" s="3" t="s">
        <v>18707</v>
      </c>
      <c r="E11167" s="3" t="s">
        <v>18708</v>
      </c>
      <c r="F11167" s="3" t="s">
        <v>18707</v>
      </c>
    </row>
    <row r="11168">
      <c r="A11168" s="3">
        <v>2632.0</v>
      </c>
      <c r="B11168" s="3" t="s">
        <v>19423</v>
      </c>
      <c r="C11168" s="3" t="s">
        <v>11281</v>
      </c>
      <c r="D11168" s="3" t="s">
        <v>18709</v>
      </c>
      <c r="E11168" s="3" t="s">
        <v>18710</v>
      </c>
      <c r="F11168" s="3" t="s">
        <v>18709</v>
      </c>
      <c r="G11168" s="3"/>
      <c r="H11168" s="3" t="s">
        <v>18711</v>
      </c>
      <c r="I11168" s="3" t="s">
        <v>18712</v>
      </c>
      <c r="J11168" s="3" t="s">
        <v>18713</v>
      </c>
      <c r="K11168" s="3" t="s">
        <v>18714</v>
      </c>
      <c r="L11168" s="3" t="s">
        <v>18715</v>
      </c>
      <c r="M11168" s="3" t="s">
        <v>18716</v>
      </c>
      <c r="N11168" s="3" t="s">
        <v>18717</v>
      </c>
      <c r="O11168" s="3" t="s">
        <v>18718</v>
      </c>
      <c r="P11168" s="3" t="s">
        <v>5285</v>
      </c>
      <c r="Q11168" s="3" t="s">
        <v>989</v>
      </c>
      <c r="R11168" s="3" t="s">
        <v>18719</v>
      </c>
      <c r="S11168" s="3" t="s">
        <v>989</v>
      </c>
      <c r="T11168" s="3" t="s">
        <v>18720</v>
      </c>
      <c r="U11168" s="3" t="s">
        <v>18719</v>
      </c>
      <c r="V11168" s="3" t="s">
        <v>18721</v>
      </c>
      <c r="W11168" s="3" t="s">
        <v>18722</v>
      </c>
      <c r="X11168" s="3" t="s">
        <v>11291</v>
      </c>
      <c r="Y11168" s="3" t="s">
        <v>11292</v>
      </c>
      <c r="Z11168" s="3" t="s">
        <v>11293</v>
      </c>
      <c r="AA11168" s="3" t="s">
        <v>11294</v>
      </c>
    </row>
    <row r="11169">
      <c r="A11169" s="3">
        <v>2633.0</v>
      </c>
      <c r="B11169" s="3" t="s">
        <v>19423</v>
      </c>
      <c r="C11169" s="3" t="s">
        <v>11281</v>
      </c>
      <c r="D11169" s="3" t="s">
        <v>18723</v>
      </c>
      <c r="E11169" s="3" t="s">
        <v>18724</v>
      </c>
      <c r="F11169" s="3" t="s">
        <v>18723</v>
      </c>
    </row>
    <row r="11170">
      <c r="A11170" s="3">
        <v>2634.0</v>
      </c>
      <c r="B11170" s="3" t="s">
        <v>19423</v>
      </c>
      <c r="C11170" s="3" t="s">
        <v>11281</v>
      </c>
      <c r="D11170" s="3" t="s">
        <v>18725</v>
      </c>
      <c r="E11170" s="3" t="s">
        <v>18726</v>
      </c>
      <c r="F11170" s="3" t="s">
        <v>18725</v>
      </c>
    </row>
    <row r="11171">
      <c r="A11171" s="3">
        <v>2635.0</v>
      </c>
      <c r="B11171" s="3" t="s">
        <v>19423</v>
      </c>
      <c r="C11171" s="3" t="s">
        <v>11281</v>
      </c>
      <c r="D11171" s="3" t="s">
        <v>18727</v>
      </c>
      <c r="E11171" s="3" t="s">
        <v>18728</v>
      </c>
      <c r="F11171" s="3" t="s">
        <v>18727</v>
      </c>
    </row>
    <row r="11172">
      <c r="A11172" s="3">
        <v>2636.0</v>
      </c>
      <c r="B11172" s="3" t="s">
        <v>19423</v>
      </c>
      <c r="C11172" s="3" t="s">
        <v>11281</v>
      </c>
      <c r="D11172" s="3" t="s">
        <v>6371</v>
      </c>
      <c r="E11172" s="3" t="s">
        <v>6370</v>
      </c>
      <c r="F11172" s="3" t="s">
        <v>6371</v>
      </c>
    </row>
    <row r="11173">
      <c r="A11173" s="3">
        <v>2637.0</v>
      </c>
      <c r="B11173" s="3" t="s">
        <v>19423</v>
      </c>
      <c r="C11173" s="3" t="s">
        <v>11281</v>
      </c>
      <c r="D11173" s="3" t="s">
        <v>18729</v>
      </c>
      <c r="E11173" s="3" t="s">
        <v>18730</v>
      </c>
      <c r="F11173" s="3" t="s">
        <v>18729</v>
      </c>
    </row>
    <row r="11174">
      <c r="A11174" s="3">
        <v>2638.0</v>
      </c>
      <c r="B11174" s="3" t="s">
        <v>19423</v>
      </c>
      <c r="C11174" s="3" t="s">
        <v>11281</v>
      </c>
      <c r="D11174" s="3" t="s">
        <v>18731</v>
      </c>
      <c r="E11174" s="3" t="s">
        <v>20415</v>
      </c>
      <c r="F11174" s="3" t="s">
        <v>20416</v>
      </c>
      <c r="G11174" s="3"/>
      <c r="H11174" s="3" t="s">
        <v>18732</v>
      </c>
      <c r="I11174" s="3" t="s">
        <v>18733</v>
      </c>
    </row>
    <row r="11175">
      <c r="A11175" s="3">
        <v>2639.0</v>
      </c>
      <c r="B11175" s="3" t="s">
        <v>19423</v>
      </c>
      <c r="C11175" s="3" t="s">
        <v>11281</v>
      </c>
      <c r="D11175" s="3" t="s">
        <v>18734</v>
      </c>
      <c r="E11175" s="3" t="s">
        <v>20417</v>
      </c>
      <c r="F11175" s="3" t="s">
        <v>20418</v>
      </c>
    </row>
    <row r="11176">
      <c r="A11176" s="3">
        <v>2640.0</v>
      </c>
      <c r="B11176" s="3" t="s">
        <v>19423</v>
      </c>
      <c r="C11176" s="3" t="s">
        <v>11281</v>
      </c>
      <c r="D11176" s="3" t="s">
        <v>18735</v>
      </c>
      <c r="E11176" s="3" t="s">
        <v>20419</v>
      </c>
      <c r="F11176" s="3" t="s">
        <v>20420</v>
      </c>
    </row>
    <row r="11177">
      <c r="A11177" s="3">
        <v>2641.0</v>
      </c>
      <c r="B11177" s="3" t="s">
        <v>19423</v>
      </c>
      <c r="C11177" s="3" t="s">
        <v>11281</v>
      </c>
      <c r="D11177" s="3" t="s">
        <v>18738</v>
      </c>
      <c r="E11177" s="3" t="s">
        <v>20421</v>
      </c>
      <c r="F11177" s="3" t="s">
        <v>20422</v>
      </c>
    </row>
    <row r="11178">
      <c r="A11178" s="3">
        <v>2642.0</v>
      </c>
      <c r="B11178" s="3" t="s">
        <v>19423</v>
      </c>
      <c r="C11178" s="3" t="s">
        <v>11281</v>
      </c>
      <c r="D11178" s="3" t="s">
        <v>18741</v>
      </c>
      <c r="E11178" s="3" t="s">
        <v>20423</v>
      </c>
      <c r="F11178" s="3" t="s">
        <v>20424</v>
      </c>
    </row>
    <row r="11179">
      <c r="A11179" s="3">
        <v>2643.0</v>
      </c>
      <c r="B11179" s="3" t="s">
        <v>19423</v>
      </c>
      <c r="C11179" s="3" t="s">
        <v>11281</v>
      </c>
      <c r="D11179" s="3" t="s">
        <v>18744</v>
      </c>
      <c r="E11179" s="3" t="s">
        <v>20425</v>
      </c>
      <c r="F11179" s="3" t="s">
        <v>20426</v>
      </c>
    </row>
    <row r="11180">
      <c r="A11180" s="3">
        <v>2644.0</v>
      </c>
      <c r="B11180" s="3" t="s">
        <v>19423</v>
      </c>
      <c r="C11180" s="3" t="s">
        <v>11281</v>
      </c>
      <c r="D11180" s="3" t="s">
        <v>18747</v>
      </c>
      <c r="E11180" s="3" t="s">
        <v>20427</v>
      </c>
      <c r="F11180" s="3" t="s">
        <v>20428</v>
      </c>
    </row>
    <row r="11181">
      <c r="A11181" s="3">
        <v>2645.0</v>
      </c>
      <c r="B11181" s="3" t="s">
        <v>19423</v>
      </c>
      <c r="C11181" s="3" t="s">
        <v>11281</v>
      </c>
      <c r="D11181" s="3" t="s">
        <v>18750</v>
      </c>
      <c r="E11181" s="3" t="s">
        <v>20429</v>
      </c>
      <c r="F11181" s="3" t="s">
        <v>20430</v>
      </c>
    </row>
    <row r="11182">
      <c r="A11182" s="3">
        <v>2646.0</v>
      </c>
      <c r="B11182" s="3" t="s">
        <v>19423</v>
      </c>
      <c r="C11182" s="3" t="s">
        <v>11281</v>
      </c>
      <c r="D11182" s="3" t="s">
        <v>18751</v>
      </c>
      <c r="E11182" s="3" t="s">
        <v>18752</v>
      </c>
      <c r="F11182" s="3" t="s">
        <v>18753</v>
      </c>
      <c r="G11182" s="3"/>
      <c r="H11182" s="3" t="s">
        <v>18754</v>
      </c>
    </row>
    <row r="11183">
      <c r="A11183" s="3">
        <v>2647.0</v>
      </c>
      <c r="B11183" s="3" t="s">
        <v>19423</v>
      </c>
      <c r="C11183" s="3" t="s">
        <v>11281</v>
      </c>
      <c r="D11183" s="3" t="s">
        <v>18755</v>
      </c>
      <c r="E11183" s="3" t="s">
        <v>18756</v>
      </c>
      <c r="F11183" s="3" t="s">
        <v>18757</v>
      </c>
    </row>
    <row r="11184">
      <c r="A11184" s="3">
        <v>2648.0</v>
      </c>
      <c r="B11184" s="3" t="s">
        <v>19423</v>
      </c>
      <c r="C11184" s="3" t="s">
        <v>11281</v>
      </c>
      <c r="D11184" s="3" t="s">
        <v>8307</v>
      </c>
      <c r="E11184" s="3" t="s">
        <v>8306</v>
      </c>
      <c r="F11184" s="3" t="s">
        <v>8307</v>
      </c>
      <c r="G11184" s="3"/>
      <c r="H11184" s="3" t="s">
        <v>18758</v>
      </c>
      <c r="I11184" s="3" t="s">
        <v>9697</v>
      </c>
      <c r="J11184" s="3" t="s">
        <v>11240</v>
      </c>
      <c r="K11184" s="3" t="s">
        <v>18759</v>
      </c>
    </row>
    <row r="11185">
      <c r="A11185" s="3">
        <v>2649.0</v>
      </c>
      <c r="B11185" s="3" t="s">
        <v>19423</v>
      </c>
      <c r="C11185" s="3" t="s">
        <v>11281</v>
      </c>
      <c r="D11185" s="3" t="s">
        <v>18760</v>
      </c>
      <c r="E11185" s="3" t="s">
        <v>18761</v>
      </c>
      <c r="F11185" s="3" t="s">
        <v>18760</v>
      </c>
    </row>
    <row r="11186">
      <c r="A11186" s="3">
        <v>2650.0</v>
      </c>
      <c r="B11186" s="3" t="s">
        <v>19423</v>
      </c>
      <c r="C11186" s="3" t="s">
        <v>11281</v>
      </c>
      <c r="D11186" s="3" t="s">
        <v>18762</v>
      </c>
      <c r="E11186" s="3" t="s">
        <v>18763</v>
      </c>
      <c r="F11186" s="3" t="s">
        <v>18762</v>
      </c>
    </row>
    <row r="11187">
      <c r="A11187" s="3">
        <v>2651.0</v>
      </c>
      <c r="B11187" s="3" t="s">
        <v>19423</v>
      </c>
      <c r="C11187" s="3" t="s">
        <v>11281</v>
      </c>
      <c r="D11187" s="3" t="s">
        <v>18764</v>
      </c>
      <c r="E11187" s="3" t="s">
        <v>18765</v>
      </c>
      <c r="F11187" s="3" t="s">
        <v>18764</v>
      </c>
    </row>
    <row r="11188">
      <c r="A11188" s="3">
        <v>2652.0</v>
      </c>
      <c r="B11188" s="3" t="s">
        <v>19423</v>
      </c>
      <c r="C11188" s="3" t="s">
        <v>11281</v>
      </c>
      <c r="D11188" s="3" t="s">
        <v>18766</v>
      </c>
      <c r="E11188" s="3" t="s">
        <v>18767</v>
      </c>
      <c r="F11188" s="3" t="s">
        <v>18766</v>
      </c>
    </row>
    <row r="11189">
      <c r="A11189" s="3">
        <v>2653.0</v>
      </c>
      <c r="B11189" s="3" t="s">
        <v>19423</v>
      </c>
      <c r="C11189" s="3" t="s">
        <v>11281</v>
      </c>
      <c r="D11189" s="3" t="s">
        <v>18768</v>
      </c>
      <c r="E11189" s="3" t="s">
        <v>18769</v>
      </c>
      <c r="F11189" s="3" t="s">
        <v>18768</v>
      </c>
    </row>
    <row r="11190">
      <c r="A11190" s="3">
        <v>2654.0</v>
      </c>
      <c r="B11190" s="3" t="s">
        <v>19423</v>
      </c>
      <c r="C11190" s="3" t="s">
        <v>11281</v>
      </c>
      <c r="D11190" s="3" t="s">
        <v>18770</v>
      </c>
      <c r="E11190" s="3" t="s">
        <v>18771</v>
      </c>
      <c r="F11190" s="3" t="s">
        <v>18770</v>
      </c>
    </row>
    <row r="11191">
      <c r="A11191" s="3">
        <v>2655.0</v>
      </c>
      <c r="B11191" s="3" t="s">
        <v>19423</v>
      </c>
      <c r="C11191" s="3" t="s">
        <v>11281</v>
      </c>
      <c r="D11191" s="3" t="s">
        <v>18772</v>
      </c>
      <c r="E11191" s="3" t="s">
        <v>18773</v>
      </c>
      <c r="F11191" s="3" t="s">
        <v>18772</v>
      </c>
    </row>
    <row r="11192">
      <c r="A11192" s="3">
        <v>2656.0</v>
      </c>
      <c r="B11192" s="3" t="s">
        <v>19423</v>
      </c>
      <c r="C11192" s="3" t="s">
        <v>11281</v>
      </c>
      <c r="D11192" s="3" t="s">
        <v>18774</v>
      </c>
      <c r="E11192" s="3" t="s">
        <v>18775</v>
      </c>
      <c r="F11192" s="3" t="s">
        <v>18774</v>
      </c>
    </row>
    <row r="11193">
      <c r="A11193" s="3">
        <v>2657.0</v>
      </c>
      <c r="B11193" s="3" t="s">
        <v>19423</v>
      </c>
      <c r="C11193" s="3" t="s">
        <v>11281</v>
      </c>
      <c r="D11193" s="3" t="s">
        <v>18776</v>
      </c>
      <c r="E11193" s="3" t="s">
        <v>20431</v>
      </c>
      <c r="F11193" s="3" t="s">
        <v>20432</v>
      </c>
    </row>
    <row r="11194">
      <c r="A11194" s="3">
        <v>2658.0</v>
      </c>
      <c r="B11194" s="3" t="s">
        <v>19423</v>
      </c>
      <c r="C11194" s="3" t="s">
        <v>11281</v>
      </c>
      <c r="D11194" s="3" t="s">
        <v>18777</v>
      </c>
      <c r="E11194" s="3" t="s">
        <v>20433</v>
      </c>
      <c r="F11194" s="3" t="s">
        <v>20434</v>
      </c>
    </row>
    <row r="11195">
      <c r="A11195" s="3">
        <v>2659.0</v>
      </c>
      <c r="B11195" s="3" t="s">
        <v>19423</v>
      </c>
      <c r="C11195" s="3" t="s">
        <v>11281</v>
      </c>
      <c r="D11195" s="3" t="s">
        <v>18780</v>
      </c>
      <c r="E11195" s="3" t="s">
        <v>20435</v>
      </c>
      <c r="F11195" s="3" t="s">
        <v>20436</v>
      </c>
    </row>
    <row r="11196">
      <c r="A11196" s="3">
        <v>2660.0</v>
      </c>
      <c r="B11196" s="3" t="s">
        <v>19423</v>
      </c>
      <c r="C11196" s="3" t="s">
        <v>11281</v>
      </c>
      <c r="D11196" s="3" t="s">
        <v>18783</v>
      </c>
      <c r="E11196" s="3" t="s">
        <v>20437</v>
      </c>
      <c r="F11196" s="3" t="s">
        <v>20438</v>
      </c>
    </row>
    <row r="11197">
      <c r="A11197" s="3">
        <v>2661.0</v>
      </c>
      <c r="B11197" s="3" t="s">
        <v>19423</v>
      </c>
      <c r="C11197" s="3" t="s">
        <v>11281</v>
      </c>
      <c r="D11197" s="3" t="s">
        <v>18786</v>
      </c>
      <c r="E11197" s="3" t="s">
        <v>20439</v>
      </c>
      <c r="F11197" s="3" t="s">
        <v>20440</v>
      </c>
    </row>
    <row r="11198">
      <c r="A11198" s="3">
        <v>2662.0</v>
      </c>
      <c r="B11198" s="3" t="s">
        <v>19423</v>
      </c>
      <c r="C11198" s="3" t="s">
        <v>11281</v>
      </c>
      <c r="D11198" s="3" t="s">
        <v>18789</v>
      </c>
      <c r="E11198" s="3" t="s">
        <v>20441</v>
      </c>
      <c r="F11198" s="3" t="s">
        <v>20442</v>
      </c>
    </row>
    <row r="11199">
      <c r="A11199" s="3">
        <v>2663.0</v>
      </c>
      <c r="B11199" s="3" t="s">
        <v>19423</v>
      </c>
      <c r="C11199" s="3" t="s">
        <v>11281</v>
      </c>
      <c r="D11199" s="3" t="s">
        <v>18792</v>
      </c>
      <c r="E11199" s="3" t="s">
        <v>20443</v>
      </c>
      <c r="F11199" s="3" t="s">
        <v>20444</v>
      </c>
    </row>
    <row r="11200">
      <c r="A11200" s="3">
        <v>2664.0</v>
      </c>
      <c r="B11200" s="3" t="s">
        <v>19423</v>
      </c>
      <c r="C11200" s="3" t="s">
        <v>11281</v>
      </c>
      <c r="D11200" s="3" t="s">
        <v>18795</v>
      </c>
      <c r="E11200" s="3" t="s">
        <v>20445</v>
      </c>
      <c r="F11200" s="3" t="s">
        <v>20446</v>
      </c>
    </row>
    <row r="11201">
      <c r="A11201" s="3">
        <v>2665.0</v>
      </c>
      <c r="B11201" s="3" t="s">
        <v>19423</v>
      </c>
      <c r="C11201" s="3" t="s">
        <v>11281</v>
      </c>
      <c r="D11201" s="3" t="s">
        <v>18798</v>
      </c>
      <c r="E11201" s="3" t="s">
        <v>20447</v>
      </c>
      <c r="F11201" s="3" t="s">
        <v>20448</v>
      </c>
    </row>
    <row r="11202">
      <c r="A11202" s="3">
        <v>2666.0</v>
      </c>
      <c r="B11202" s="3" t="s">
        <v>19423</v>
      </c>
      <c r="C11202" s="3" t="s">
        <v>11281</v>
      </c>
      <c r="D11202" s="3" t="s">
        <v>18801</v>
      </c>
      <c r="E11202" s="3" t="s">
        <v>20449</v>
      </c>
      <c r="F11202" s="3" t="s">
        <v>20450</v>
      </c>
    </row>
    <row r="11203">
      <c r="A11203" s="3">
        <v>2667.0</v>
      </c>
      <c r="B11203" s="3" t="s">
        <v>19423</v>
      </c>
      <c r="C11203" s="3" t="s">
        <v>11281</v>
      </c>
      <c r="D11203" s="3" t="s">
        <v>18802</v>
      </c>
      <c r="E11203" s="3" t="s">
        <v>18803</v>
      </c>
      <c r="F11203" s="3" t="s">
        <v>18802</v>
      </c>
      <c r="G11203" s="3"/>
      <c r="H11203" s="3" t="s">
        <v>18804</v>
      </c>
      <c r="I11203" s="3" t="s">
        <v>18805</v>
      </c>
      <c r="J11203" s="3" t="s">
        <v>9651</v>
      </c>
      <c r="K11203" s="3" t="s">
        <v>5382</v>
      </c>
    </row>
    <row r="11204">
      <c r="A11204" s="3">
        <v>2668.0</v>
      </c>
      <c r="B11204" s="3" t="s">
        <v>19423</v>
      </c>
      <c r="C11204" s="3" t="s">
        <v>11281</v>
      </c>
      <c r="D11204" s="3" t="s">
        <v>18806</v>
      </c>
      <c r="E11204" s="3" t="s">
        <v>18807</v>
      </c>
      <c r="F11204" s="3" t="s">
        <v>18806</v>
      </c>
    </row>
    <row r="11205">
      <c r="A11205" s="3">
        <v>2669.0</v>
      </c>
      <c r="B11205" s="3" t="s">
        <v>19423</v>
      </c>
      <c r="C11205" s="3" t="s">
        <v>11281</v>
      </c>
      <c r="D11205" s="3" t="s">
        <v>18808</v>
      </c>
      <c r="E11205" s="3" t="s">
        <v>18809</v>
      </c>
      <c r="F11205" s="3" t="s">
        <v>18810</v>
      </c>
    </row>
    <row r="11206">
      <c r="A11206" s="3">
        <v>2670.0</v>
      </c>
      <c r="B11206" s="3" t="s">
        <v>19423</v>
      </c>
      <c r="C11206" s="3" t="s">
        <v>11281</v>
      </c>
      <c r="D11206" s="3" t="s">
        <v>18811</v>
      </c>
      <c r="E11206" s="3" t="s">
        <v>18812</v>
      </c>
      <c r="F11206" s="3" t="s">
        <v>18813</v>
      </c>
    </row>
    <row r="11207">
      <c r="A11207" s="3">
        <v>2671.0</v>
      </c>
      <c r="B11207" s="3" t="s">
        <v>19423</v>
      </c>
      <c r="C11207" s="3" t="s">
        <v>11281</v>
      </c>
      <c r="D11207" s="3" t="s">
        <v>18814</v>
      </c>
      <c r="E11207" s="3" t="s">
        <v>18815</v>
      </c>
      <c r="F11207" s="3" t="s">
        <v>18814</v>
      </c>
    </row>
    <row r="11208">
      <c r="A11208" s="3">
        <v>2672.0</v>
      </c>
      <c r="B11208" s="3" t="s">
        <v>19423</v>
      </c>
      <c r="C11208" s="3" t="s">
        <v>11281</v>
      </c>
      <c r="D11208" s="3" t="s">
        <v>18816</v>
      </c>
      <c r="E11208" s="3" t="s">
        <v>18817</v>
      </c>
      <c r="F11208" s="3" t="s">
        <v>18816</v>
      </c>
    </row>
    <row r="11209">
      <c r="A11209" s="3">
        <v>2673.0</v>
      </c>
      <c r="B11209" s="3" t="s">
        <v>19423</v>
      </c>
      <c r="C11209" s="3" t="s">
        <v>11281</v>
      </c>
      <c r="D11209" s="3" t="s">
        <v>6454</v>
      </c>
      <c r="E11209" s="3" t="s">
        <v>6453</v>
      </c>
      <c r="F11209" s="3" t="s">
        <v>6454</v>
      </c>
      <c r="G11209" s="3"/>
      <c r="H11209" s="3" t="s">
        <v>18818</v>
      </c>
      <c r="I11209" s="3" t="s">
        <v>18819</v>
      </c>
      <c r="J11209" s="3" t="s">
        <v>18820</v>
      </c>
      <c r="K11209" s="3" t="s">
        <v>18821</v>
      </c>
      <c r="L11209" s="3" t="s">
        <v>18822</v>
      </c>
      <c r="M11209" s="3" t="s">
        <v>18823</v>
      </c>
      <c r="N11209" s="3" t="s">
        <v>6271</v>
      </c>
      <c r="O11209" s="3" t="s">
        <v>18824</v>
      </c>
      <c r="P11209" s="3" t="s">
        <v>18825</v>
      </c>
    </row>
    <row r="11210">
      <c r="A11210" s="3">
        <v>2674.0</v>
      </c>
      <c r="B11210" s="3" t="s">
        <v>19423</v>
      </c>
      <c r="C11210" s="3" t="s">
        <v>11281</v>
      </c>
      <c r="D11210" s="3" t="s">
        <v>18826</v>
      </c>
      <c r="E11210" s="3" t="s">
        <v>18827</v>
      </c>
      <c r="F11210" s="3" t="s">
        <v>18826</v>
      </c>
    </row>
    <row r="11211">
      <c r="A11211" s="3">
        <v>2675.0</v>
      </c>
      <c r="B11211" s="3" t="s">
        <v>19423</v>
      </c>
      <c r="C11211" s="3" t="s">
        <v>11281</v>
      </c>
      <c r="D11211" s="3" t="s">
        <v>18828</v>
      </c>
      <c r="E11211" s="3" t="s">
        <v>18829</v>
      </c>
      <c r="F11211" s="3" t="s">
        <v>18828</v>
      </c>
      <c r="G11211" s="3"/>
      <c r="H11211" s="3" t="s">
        <v>6286</v>
      </c>
      <c r="I11211" s="3" t="s">
        <v>18830</v>
      </c>
      <c r="J11211" s="3" t="s">
        <v>18831</v>
      </c>
      <c r="K11211" s="3" t="s">
        <v>18832</v>
      </c>
      <c r="L11211" s="3" t="s">
        <v>18833</v>
      </c>
      <c r="M11211" s="3" t="s">
        <v>18834</v>
      </c>
      <c r="N11211" s="3" t="s">
        <v>18835</v>
      </c>
    </row>
    <row r="11212">
      <c r="A11212" s="3">
        <v>2676.0</v>
      </c>
      <c r="B11212" s="3" t="s">
        <v>19423</v>
      </c>
      <c r="C11212" s="3" t="s">
        <v>11281</v>
      </c>
      <c r="D11212" s="3" t="s">
        <v>18836</v>
      </c>
      <c r="E11212" s="3" t="s">
        <v>18837</v>
      </c>
      <c r="F11212" s="3" t="s">
        <v>18836</v>
      </c>
    </row>
    <row r="11213">
      <c r="A11213" s="3">
        <v>2677.0</v>
      </c>
      <c r="B11213" s="3" t="s">
        <v>19423</v>
      </c>
      <c r="C11213" s="3" t="s">
        <v>11281</v>
      </c>
      <c r="D11213" s="3" t="s">
        <v>18838</v>
      </c>
      <c r="E11213" s="3" t="s">
        <v>18839</v>
      </c>
      <c r="F11213" s="3" t="s">
        <v>18838</v>
      </c>
    </row>
    <row r="11214">
      <c r="A11214" s="3">
        <v>2678.0</v>
      </c>
      <c r="B11214" s="3" t="s">
        <v>19423</v>
      </c>
      <c r="C11214" s="3" t="s">
        <v>11281</v>
      </c>
      <c r="D11214" s="3" t="s">
        <v>18840</v>
      </c>
      <c r="E11214" s="3" t="s">
        <v>18841</v>
      </c>
      <c r="F11214" s="3" t="s">
        <v>18840</v>
      </c>
    </row>
    <row r="11215">
      <c r="A11215" s="3">
        <v>2679.0</v>
      </c>
      <c r="B11215" s="3" t="s">
        <v>19423</v>
      </c>
      <c r="C11215" s="3" t="s">
        <v>11281</v>
      </c>
      <c r="D11215" s="3" t="s">
        <v>6463</v>
      </c>
      <c r="E11215" s="3" t="s">
        <v>6462</v>
      </c>
      <c r="F11215" s="3" t="s">
        <v>6463</v>
      </c>
    </row>
    <row r="11216">
      <c r="A11216" s="3">
        <v>2680.0</v>
      </c>
      <c r="B11216" s="3" t="s">
        <v>19423</v>
      </c>
      <c r="C11216" s="3" t="s">
        <v>11281</v>
      </c>
      <c r="D11216" s="3" t="s">
        <v>18842</v>
      </c>
      <c r="E11216" s="3" t="s">
        <v>18843</v>
      </c>
      <c r="F11216" s="3" t="s">
        <v>18842</v>
      </c>
    </row>
    <row r="11217">
      <c r="A11217" s="3">
        <v>2681.0</v>
      </c>
      <c r="B11217" s="3" t="s">
        <v>19423</v>
      </c>
      <c r="C11217" s="3" t="s">
        <v>11281</v>
      </c>
      <c r="D11217" s="3" t="s">
        <v>6475</v>
      </c>
      <c r="E11217" s="3" t="s">
        <v>6474</v>
      </c>
      <c r="F11217" s="3" t="s">
        <v>6475</v>
      </c>
      <c r="G11217" s="3"/>
      <c r="H11217" s="3" t="s">
        <v>3414</v>
      </c>
      <c r="I11217" s="3" t="s">
        <v>3415</v>
      </c>
      <c r="J11217" s="3" t="s">
        <v>3413</v>
      </c>
      <c r="K11217" s="3" t="s">
        <v>3416</v>
      </c>
      <c r="L11217" s="3" t="s">
        <v>3417</v>
      </c>
      <c r="N11217" s="3" t="s">
        <v>3418</v>
      </c>
    </row>
    <row r="11218">
      <c r="A11218" s="3">
        <v>2682.0</v>
      </c>
      <c r="B11218" s="3" t="s">
        <v>19423</v>
      </c>
      <c r="C11218" s="3" t="s">
        <v>11281</v>
      </c>
      <c r="D11218" s="3" t="s">
        <v>6491</v>
      </c>
      <c r="E11218" s="3" t="s">
        <v>6490</v>
      </c>
      <c r="F11218" s="3" t="s">
        <v>6491</v>
      </c>
    </row>
    <row r="11219">
      <c r="A11219" s="3">
        <v>2683.0</v>
      </c>
      <c r="B11219" s="3" t="s">
        <v>19423</v>
      </c>
      <c r="C11219" s="3" t="s">
        <v>11281</v>
      </c>
      <c r="D11219" s="3" t="s">
        <v>18844</v>
      </c>
      <c r="E11219" s="3" t="s">
        <v>20451</v>
      </c>
      <c r="F11219" s="3" t="s">
        <v>20452</v>
      </c>
      <c r="G11219" s="3"/>
      <c r="H11219" s="3" t="s">
        <v>2186</v>
      </c>
      <c r="I11219" s="3" t="s">
        <v>18845</v>
      </c>
      <c r="J11219" s="3" t="s">
        <v>18846</v>
      </c>
      <c r="K11219" s="3" t="s">
        <v>13573</v>
      </c>
      <c r="L11219" s="3" t="s">
        <v>18847</v>
      </c>
      <c r="M11219" s="3" t="s">
        <v>18848</v>
      </c>
      <c r="N11219" s="3" t="s">
        <v>3590</v>
      </c>
      <c r="O11219" s="3" t="s">
        <v>18849</v>
      </c>
      <c r="P11219" s="3" t="s">
        <v>18850</v>
      </c>
      <c r="Q11219" s="3" t="s">
        <v>18851</v>
      </c>
      <c r="R11219" s="3" t="s">
        <v>2186</v>
      </c>
      <c r="S11219" s="3" t="s">
        <v>2186</v>
      </c>
      <c r="T11219" s="3" t="s">
        <v>6470</v>
      </c>
      <c r="U11219" s="3" t="s">
        <v>18845</v>
      </c>
      <c r="V11219" s="3" t="s">
        <v>18852</v>
      </c>
    </row>
    <row r="11220">
      <c r="A11220" s="3">
        <v>2684.0</v>
      </c>
      <c r="B11220" s="3" t="s">
        <v>19423</v>
      </c>
      <c r="C11220" s="3" t="s">
        <v>11281</v>
      </c>
      <c r="D11220" s="3" t="s">
        <v>18853</v>
      </c>
      <c r="E11220" s="3" t="s">
        <v>20453</v>
      </c>
      <c r="F11220" s="3" t="s">
        <v>20454</v>
      </c>
    </row>
    <row r="11221">
      <c r="A11221" s="3">
        <v>2685.0</v>
      </c>
      <c r="B11221" s="3" t="s">
        <v>19423</v>
      </c>
      <c r="C11221" s="3" t="s">
        <v>11281</v>
      </c>
      <c r="D11221" s="3" t="s">
        <v>18854</v>
      </c>
      <c r="E11221" s="3" t="s">
        <v>20455</v>
      </c>
      <c r="F11221" s="3" t="s">
        <v>20456</v>
      </c>
    </row>
    <row r="11222">
      <c r="A11222" s="3">
        <v>2686.0</v>
      </c>
      <c r="B11222" s="3" t="s">
        <v>19423</v>
      </c>
      <c r="C11222" s="3" t="s">
        <v>11281</v>
      </c>
      <c r="D11222" s="3" t="s">
        <v>18857</v>
      </c>
      <c r="E11222" s="3" t="s">
        <v>20457</v>
      </c>
      <c r="F11222" s="3" t="s">
        <v>20458</v>
      </c>
    </row>
    <row r="11223">
      <c r="A11223" s="3">
        <v>2687.0</v>
      </c>
      <c r="B11223" s="3" t="s">
        <v>19423</v>
      </c>
      <c r="C11223" s="3" t="s">
        <v>11281</v>
      </c>
      <c r="D11223" s="3" t="s">
        <v>18860</v>
      </c>
      <c r="E11223" s="3" t="s">
        <v>20459</v>
      </c>
      <c r="F11223" s="3" t="s">
        <v>20460</v>
      </c>
    </row>
    <row r="11224">
      <c r="A11224" s="3">
        <v>2688.0</v>
      </c>
      <c r="B11224" s="3" t="s">
        <v>19423</v>
      </c>
      <c r="C11224" s="3" t="s">
        <v>11281</v>
      </c>
      <c r="D11224" s="3" t="s">
        <v>18861</v>
      </c>
      <c r="E11224" s="3" t="s">
        <v>20461</v>
      </c>
      <c r="F11224" s="3" t="s">
        <v>20462</v>
      </c>
    </row>
    <row r="11225">
      <c r="A11225" s="3">
        <v>2689.0</v>
      </c>
      <c r="B11225" s="3" t="s">
        <v>19423</v>
      </c>
      <c r="C11225" s="3" t="s">
        <v>11281</v>
      </c>
      <c r="D11225" s="3" t="s">
        <v>18862</v>
      </c>
      <c r="E11225" s="3" t="s">
        <v>20463</v>
      </c>
      <c r="F11225" s="3" t="s">
        <v>20464</v>
      </c>
    </row>
    <row r="11226">
      <c r="A11226" s="3">
        <v>2690.0</v>
      </c>
      <c r="B11226" s="3" t="s">
        <v>19423</v>
      </c>
      <c r="C11226" s="3" t="s">
        <v>11281</v>
      </c>
      <c r="D11226" s="3" t="s">
        <v>18863</v>
      </c>
      <c r="E11226" s="3" t="s">
        <v>20465</v>
      </c>
      <c r="F11226" s="3" t="s">
        <v>20466</v>
      </c>
    </row>
    <row r="11227">
      <c r="A11227" s="3">
        <v>2691.0</v>
      </c>
      <c r="B11227" s="3" t="s">
        <v>19423</v>
      </c>
      <c r="C11227" s="3" t="s">
        <v>11281</v>
      </c>
      <c r="D11227" s="3" t="s">
        <v>18864</v>
      </c>
      <c r="E11227" s="3" t="s">
        <v>20467</v>
      </c>
      <c r="F11227" s="3" t="s">
        <v>20468</v>
      </c>
    </row>
    <row r="11228">
      <c r="A11228" s="3">
        <v>2692.0</v>
      </c>
      <c r="B11228" s="3" t="s">
        <v>19423</v>
      </c>
      <c r="C11228" s="3" t="s">
        <v>11281</v>
      </c>
      <c r="D11228" s="3" t="s">
        <v>7912</v>
      </c>
      <c r="E11228" s="3" t="s">
        <v>7911</v>
      </c>
      <c r="F11228" s="3" t="s">
        <v>7912</v>
      </c>
    </row>
    <row r="11229">
      <c r="A11229" s="3">
        <v>2693.0</v>
      </c>
      <c r="B11229" s="3" t="s">
        <v>19423</v>
      </c>
      <c r="C11229" s="3" t="s">
        <v>11281</v>
      </c>
      <c r="D11229" s="3" t="s">
        <v>7914</v>
      </c>
      <c r="E11229" s="3" t="s">
        <v>7915</v>
      </c>
      <c r="F11229" s="3" t="s">
        <v>7916</v>
      </c>
    </row>
    <row r="11230">
      <c r="A11230" s="3">
        <v>2694.0</v>
      </c>
      <c r="B11230" s="3" t="s">
        <v>19423</v>
      </c>
      <c r="C11230" s="3" t="s">
        <v>11281</v>
      </c>
      <c r="D11230" s="3" t="s">
        <v>18865</v>
      </c>
      <c r="E11230" s="3" t="s">
        <v>18866</v>
      </c>
      <c r="F11230" s="3" t="s">
        <v>7934</v>
      </c>
    </row>
    <row r="11231">
      <c r="A11231" s="3">
        <v>2695.0</v>
      </c>
      <c r="B11231" s="3" t="s">
        <v>19423</v>
      </c>
      <c r="C11231" s="3" t="s">
        <v>11281</v>
      </c>
      <c r="D11231" s="3" t="s">
        <v>18867</v>
      </c>
      <c r="E11231" s="3" t="s">
        <v>18868</v>
      </c>
      <c r="F11231" s="3" t="s">
        <v>7941</v>
      </c>
    </row>
    <row r="11232">
      <c r="A11232" s="3">
        <v>2696.0</v>
      </c>
      <c r="B11232" s="3" t="s">
        <v>19423</v>
      </c>
      <c r="C11232" s="3" t="s">
        <v>11281</v>
      </c>
      <c r="D11232" s="3" t="s">
        <v>18869</v>
      </c>
      <c r="E11232" s="3" t="s">
        <v>18870</v>
      </c>
      <c r="F11232" s="3" t="s">
        <v>18869</v>
      </c>
    </row>
    <row r="11233">
      <c r="A11233" s="3">
        <v>2697.0</v>
      </c>
      <c r="B11233" s="3" t="s">
        <v>19423</v>
      </c>
      <c r="C11233" s="3" t="s">
        <v>11281</v>
      </c>
      <c r="D11233" s="3" t="s">
        <v>18871</v>
      </c>
      <c r="E11233" s="3" t="s">
        <v>18872</v>
      </c>
      <c r="F11233" s="3" t="s">
        <v>18871</v>
      </c>
    </row>
    <row r="11234">
      <c r="A11234" s="3">
        <v>2698.0</v>
      </c>
      <c r="B11234" s="3" t="s">
        <v>19423</v>
      </c>
      <c r="C11234" s="3" t="s">
        <v>11281</v>
      </c>
      <c r="D11234" s="3" t="s">
        <v>18873</v>
      </c>
      <c r="E11234" s="3" t="s">
        <v>18874</v>
      </c>
      <c r="F11234" s="3" t="s">
        <v>18873</v>
      </c>
    </row>
    <row r="11235">
      <c r="A11235" s="3">
        <v>2699.0</v>
      </c>
      <c r="B11235" s="3" t="s">
        <v>19423</v>
      </c>
      <c r="C11235" s="3" t="s">
        <v>11281</v>
      </c>
      <c r="D11235" s="3" t="s">
        <v>18875</v>
      </c>
      <c r="E11235" s="3" t="s">
        <v>18876</v>
      </c>
      <c r="F11235" s="3" t="s">
        <v>18875</v>
      </c>
    </row>
    <row r="11236">
      <c r="A11236" s="3">
        <v>2700.0</v>
      </c>
      <c r="B11236" s="3" t="s">
        <v>19423</v>
      </c>
      <c r="C11236" s="3" t="s">
        <v>11281</v>
      </c>
      <c r="D11236" s="3" t="s">
        <v>18877</v>
      </c>
      <c r="E11236" s="3" t="s">
        <v>18878</v>
      </c>
      <c r="F11236" s="3" t="s">
        <v>18877</v>
      </c>
    </row>
    <row r="11237">
      <c r="A11237" s="3">
        <v>2701.0</v>
      </c>
      <c r="B11237" s="3" t="s">
        <v>19423</v>
      </c>
      <c r="C11237" s="3" t="s">
        <v>11281</v>
      </c>
      <c r="D11237" s="3" t="s">
        <v>18879</v>
      </c>
      <c r="E11237" s="3" t="s">
        <v>18880</v>
      </c>
      <c r="F11237" s="3" t="s">
        <v>18879</v>
      </c>
    </row>
    <row r="11238">
      <c r="A11238" s="3">
        <v>2702.0</v>
      </c>
      <c r="B11238" s="3" t="s">
        <v>19423</v>
      </c>
      <c r="C11238" s="3" t="s">
        <v>11281</v>
      </c>
      <c r="D11238" s="3" t="s">
        <v>18881</v>
      </c>
      <c r="E11238" s="3" t="s">
        <v>18882</v>
      </c>
      <c r="F11238" s="3" t="s">
        <v>18881</v>
      </c>
    </row>
    <row r="11239">
      <c r="A11239" s="3">
        <v>2703.0</v>
      </c>
      <c r="B11239" s="3" t="s">
        <v>19423</v>
      </c>
      <c r="C11239" s="3" t="s">
        <v>11281</v>
      </c>
      <c r="D11239" s="3" t="s">
        <v>18883</v>
      </c>
      <c r="E11239" s="3" t="s">
        <v>18884</v>
      </c>
      <c r="F11239" s="3" t="s">
        <v>18883</v>
      </c>
    </row>
    <row r="11240">
      <c r="A11240" s="3">
        <v>2704.0</v>
      </c>
      <c r="B11240" s="3" t="s">
        <v>19423</v>
      </c>
      <c r="C11240" s="3" t="s">
        <v>11281</v>
      </c>
      <c r="D11240" s="3" t="s">
        <v>18885</v>
      </c>
      <c r="E11240" s="3" t="s">
        <v>18886</v>
      </c>
      <c r="F11240" s="3" t="s">
        <v>18885</v>
      </c>
    </row>
    <row r="11241">
      <c r="A11241" s="3">
        <v>2705.0</v>
      </c>
      <c r="B11241" s="3" t="s">
        <v>19423</v>
      </c>
      <c r="C11241" s="3" t="s">
        <v>11281</v>
      </c>
      <c r="D11241" s="3" t="s">
        <v>18887</v>
      </c>
      <c r="E11241" s="3" t="s">
        <v>18888</v>
      </c>
      <c r="F11241" s="3" t="s">
        <v>18887</v>
      </c>
    </row>
    <row r="11242">
      <c r="A11242" s="3">
        <v>2706.0</v>
      </c>
      <c r="B11242" s="3" t="s">
        <v>19423</v>
      </c>
      <c r="C11242" s="3" t="s">
        <v>11281</v>
      </c>
      <c r="D11242" s="3" t="s">
        <v>18889</v>
      </c>
      <c r="E11242" s="3" t="s">
        <v>18890</v>
      </c>
      <c r="F11242" s="3" t="s">
        <v>18889</v>
      </c>
    </row>
    <row r="11243">
      <c r="A11243" s="3">
        <v>2707.0</v>
      </c>
      <c r="B11243" s="3" t="s">
        <v>19423</v>
      </c>
      <c r="C11243" s="3" t="s">
        <v>11281</v>
      </c>
      <c r="D11243" s="3" t="s">
        <v>18891</v>
      </c>
      <c r="E11243" s="3" t="s">
        <v>18892</v>
      </c>
      <c r="F11243" s="3" t="s">
        <v>18891</v>
      </c>
      <c r="G11243" s="3"/>
      <c r="H11243" s="3" t="s">
        <v>18893</v>
      </c>
      <c r="I11243" s="3" t="s">
        <v>18894</v>
      </c>
      <c r="J11243" s="3" t="s">
        <v>18895</v>
      </c>
      <c r="K11243" s="3" t="s">
        <v>18896</v>
      </c>
      <c r="L11243" s="3" t="s">
        <v>8667</v>
      </c>
      <c r="M11243" s="3" t="s">
        <v>11246</v>
      </c>
      <c r="N11243" s="3" t="s">
        <v>18897</v>
      </c>
      <c r="O11243" s="3" t="s">
        <v>11539</v>
      </c>
      <c r="P11243" s="3" t="s">
        <v>18898</v>
      </c>
      <c r="Q11243" s="3" t="s">
        <v>18899</v>
      </c>
      <c r="R11243" s="3" t="s">
        <v>18900</v>
      </c>
      <c r="S11243" s="3" t="s">
        <v>18901</v>
      </c>
      <c r="T11243" s="3" t="s">
        <v>18902</v>
      </c>
      <c r="U11243" s="3" t="s">
        <v>18903</v>
      </c>
      <c r="V11243" s="3" t="s">
        <v>1862</v>
      </c>
      <c r="W11243" s="3" t="s">
        <v>15285</v>
      </c>
      <c r="X11243" s="3" t="s">
        <v>18904</v>
      </c>
      <c r="Y11243" s="3" t="s">
        <v>18905</v>
      </c>
      <c r="Z11243" s="3" t="s">
        <v>18906</v>
      </c>
      <c r="AA11243" s="3" t="s">
        <v>18907</v>
      </c>
      <c r="AB11243" s="3" t="s">
        <v>18908</v>
      </c>
      <c r="AC11243" s="3" t="s">
        <v>18909</v>
      </c>
      <c r="AD11243" s="3" t="s">
        <v>18910</v>
      </c>
      <c r="AE11243" s="3" t="s">
        <v>18911</v>
      </c>
      <c r="AF11243" s="3" t="s">
        <v>18912</v>
      </c>
    </row>
    <row r="11244">
      <c r="A11244" s="3">
        <v>2708.0</v>
      </c>
      <c r="B11244" s="3" t="s">
        <v>19423</v>
      </c>
      <c r="C11244" s="3" t="s">
        <v>11281</v>
      </c>
      <c r="D11244" s="3" t="s">
        <v>18913</v>
      </c>
      <c r="E11244" s="3" t="s">
        <v>18914</v>
      </c>
      <c r="F11244" s="3" t="s">
        <v>18913</v>
      </c>
    </row>
    <row r="11245">
      <c r="A11245" s="3">
        <v>2709.0</v>
      </c>
      <c r="B11245" s="3" t="s">
        <v>19423</v>
      </c>
      <c r="C11245" s="3" t="s">
        <v>11281</v>
      </c>
      <c r="D11245" s="3" t="s">
        <v>18915</v>
      </c>
      <c r="E11245" s="3" t="s">
        <v>18916</v>
      </c>
      <c r="F11245" s="3" t="s">
        <v>18915</v>
      </c>
    </row>
    <row r="11246">
      <c r="A11246" s="3">
        <v>2710.0</v>
      </c>
      <c r="B11246" s="3" t="s">
        <v>19423</v>
      </c>
      <c r="C11246" s="3" t="s">
        <v>11281</v>
      </c>
      <c r="D11246" s="3" t="s">
        <v>18917</v>
      </c>
      <c r="E11246" s="3" t="s">
        <v>18918</v>
      </c>
      <c r="F11246" s="3" t="s">
        <v>18917</v>
      </c>
    </row>
    <row r="11247">
      <c r="A11247" s="3">
        <v>2711.0</v>
      </c>
      <c r="B11247" s="3" t="s">
        <v>19423</v>
      </c>
      <c r="C11247" s="3" t="s">
        <v>11281</v>
      </c>
      <c r="D11247" s="3" t="s">
        <v>18919</v>
      </c>
      <c r="E11247" s="3" t="s">
        <v>18920</v>
      </c>
      <c r="F11247" s="3" t="s">
        <v>18919</v>
      </c>
    </row>
    <row r="11248">
      <c r="A11248" s="3">
        <v>2712.0</v>
      </c>
      <c r="B11248" s="3" t="s">
        <v>19423</v>
      </c>
      <c r="C11248" s="3" t="s">
        <v>11281</v>
      </c>
      <c r="D11248" s="3" t="s">
        <v>18921</v>
      </c>
      <c r="E11248" s="3" t="s">
        <v>18922</v>
      </c>
      <c r="F11248" s="3" t="s">
        <v>18921</v>
      </c>
    </row>
    <row r="11249">
      <c r="A11249" s="3">
        <v>2713.0</v>
      </c>
      <c r="B11249" s="3" t="s">
        <v>19423</v>
      </c>
      <c r="C11249" s="3" t="s">
        <v>11281</v>
      </c>
      <c r="D11249" s="3" t="s">
        <v>18923</v>
      </c>
      <c r="E11249" s="3" t="s">
        <v>18924</v>
      </c>
      <c r="F11249" s="3" t="s">
        <v>18925</v>
      </c>
    </row>
    <row r="11250">
      <c r="A11250" s="3">
        <v>2714.0</v>
      </c>
      <c r="B11250" s="3" t="s">
        <v>19423</v>
      </c>
      <c r="C11250" s="3" t="s">
        <v>11281</v>
      </c>
      <c r="D11250" s="3" t="s">
        <v>18926</v>
      </c>
      <c r="E11250" s="3" t="s">
        <v>18927</v>
      </c>
      <c r="F11250" s="3" t="s">
        <v>18928</v>
      </c>
    </row>
    <row r="11251">
      <c r="A11251" s="3">
        <v>2715.0</v>
      </c>
      <c r="B11251" s="3" t="s">
        <v>19423</v>
      </c>
      <c r="C11251" s="3" t="s">
        <v>11281</v>
      </c>
      <c r="D11251" s="3" t="s">
        <v>18929</v>
      </c>
      <c r="E11251" s="3" t="s">
        <v>18930</v>
      </c>
      <c r="F11251" s="3" t="s">
        <v>18929</v>
      </c>
    </row>
    <row r="11252">
      <c r="A11252" s="3">
        <v>2716.0</v>
      </c>
      <c r="B11252" s="3" t="s">
        <v>19423</v>
      </c>
      <c r="C11252" s="3" t="s">
        <v>11281</v>
      </c>
      <c r="D11252" s="3" t="s">
        <v>18931</v>
      </c>
      <c r="E11252" s="3" t="s">
        <v>18932</v>
      </c>
      <c r="F11252" s="3" t="s">
        <v>18931</v>
      </c>
    </row>
    <row r="11253">
      <c r="A11253" s="3">
        <v>2717.0</v>
      </c>
      <c r="B11253" s="3" t="s">
        <v>19423</v>
      </c>
      <c r="C11253" s="3" t="s">
        <v>11281</v>
      </c>
      <c r="D11253" s="3" t="s">
        <v>18933</v>
      </c>
      <c r="E11253" s="3" t="s">
        <v>18934</v>
      </c>
      <c r="F11253" s="3" t="s">
        <v>18933</v>
      </c>
    </row>
    <row r="11254">
      <c r="A11254" s="3">
        <v>2718.0</v>
      </c>
      <c r="B11254" s="3" t="s">
        <v>19423</v>
      </c>
      <c r="C11254" s="3" t="s">
        <v>11281</v>
      </c>
      <c r="D11254" s="3" t="s">
        <v>7922</v>
      </c>
      <c r="E11254" s="3" t="s">
        <v>7921</v>
      </c>
      <c r="F11254" s="3" t="s">
        <v>7922</v>
      </c>
    </row>
    <row r="11255">
      <c r="A11255" s="3">
        <v>2719.0</v>
      </c>
      <c r="B11255" s="3" t="s">
        <v>19423</v>
      </c>
      <c r="C11255" s="3" t="s">
        <v>11281</v>
      </c>
      <c r="D11255" s="3" t="s">
        <v>18935</v>
      </c>
      <c r="E11255" s="3" t="s">
        <v>18936</v>
      </c>
      <c r="F11255" s="3" t="s">
        <v>18935</v>
      </c>
    </row>
    <row r="11256">
      <c r="A11256" s="3">
        <v>2720.0</v>
      </c>
      <c r="B11256" s="3" t="s">
        <v>19423</v>
      </c>
      <c r="C11256" s="3" t="s">
        <v>11281</v>
      </c>
      <c r="D11256" s="3" t="s">
        <v>18937</v>
      </c>
      <c r="E11256" s="3" t="s">
        <v>18938</v>
      </c>
      <c r="F11256" s="3" t="s">
        <v>18937</v>
      </c>
    </row>
    <row r="11257">
      <c r="A11257" s="3">
        <v>2721.0</v>
      </c>
      <c r="B11257" s="3" t="s">
        <v>19423</v>
      </c>
      <c r="C11257" s="3" t="s">
        <v>11281</v>
      </c>
      <c r="D11257" s="3" t="s">
        <v>18939</v>
      </c>
      <c r="E11257" s="3" t="s">
        <v>18940</v>
      </c>
      <c r="F11257" s="3" t="s">
        <v>18941</v>
      </c>
    </row>
    <row r="11258">
      <c r="A11258" s="3">
        <v>2722.0</v>
      </c>
      <c r="B11258" s="3" t="s">
        <v>19423</v>
      </c>
      <c r="C11258" s="3" t="s">
        <v>11281</v>
      </c>
      <c r="D11258" s="3" t="s">
        <v>18942</v>
      </c>
      <c r="E11258" s="3" t="s">
        <v>18943</v>
      </c>
      <c r="F11258" s="3" t="s">
        <v>18942</v>
      </c>
      <c r="G11258" s="3"/>
      <c r="H11258" s="3" t="s">
        <v>7599</v>
      </c>
      <c r="I11258" s="3" t="s">
        <v>7590</v>
      </c>
      <c r="J11258" s="3" t="s">
        <v>7600</v>
      </c>
    </row>
    <row r="11259">
      <c r="A11259" s="3">
        <v>2723.0</v>
      </c>
      <c r="B11259" s="3" t="s">
        <v>19423</v>
      </c>
      <c r="C11259" s="3" t="s">
        <v>11281</v>
      </c>
      <c r="D11259" s="3" t="s">
        <v>18944</v>
      </c>
      <c r="E11259" s="3" t="s">
        <v>18945</v>
      </c>
      <c r="F11259" s="3" t="s">
        <v>18944</v>
      </c>
    </row>
    <row r="11260">
      <c r="A11260" s="3">
        <v>2724.0</v>
      </c>
      <c r="B11260" s="3" t="s">
        <v>19423</v>
      </c>
      <c r="C11260" s="3" t="s">
        <v>11281</v>
      </c>
      <c r="D11260" s="3" t="s">
        <v>18946</v>
      </c>
      <c r="E11260" s="3" t="s">
        <v>18947</v>
      </c>
      <c r="F11260" s="3" t="s">
        <v>18946</v>
      </c>
    </row>
    <row r="11261">
      <c r="A11261" s="3">
        <v>2725.0</v>
      </c>
      <c r="B11261" s="3" t="s">
        <v>19423</v>
      </c>
      <c r="C11261" s="3" t="s">
        <v>11281</v>
      </c>
      <c r="D11261" s="3" t="s">
        <v>18948</v>
      </c>
      <c r="E11261" s="3" t="s">
        <v>18949</v>
      </c>
      <c r="F11261" s="3" t="s">
        <v>18948</v>
      </c>
    </row>
    <row r="11262">
      <c r="A11262" s="3">
        <v>2726.0</v>
      </c>
      <c r="B11262" s="3" t="s">
        <v>19423</v>
      </c>
      <c r="C11262" s="3" t="s">
        <v>11281</v>
      </c>
      <c r="D11262" s="3" t="s">
        <v>18950</v>
      </c>
      <c r="E11262" s="3" t="s">
        <v>18951</v>
      </c>
      <c r="F11262" s="3" t="s">
        <v>18950</v>
      </c>
    </row>
    <row r="11263">
      <c r="A11263" s="3">
        <v>2727.0</v>
      </c>
      <c r="B11263" s="3" t="s">
        <v>19423</v>
      </c>
      <c r="C11263" s="3" t="s">
        <v>11281</v>
      </c>
      <c r="D11263" s="3" t="s">
        <v>18952</v>
      </c>
      <c r="E11263" s="3" t="s">
        <v>18953</v>
      </c>
      <c r="F11263" s="3" t="s">
        <v>18952</v>
      </c>
    </row>
    <row r="11264">
      <c r="A11264" s="3">
        <v>2728.0</v>
      </c>
      <c r="B11264" s="3" t="s">
        <v>19423</v>
      </c>
      <c r="C11264" s="3" t="s">
        <v>11281</v>
      </c>
      <c r="D11264" s="3" t="s">
        <v>18954</v>
      </c>
      <c r="E11264" s="3" t="s">
        <v>20469</v>
      </c>
      <c r="F11264" s="3" t="s">
        <v>20470</v>
      </c>
    </row>
    <row r="11265">
      <c r="A11265" s="3">
        <v>2729.0</v>
      </c>
      <c r="B11265" s="3" t="s">
        <v>19423</v>
      </c>
      <c r="C11265" s="3" t="s">
        <v>11281</v>
      </c>
      <c r="D11265" s="3" t="s">
        <v>18957</v>
      </c>
      <c r="E11265" s="3" t="s">
        <v>20471</v>
      </c>
      <c r="F11265" s="3" t="s">
        <v>20472</v>
      </c>
    </row>
    <row r="11266">
      <c r="A11266" s="3">
        <v>2730.0</v>
      </c>
      <c r="B11266" s="3" t="s">
        <v>19423</v>
      </c>
      <c r="C11266" s="3" t="s">
        <v>11281</v>
      </c>
      <c r="D11266" s="3" t="s">
        <v>18960</v>
      </c>
      <c r="E11266" s="3" t="s">
        <v>20473</v>
      </c>
      <c r="F11266" s="3" t="s">
        <v>20474</v>
      </c>
      <c r="G11266" s="3"/>
      <c r="H11266" s="3" t="s">
        <v>18963</v>
      </c>
    </row>
    <row r="11267">
      <c r="A11267" s="3">
        <v>2731.0</v>
      </c>
      <c r="B11267" s="3" t="s">
        <v>19423</v>
      </c>
      <c r="C11267" s="3" t="s">
        <v>11281</v>
      </c>
      <c r="D11267" s="3" t="s">
        <v>18964</v>
      </c>
      <c r="E11267" s="3" t="s">
        <v>20475</v>
      </c>
      <c r="F11267" s="3" t="s">
        <v>20476</v>
      </c>
    </row>
    <row r="11268">
      <c r="A11268" s="3">
        <v>2732.0</v>
      </c>
      <c r="B11268" s="3" t="s">
        <v>19423</v>
      </c>
      <c r="C11268" s="3" t="s">
        <v>11281</v>
      </c>
      <c r="D11268" s="3" t="s">
        <v>18967</v>
      </c>
      <c r="E11268" s="3" t="s">
        <v>20477</v>
      </c>
      <c r="F11268" s="3" t="s">
        <v>20478</v>
      </c>
    </row>
    <row r="11269">
      <c r="A11269" s="3">
        <v>2733.0</v>
      </c>
      <c r="B11269" s="3" t="s">
        <v>19423</v>
      </c>
      <c r="C11269" s="3" t="s">
        <v>11281</v>
      </c>
      <c r="D11269" s="3" t="s">
        <v>18970</v>
      </c>
      <c r="E11269" s="3" t="s">
        <v>20479</v>
      </c>
      <c r="F11269" s="3" t="s">
        <v>20480</v>
      </c>
    </row>
    <row r="11270">
      <c r="A11270" s="3">
        <v>2734.0</v>
      </c>
      <c r="B11270" s="3" t="s">
        <v>19423</v>
      </c>
      <c r="C11270" s="3" t="s">
        <v>11281</v>
      </c>
      <c r="D11270" s="3" t="s">
        <v>18973</v>
      </c>
      <c r="E11270" s="3" t="s">
        <v>20481</v>
      </c>
      <c r="F11270" s="3" t="s">
        <v>20482</v>
      </c>
    </row>
    <row r="11271">
      <c r="A11271" s="3">
        <v>2735.0</v>
      </c>
      <c r="B11271" s="3" t="s">
        <v>19423</v>
      </c>
      <c r="C11271" s="3" t="s">
        <v>11281</v>
      </c>
      <c r="D11271" s="3" t="s">
        <v>18976</v>
      </c>
      <c r="E11271" s="3" t="s">
        <v>18977</v>
      </c>
      <c r="F11271" s="3" t="s">
        <v>18976</v>
      </c>
      <c r="G11271" s="3"/>
      <c r="H11271" s="3" t="s">
        <v>15115</v>
      </c>
      <c r="I11271" s="3" t="s">
        <v>18978</v>
      </c>
      <c r="J11271" s="3" t="s">
        <v>921</v>
      </c>
      <c r="K11271" s="3" t="s">
        <v>5362</v>
      </c>
      <c r="L11271" s="3" t="s">
        <v>18979</v>
      </c>
      <c r="M11271" s="3" t="s">
        <v>17480</v>
      </c>
      <c r="N11271" s="3" t="s">
        <v>18980</v>
      </c>
      <c r="O11271" s="3" t="s">
        <v>18981</v>
      </c>
      <c r="P11271" s="3" t="s">
        <v>18982</v>
      </c>
      <c r="Q11271" s="3" t="s">
        <v>15115</v>
      </c>
      <c r="R11271" s="3" t="s">
        <v>17480</v>
      </c>
      <c r="S11271" s="3" t="s">
        <v>18983</v>
      </c>
      <c r="T11271" s="3" t="s">
        <v>7917</v>
      </c>
      <c r="U11271" s="3" t="s">
        <v>15441</v>
      </c>
      <c r="V11271" s="3" t="s">
        <v>18984</v>
      </c>
      <c r="W11271" s="3" t="s">
        <v>18985</v>
      </c>
      <c r="X11271" s="3" t="s">
        <v>18986</v>
      </c>
      <c r="Y11271" s="3" t="s">
        <v>10578</v>
      </c>
      <c r="Z11271" s="3" t="s">
        <v>4039</v>
      </c>
      <c r="AA11271" s="3" t="s">
        <v>18987</v>
      </c>
      <c r="AB11271" s="3" t="s">
        <v>18988</v>
      </c>
      <c r="AC11271" s="3" t="s">
        <v>2156</v>
      </c>
      <c r="AD11271" s="3" t="s">
        <v>18989</v>
      </c>
      <c r="AE11271" s="3" t="s">
        <v>18990</v>
      </c>
      <c r="AF11271" s="3" t="s">
        <v>10042</v>
      </c>
      <c r="AG11271" s="3" t="s">
        <v>18991</v>
      </c>
      <c r="AH11271" s="3" t="s">
        <v>11760</v>
      </c>
      <c r="AI11271" s="3" t="s">
        <v>5362</v>
      </c>
      <c r="AJ11271" s="3" t="s">
        <v>18992</v>
      </c>
      <c r="AK11271" s="3" t="s">
        <v>18993</v>
      </c>
      <c r="AL11271" s="3" t="s">
        <v>18994</v>
      </c>
      <c r="AM11271" s="3" t="s">
        <v>5233</v>
      </c>
      <c r="AN11271" s="3" t="s">
        <v>11760</v>
      </c>
      <c r="AO11271" s="3" t="s">
        <v>5233</v>
      </c>
      <c r="AP11271" s="3" t="s">
        <v>5232</v>
      </c>
      <c r="AQ11271" s="3" t="s">
        <v>18995</v>
      </c>
      <c r="AR11271" s="3" t="s">
        <v>11723</v>
      </c>
      <c r="AS11271" s="3" t="s">
        <v>18988</v>
      </c>
      <c r="AT11271" s="3" t="s">
        <v>18989</v>
      </c>
      <c r="AU11271" s="3" t="s">
        <v>18996</v>
      </c>
      <c r="AV11271" s="3" t="s">
        <v>18997</v>
      </c>
      <c r="AW11271" s="3" t="s">
        <v>18986</v>
      </c>
      <c r="AX11271" s="3" t="s">
        <v>11760</v>
      </c>
      <c r="AY11271" s="3" t="s">
        <v>18998</v>
      </c>
      <c r="AZ11271" s="3" t="s">
        <v>18999</v>
      </c>
      <c r="BA11271" s="3" t="s">
        <v>19000</v>
      </c>
      <c r="BB11271" s="3" t="s">
        <v>19001</v>
      </c>
      <c r="BC11271" s="3" t="s">
        <v>19002</v>
      </c>
      <c r="BD11271" s="3" t="s">
        <v>19003</v>
      </c>
      <c r="BE11271" s="3" t="s">
        <v>19004</v>
      </c>
      <c r="BF11271" s="3" t="s">
        <v>18990</v>
      </c>
      <c r="BG11271" s="3" t="s">
        <v>19005</v>
      </c>
      <c r="BH11271" s="3" t="s">
        <v>19006</v>
      </c>
      <c r="BI11271" s="3" t="s">
        <v>19007</v>
      </c>
      <c r="BJ11271" s="3" t="s">
        <v>19008</v>
      </c>
      <c r="BK11271" s="3" t="s">
        <v>19009</v>
      </c>
      <c r="BL11271" s="3" t="s">
        <v>17480</v>
      </c>
    </row>
    <row r="11272">
      <c r="A11272" s="3">
        <v>2736.0</v>
      </c>
      <c r="B11272" s="3" t="s">
        <v>19423</v>
      </c>
      <c r="C11272" s="3" t="s">
        <v>11281</v>
      </c>
      <c r="D11272" s="3" t="s">
        <v>19010</v>
      </c>
      <c r="E11272" s="3" t="s">
        <v>19011</v>
      </c>
      <c r="F11272" s="3" t="s">
        <v>19010</v>
      </c>
    </row>
    <row r="11273">
      <c r="A11273" s="3">
        <v>2737.0</v>
      </c>
      <c r="B11273" s="3" t="s">
        <v>19423</v>
      </c>
      <c r="C11273" s="3" t="s">
        <v>11281</v>
      </c>
      <c r="D11273" s="3" t="s">
        <v>19012</v>
      </c>
      <c r="E11273" s="3" t="s">
        <v>19013</v>
      </c>
      <c r="F11273" s="3" t="s">
        <v>19012</v>
      </c>
    </row>
    <row r="11274">
      <c r="A11274" s="3">
        <v>2738.0</v>
      </c>
      <c r="B11274" s="3" t="s">
        <v>19423</v>
      </c>
      <c r="C11274" s="3" t="s">
        <v>11281</v>
      </c>
      <c r="D11274" s="3" t="s">
        <v>19014</v>
      </c>
      <c r="E11274" s="3" t="s">
        <v>19015</v>
      </c>
      <c r="F11274" s="3" t="s">
        <v>19014</v>
      </c>
    </row>
    <row r="11275">
      <c r="A11275" s="3">
        <v>2739.0</v>
      </c>
      <c r="B11275" s="3" t="s">
        <v>19423</v>
      </c>
      <c r="C11275" s="3" t="s">
        <v>11281</v>
      </c>
      <c r="D11275" s="3" t="s">
        <v>19016</v>
      </c>
      <c r="E11275" s="3" t="s">
        <v>19017</v>
      </c>
      <c r="F11275" s="3" t="s">
        <v>19016</v>
      </c>
    </row>
    <row r="11276">
      <c r="A11276" s="3">
        <v>2740.0</v>
      </c>
      <c r="B11276" s="3" t="s">
        <v>19423</v>
      </c>
      <c r="C11276" s="3" t="s">
        <v>11281</v>
      </c>
      <c r="D11276" s="3" t="s">
        <v>19018</v>
      </c>
      <c r="E11276" s="3" t="s">
        <v>19019</v>
      </c>
      <c r="F11276" s="3" t="s">
        <v>19018</v>
      </c>
    </row>
    <row r="11277">
      <c r="A11277" s="3">
        <v>2741.0</v>
      </c>
      <c r="B11277" s="3" t="s">
        <v>19423</v>
      </c>
      <c r="C11277" s="3" t="s">
        <v>11281</v>
      </c>
      <c r="D11277" s="3" t="s">
        <v>19020</v>
      </c>
      <c r="E11277" s="3" t="s">
        <v>19021</v>
      </c>
      <c r="F11277" s="3" t="s">
        <v>19020</v>
      </c>
    </row>
    <row r="11278">
      <c r="A11278" s="3">
        <v>2742.0</v>
      </c>
      <c r="B11278" s="3" t="s">
        <v>19423</v>
      </c>
      <c r="C11278" s="3" t="s">
        <v>11281</v>
      </c>
      <c r="D11278" s="3" t="s">
        <v>19022</v>
      </c>
      <c r="E11278" s="3" t="s">
        <v>19023</v>
      </c>
      <c r="F11278" s="3" t="s">
        <v>19022</v>
      </c>
    </row>
    <row r="11279">
      <c r="A11279" s="3">
        <v>2743.0</v>
      </c>
      <c r="B11279" s="3" t="s">
        <v>19423</v>
      </c>
      <c r="C11279" s="3" t="s">
        <v>11281</v>
      </c>
      <c r="D11279" s="3" t="s">
        <v>19024</v>
      </c>
      <c r="E11279" s="3" t="s">
        <v>19025</v>
      </c>
      <c r="F11279" s="3" t="s">
        <v>19024</v>
      </c>
    </row>
    <row r="11280">
      <c r="A11280" s="3">
        <v>2744.0</v>
      </c>
      <c r="B11280" s="3" t="s">
        <v>19423</v>
      </c>
      <c r="C11280" s="3" t="s">
        <v>11281</v>
      </c>
      <c r="D11280" s="3" t="s">
        <v>19026</v>
      </c>
      <c r="E11280" s="3" t="s">
        <v>19027</v>
      </c>
      <c r="F11280" s="3" t="s">
        <v>19026</v>
      </c>
    </row>
    <row r="11281">
      <c r="A11281" s="3">
        <v>2745.0</v>
      </c>
      <c r="B11281" s="3" t="s">
        <v>19423</v>
      </c>
      <c r="C11281" s="3" t="s">
        <v>11281</v>
      </c>
      <c r="D11281" s="3" t="s">
        <v>19028</v>
      </c>
      <c r="E11281" s="3" t="s">
        <v>19029</v>
      </c>
      <c r="F11281" s="3" t="s">
        <v>19028</v>
      </c>
    </row>
    <row r="11282">
      <c r="A11282" s="3">
        <v>2746.0</v>
      </c>
      <c r="B11282" s="3" t="s">
        <v>19423</v>
      </c>
      <c r="C11282" s="3" t="s">
        <v>11281</v>
      </c>
      <c r="D11282" s="3" t="s">
        <v>19030</v>
      </c>
      <c r="E11282" s="3" t="s">
        <v>19031</v>
      </c>
      <c r="F11282" s="3" t="s">
        <v>19030</v>
      </c>
      <c r="G11282" s="3"/>
      <c r="H11282" s="3" t="s">
        <v>15490</v>
      </c>
      <c r="I11282" s="3" t="s">
        <v>15489</v>
      </c>
      <c r="J11282" s="3" t="s">
        <v>19032</v>
      </c>
      <c r="K11282" s="3" t="s">
        <v>19033</v>
      </c>
    </row>
    <row r="11283">
      <c r="A11283" s="3">
        <v>2747.0</v>
      </c>
      <c r="B11283" s="3" t="s">
        <v>19423</v>
      </c>
      <c r="C11283" s="3" t="s">
        <v>11281</v>
      </c>
      <c r="D11283" s="3" t="s">
        <v>19034</v>
      </c>
      <c r="E11283" s="3" t="s">
        <v>19035</v>
      </c>
      <c r="F11283" s="3" t="s">
        <v>19034</v>
      </c>
    </row>
    <row r="11284">
      <c r="A11284" s="3">
        <v>2748.0</v>
      </c>
      <c r="B11284" s="3" t="s">
        <v>19423</v>
      </c>
      <c r="C11284" s="3" t="s">
        <v>11281</v>
      </c>
      <c r="D11284" s="3" t="s">
        <v>19036</v>
      </c>
      <c r="E11284" s="3" t="s">
        <v>19037</v>
      </c>
      <c r="F11284" s="3" t="s">
        <v>19036</v>
      </c>
    </row>
    <row r="11285">
      <c r="A11285" s="3">
        <v>2749.0</v>
      </c>
      <c r="B11285" s="3" t="s">
        <v>19423</v>
      </c>
      <c r="C11285" s="3" t="s">
        <v>11281</v>
      </c>
      <c r="D11285" s="3" t="s">
        <v>19038</v>
      </c>
      <c r="E11285" s="3" t="s">
        <v>19039</v>
      </c>
      <c r="F11285" s="3" t="s">
        <v>19038</v>
      </c>
    </row>
    <row r="11286">
      <c r="A11286" s="3">
        <v>2750.0</v>
      </c>
      <c r="B11286" s="3" t="s">
        <v>19423</v>
      </c>
      <c r="C11286" s="3" t="s">
        <v>11281</v>
      </c>
      <c r="D11286" s="3" t="s">
        <v>19040</v>
      </c>
      <c r="E11286" s="3" t="s">
        <v>19041</v>
      </c>
      <c r="F11286" s="3" t="s">
        <v>19040</v>
      </c>
    </row>
    <row r="11287">
      <c r="A11287" s="3">
        <v>2751.0</v>
      </c>
      <c r="B11287" s="3" t="s">
        <v>19423</v>
      </c>
      <c r="C11287" s="3" t="s">
        <v>11281</v>
      </c>
      <c r="D11287" s="3" t="s">
        <v>19042</v>
      </c>
      <c r="E11287" s="3" t="s">
        <v>19043</v>
      </c>
      <c r="F11287" s="3" t="s">
        <v>19042</v>
      </c>
    </row>
    <row r="11288">
      <c r="A11288" s="3">
        <v>2752.0</v>
      </c>
      <c r="B11288" s="3" t="s">
        <v>19423</v>
      </c>
      <c r="C11288" s="3" t="s">
        <v>11281</v>
      </c>
      <c r="D11288" s="3" t="s">
        <v>19044</v>
      </c>
      <c r="E11288" s="3" t="s">
        <v>19045</v>
      </c>
      <c r="F11288" s="3" t="s">
        <v>19044</v>
      </c>
    </row>
    <row r="11289">
      <c r="A11289" s="3">
        <v>2753.0</v>
      </c>
      <c r="B11289" s="3" t="s">
        <v>19423</v>
      </c>
      <c r="C11289" s="3" t="s">
        <v>11281</v>
      </c>
      <c r="D11289" s="3" t="s">
        <v>19046</v>
      </c>
      <c r="E11289" s="3" t="s">
        <v>19047</v>
      </c>
      <c r="F11289" s="3" t="s">
        <v>19046</v>
      </c>
    </row>
    <row r="11290">
      <c r="A11290" s="3">
        <v>2754.0</v>
      </c>
      <c r="B11290" s="3" t="s">
        <v>19423</v>
      </c>
      <c r="C11290" s="3" t="s">
        <v>11281</v>
      </c>
      <c r="D11290" s="3" t="s">
        <v>19048</v>
      </c>
      <c r="E11290" s="3" t="s">
        <v>19049</v>
      </c>
      <c r="F11290" s="3" t="s">
        <v>19048</v>
      </c>
    </row>
    <row r="11291">
      <c r="A11291" s="3">
        <v>2755.0</v>
      </c>
      <c r="B11291" s="3" t="s">
        <v>19423</v>
      </c>
      <c r="C11291" s="3" t="s">
        <v>11281</v>
      </c>
      <c r="D11291" s="3" t="s">
        <v>19050</v>
      </c>
      <c r="E11291" s="3" t="s">
        <v>19051</v>
      </c>
      <c r="F11291" s="3" t="s">
        <v>19050</v>
      </c>
    </row>
    <row r="11292">
      <c r="A11292" s="3">
        <v>2756.0</v>
      </c>
      <c r="B11292" s="3" t="s">
        <v>19423</v>
      </c>
      <c r="C11292" s="3" t="s">
        <v>11281</v>
      </c>
      <c r="D11292" s="3" t="s">
        <v>19052</v>
      </c>
      <c r="E11292" s="3" t="s">
        <v>19053</v>
      </c>
      <c r="F11292" s="3" t="s">
        <v>19052</v>
      </c>
    </row>
    <row r="11293">
      <c r="A11293" s="3">
        <v>2757.0</v>
      </c>
      <c r="B11293" s="3" t="s">
        <v>19423</v>
      </c>
      <c r="C11293" s="3" t="s">
        <v>11281</v>
      </c>
      <c r="D11293" s="3" t="s">
        <v>19054</v>
      </c>
      <c r="E11293" s="3" t="s">
        <v>19055</v>
      </c>
      <c r="F11293" s="3" t="s">
        <v>19054</v>
      </c>
      <c r="G11293" s="3"/>
      <c r="H11293" s="3" t="s">
        <v>7900</v>
      </c>
      <c r="I11293" s="3" t="s">
        <v>7901</v>
      </c>
      <c r="J11293" s="3" t="s">
        <v>7902</v>
      </c>
    </row>
    <row r="11294">
      <c r="A11294" s="3">
        <v>2758.0</v>
      </c>
      <c r="B11294" s="3" t="s">
        <v>19423</v>
      </c>
      <c r="C11294" s="3" t="s">
        <v>11281</v>
      </c>
      <c r="D11294" s="3" t="s">
        <v>7977</v>
      </c>
      <c r="E11294" s="3" t="s">
        <v>7976</v>
      </c>
      <c r="F11294" s="3" t="s">
        <v>7977</v>
      </c>
    </row>
    <row r="11295">
      <c r="A11295" s="3">
        <v>2759.0</v>
      </c>
      <c r="B11295" s="3" t="s">
        <v>19423</v>
      </c>
      <c r="C11295" s="3" t="s">
        <v>11281</v>
      </c>
      <c r="D11295" s="3" t="s">
        <v>19056</v>
      </c>
      <c r="E11295" s="3" t="s">
        <v>19057</v>
      </c>
      <c r="F11295" s="3" t="s">
        <v>19056</v>
      </c>
    </row>
    <row r="11296">
      <c r="A11296" s="3">
        <v>2760.0</v>
      </c>
      <c r="B11296" s="3" t="s">
        <v>19423</v>
      </c>
      <c r="C11296" s="3" t="s">
        <v>11281</v>
      </c>
      <c r="D11296" s="3" t="s">
        <v>19058</v>
      </c>
      <c r="E11296" s="3" t="s">
        <v>19059</v>
      </c>
      <c r="F11296" s="3" t="s">
        <v>19058</v>
      </c>
    </row>
    <row r="11297">
      <c r="A11297" s="3">
        <v>2761.0</v>
      </c>
      <c r="B11297" s="3" t="s">
        <v>19423</v>
      </c>
      <c r="C11297" s="3" t="s">
        <v>11281</v>
      </c>
      <c r="D11297" s="3" t="s">
        <v>19060</v>
      </c>
      <c r="E11297" s="3" t="s">
        <v>19061</v>
      </c>
      <c r="F11297" s="3" t="s">
        <v>19060</v>
      </c>
    </row>
    <row r="11298">
      <c r="A11298" s="3">
        <v>2762.0</v>
      </c>
      <c r="B11298" s="3" t="s">
        <v>19423</v>
      </c>
      <c r="C11298" s="3" t="s">
        <v>11281</v>
      </c>
      <c r="D11298" s="3" t="s">
        <v>19062</v>
      </c>
      <c r="E11298" s="3" t="s">
        <v>19063</v>
      </c>
      <c r="F11298" s="3" t="s">
        <v>19062</v>
      </c>
    </row>
    <row r="11299">
      <c r="A11299" s="3">
        <v>2763.0</v>
      </c>
      <c r="B11299" s="3" t="s">
        <v>19423</v>
      </c>
      <c r="C11299" s="3" t="s">
        <v>11281</v>
      </c>
      <c r="D11299" s="3" t="s">
        <v>19064</v>
      </c>
      <c r="E11299" s="3" t="s">
        <v>19065</v>
      </c>
      <c r="F11299" s="3" t="s">
        <v>19064</v>
      </c>
    </row>
    <row r="11300">
      <c r="A11300" s="3">
        <v>2764.0</v>
      </c>
      <c r="B11300" s="3" t="s">
        <v>19423</v>
      </c>
      <c r="C11300" s="3" t="s">
        <v>11281</v>
      </c>
      <c r="D11300" s="3" t="s">
        <v>19066</v>
      </c>
      <c r="E11300" s="3" t="s">
        <v>19067</v>
      </c>
      <c r="F11300" s="3" t="s">
        <v>19066</v>
      </c>
    </row>
    <row r="11301">
      <c r="A11301" s="3">
        <v>2765.0</v>
      </c>
      <c r="B11301" s="3" t="s">
        <v>19423</v>
      </c>
      <c r="C11301" s="3" t="s">
        <v>11281</v>
      </c>
      <c r="D11301" s="3" t="s">
        <v>19068</v>
      </c>
      <c r="E11301" s="3" t="s">
        <v>19069</v>
      </c>
      <c r="F11301" s="3" t="s">
        <v>19068</v>
      </c>
    </row>
    <row r="11302">
      <c r="A11302" s="3">
        <v>2766.0</v>
      </c>
      <c r="B11302" s="3" t="s">
        <v>19423</v>
      </c>
      <c r="C11302" s="3" t="s">
        <v>11281</v>
      </c>
      <c r="D11302" s="3" t="s">
        <v>19070</v>
      </c>
      <c r="E11302" s="3" t="s">
        <v>19071</v>
      </c>
      <c r="F11302" s="3" t="s">
        <v>19070</v>
      </c>
      <c r="G11302" s="3"/>
      <c r="H11302" s="3" t="s">
        <v>19072</v>
      </c>
      <c r="I11302" s="3" t="s">
        <v>19073</v>
      </c>
      <c r="J11302" s="3" t="s">
        <v>19074</v>
      </c>
      <c r="K11302" s="3" t="s">
        <v>19075</v>
      </c>
      <c r="L11302" s="3" t="s">
        <v>19076</v>
      </c>
      <c r="M11302" s="3" t="s">
        <v>19077</v>
      </c>
      <c r="N11302" s="3" t="s">
        <v>5232</v>
      </c>
      <c r="O11302" s="3" t="s">
        <v>19077</v>
      </c>
      <c r="P11302" s="3" t="s">
        <v>5232</v>
      </c>
    </row>
    <row r="11303">
      <c r="A11303" s="3">
        <v>2767.0</v>
      </c>
      <c r="B11303" s="3" t="s">
        <v>19423</v>
      </c>
      <c r="C11303" s="3" t="s">
        <v>11281</v>
      </c>
      <c r="D11303" s="3" t="s">
        <v>19078</v>
      </c>
      <c r="E11303" s="3" t="s">
        <v>19079</v>
      </c>
      <c r="F11303" s="3" t="s">
        <v>19078</v>
      </c>
    </row>
    <row r="11304">
      <c r="A11304" s="3">
        <v>2768.0</v>
      </c>
      <c r="B11304" s="3" t="s">
        <v>19423</v>
      </c>
      <c r="C11304" s="3" t="s">
        <v>11281</v>
      </c>
      <c r="D11304" s="3" t="s">
        <v>19080</v>
      </c>
      <c r="E11304" s="3" t="s">
        <v>19081</v>
      </c>
      <c r="F11304" s="3" t="s">
        <v>19080</v>
      </c>
    </row>
    <row r="11305">
      <c r="A11305" s="3">
        <v>2769.0</v>
      </c>
      <c r="B11305" s="3" t="s">
        <v>19423</v>
      </c>
      <c r="C11305" s="3" t="s">
        <v>11281</v>
      </c>
      <c r="D11305" s="3" t="s">
        <v>19082</v>
      </c>
      <c r="E11305" s="3" t="s">
        <v>19083</v>
      </c>
      <c r="F11305" s="3" t="s">
        <v>19082</v>
      </c>
    </row>
    <row r="11306">
      <c r="A11306" s="3">
        <v>2770.0</v>
      </c>
      <c r="B11306" s="3" t="s">
        <v>19423</v>
      </c>
      <c r="C11306" s="3" t="s">
        <v>11281</v>
      </c>
      <c r="D11306" s="3" t="s">
        <v>19084</v>
      </c>
      <c r="E11306" s="3" t="s">
        <v>19085</v>
      </c>
      <c r="F11306" s="3" t="s">
        <v>19084</v>
      </c>
    </row>
    <row r="11307">
      <c r="A11307" s="3">
        <v>2771.0</v>
      </c>
      <c r="B11307" s="3" t="s">
        <v>19423</v>
      </c>
      <c r="C11307" s="3" t="s">
        <v>11281</v>
      </c>
      <c r="D11307" s="3" t="s">
        <v>19086</v>
      </c>
      <c r="E11307" s="3" t="s">
        <v>19087</v>
      </c>
      <c r="F11307" s="3" t="s">
        <v>19086</v>
      </c>
    </row>
    <row r="11308">
      <c r="A11308" s="3">
        <v>2772.0</v>
      </c>
      <c r="B11308" s="3" t="s">
        <v>19423</v>
      </c>
      <c r="C11308" s="3" t="s">
        <v>11281</v>
      </c>
      <c r="D11308" s="3" t="s">
        <v>19088</v>
      </c>
      <c r="E11308" s="3" t="s">
        <v>19089</v>
      </c>
      <c r="F11308" s="3" t="s">
        <v>19088</v>
      </c>
    </row>
    <row r="11309">
      <c r="A11309" s="3">
        <v>2773.0</v>
      </c>
      <c r="B11309" s="3" t="s">
        <v>19423</v>
      </c>
      <c r="C11309" s="3" t="s">
        <v>11281</v>
      </c>
      <c r="D11309" s="3" t="s">
        <v>19090</v>
      </c>
      <c r="E11309" s="3" t="s">
        <v>19091</v>
      </c>
      <c r="F11309" s="3" t="s">
        <v>19090</v>
      </c>
    </row>
    <row r="11310">
      <c r="A11310" s="3">
        <v>2774.0</v>
      </c>
      <c r="B11310" s="3" t="s">
        <v>19423</v>
      </c>
      <c r="C11310" s="3" t="s">
        <v>11281</v>
      </c>
      <c r="D11310" s="3" t="s">
        <v>19092</v>
      </c>
      <c r="E11310" s="3" t="s">
        <v>19093</v>
      </c>
      <c r="F11310" s="3" t="s">
        <v>19092</v>
      </c>
    </row>
    <row r="11311">
      <c r="A11311" s="3">
        <v>2775.0</v>
      </c>
      <c r="B11311" s="3" t="s">
        <v>19423</v>
      </c>
      <c r="C11311" s="3" t="s">
        <v>11281</v>
      </c>
      <c r="D11311" s="3" t="s">
        <v>19094</v>
      </c>
      <c r="E11311" s="3" t="s">
        <v>19095</v>
      </c>
      <c r="F11311" s="3" t="s">
        <v>19094</v>
      </c>
    </row>
    <row r="11312">
      <c r="A11312" s="3">
        <v>2776.0</v>
      </c>
      <c r="B11312" s="3" t="s">
        <v>19423</v>
      </c>
      <c r="C11312" s="3" t="s">
        <v>11281</v>
      </c>
      <c r="D11312" s="3" t="s">
        <v>19096</v>
      </c>
      <c r="E11312" s="3" t="s">
        <v>19097</v>
      </c>
      <c r="F11312" s="3" t="s">
        <v>19096</v>
      </c>
    </row>
    <row r="11313">
      <c r="A11313" s="3">
        <v>2777.0</v>
      </c>
      <c r="B11313" s="3" t="s">
        <v>19423</v>
      </c>
      <c r="C11313" s="3" t="s">
        <v>11281</v>
      </c>
      <c r="D11313" s="3" t="s">
        <v>19098</v>
      </c>
      <c r="E11313" s="3" t="s">
        <v>19099</v>
      </c>
      <c r="F11313" s="3" t="s">
        <v>19098</v>
      </c>
    </row>
    <row r="11314">
      <c r="A11314" s="3">
        <v>2778.0</v>
      </c>
      <c r="B11314" s="3" t="s">
        <v>19423</v>
      </c>
      <c r="C11314" s="3" t="s">
        <v>11281</v>
      </c>
      <c r="D11314" s="3" t="s">
        <v>19100</v>
      </c>
      <c r="E11314" s="3" t="s">
        <v>19101</v>
      </c>
      <c r="F11314" s="3" t="s">
        <v>19100</v>
      </c>
    </row>
    <row r="11315">
      <c r="A11315" s="3">
        <v>2779.0</v>
      </c>
      <c r="B11315" s="3" t="s">
        <v>19423</v>
      </c>
      <c r="C11315" s="3" t="s">
        <v>11281</v>
      </c>
      <c r="D11315" s="3" t="s">
        <v>19102</v>
      </c>
      <c r="E11315" s="3" t="s">
        <v>19103</v>
      </c>
      <c r="F11315" s="3" t="s">
        <v>19102</v>
      </c>
    </row>
    <row r="11316">
      <c r="A11316" s="3">
        <v>2780.0</v>
      </c>
      <c r="B11316" s="3" t="s">
        <v>19423</v>
      </c>
      <c r="C11316" s="3" t="s">
        <v>11281</v>
      </c>
      <c r="D11316" s="3" t="s">
        <v>19104</v>
      </c>
      <c r="E11316" s="3" t="s">
        <v>19105</v>
      </c>
      <c r="F11316" s="3" t="s">
        <v>19104</v>
      </c>
      <c r="G11316" s="3"/>
      <c r="H11316" s="3" t="s">
        <v>19106</v>
      </c>
      <c r="I11316" s="3" t="s">
        <v>321</v>
      </c>
      <c r="J11316" s="3" t="s">
        <v>19107</v>
      </c>
      <c r="K11316" s="3" t="s">
        <v>19104</v>
      </c>
      <c r="L11316" s="3" t="s">
        <v>19104</v>
      </c>
      <c r="M11316" s="3" t="s">
        <v>19108</v>
      </c>
      <c r="N11316" s="3" t="s">
        <v>19107</v>
      </c>
      <c r="O11316" s="3" t="s">
        <v>19109</v>
      </c>
      <c r="P11316" s="3" t="s">
        <v>19110</v>
      </c>
      <c r="Q11316" s="3" t="s">
        <v>1274</v>
      </c>
      <c r="R11316" s="3" t="s">
        <v>19111</v>
      </c>
      <c r="S11316" s="3" t="s">
        <v>19112</v>
      </c>
      <c r="T11316" s="3" t="s">
        <v>19113</v>
      </c>
      <c r="U11316" s="3" t="s">
        <v>19114</v>
      </c>
      <c r="V11316" s="3" t="s">
        <v>19115</v>
      </c>
    </row>
    <row r="11317">
      <c r="A11317" s="3">
        <v>2781.0</v>
      </c>
      <c r="B11317" s="3" t="s">
        <v>19423</v>
      </c>
      <c r="C11317" s="3" t="s">
        <v>11281</v>
      </c>
      <c r="D11317" s="3" t="s">
        <v>19116</v>
      </c>
      <c r="E11317" s="3" t="s">
        <v>19117</v>
      </c>
      <c r="F11317" s="3" t="s">
        <v>19116</v>
      </c>
    </row>
    <row r="11318">
      <c r="A11318" s="3">
        <v>2782.0</v>
      </c>
      <c r="B11318" s="3" t="s">
        <v>19423</v>
      </c>
      <c r="C11318" s="3" t="s">
        <v>11281</v>
      </c>
      <c r="D11318" s="3" t="s">
        <v>19118</v>
      </c>
      <c r="E11318" s="3" t="s">
        <v>19119</v>
      </c>
      <c r="F11318" s="3" t="s">
        <v>19118</v>
      </c>
    </row>
    <row r="11319">
      <c r="A11319" s="3">
        <v>2783.0</v>
      </c>
      <c r="B11319" s="3" t="s">
        <v>19423</v>
      </c>
      <c r="C11319" s="3" t="s">
        <v>11281</v>
      </c>
      <c r="D11319" s="3" t="s">
        <v>19120</v>
      </c>
      <c r="E11319" s="3" t="s">
        <v>19121</v>
      </c>
      <c r="F11319" s="3" t="s">
        <v>19120</v>
      </c>
    </row>
    <row r="11320">
      <c r="A11320" s="3">
        <v>2784.0</v>
      </c>
      <c r="B11320" s="3" t="s">
        <v>19423</v>
      </c>
      <c r="C11320" s="3" t="s">
        <v>11281</v>
      </c>
      <c r="D11320" s="3" t="s">
        <v>19122</v>
      </c>
      <c r="E11320" s="3" t="s">
        <v>19123</v>
      </c>
      <c r="F11320" s="3" t="s">
        <v>19122</v>
      </c>
    </row>
    <row r="11321">
      <c r="A11321" s="3">
        <v>2785.0</v>
      </c>
      <c r="B11321" s="3" t="s">
        <v>19423</v>
      </c>
      <c r="C11321" s="3" t="s">
        <v>11281</v>
      </c>
      <c r="D11321" s="3" t="s">
        <v>19124</v>
      </c>
      <c r="E11321" s="3" t="s">
        <v>20483</v>
      </c>
      <c r="F11321" s="3" t="s">
        <v>20484</v>
      </c>
      <c r="G11321" s="3"/>
      <c r="H11321" s="3" t="s">
        <v>19125</v>
      </c>
    </row>
    <row r="11322">
      <c r="A11322" s="3">
        <v>2786.0</v>
      </c>
      <c r="B11322" s="3" t="s">
        <v>19423</v>
      </c>
      <c r="C11322" s="3" t="s">
        <v>11281</v>
      </c>
      <c r="D11322" s="3" t="s">
        <v>19126</v>
      </c>
      <c r="E11322" s="3" t="s">
        <v>20485</v>
      </c>
      <c r="F11322" s="3" t="s">
        <v>20486</v>
      </c>
    </row>
    <row r="11323">
      <c r="A11323" s="3">
        <v>2787.0</v>
      </c>
      <c r="B11323" s="3" t="s">
        <v>19423</v>
      </c>
      <c r="C11323" s="3" t="s">
        <v>11281</v>
      </c>
      <c r="D11323" s="3" t="s">
        <v>19127</v>
      </c>
      <c r="E11323" s="3" t="s">
        <v>20487</v>
      </c>
      <c r="F11323" s="3" t="s">
        <v>20488</v>
      </c>
    </row>
    <row r="11324">
      <c r="A11324" s="3">
        <v>2788.0</v>
      </c>
      <c r="B11324" s="3" t="s">
        <v>19423</v>
      </c>
      <c r="C11324" s="3" t="s">
        <v>11281</v>
      </c>
      <c r="D11324" s="3" t="s">
        <v>19128</v>
      </c>
      <c r="E11324" s="3" t="s">
        <v>20489</v>
      </c>
      <c r="F11324" s="3" t="s">
        <v>20490</v>
      </c>
    </row>
    <row r="11325">
      <c r="A11325" s="3">
        <v>2789.0</v>
      </c>
      <c r="B11325" s="3" t="s">
        <v>19423</v>
      </c>
      <c r="C11325" s="3" t="s">
        <v>11281</v>
      </c>
      <c r="D11325" s="3" t="s">
        <v>6705</v>
      </c>
      <c r="E11325" s="3" t="s">
        <v>6704</v>
      </c>
      <c r="F11325" s="3" t="s">
        <v>6705</v>
      </c>
    </row>
    <row r="11326">
      <c r="A11326" s="3">
        <v>2790.0</v>
      </c>
      <c r="B11326" s="3" t="s">
        <v>19423</v>
      </c>
      <c r="C11326" s="3" t="s">
        <v>11281</v>
      </c>
      <c r="D11326" s="3" t="s">
        <v>19129</v>
      </c>
      <c r="E11326" s="3" t="s">
        <v>19130</v>
      </c>
      <c r="F11326" s="3" t="s">
        <v>19131</v>
      </c>
    </row>
    <row r="11327">
      <c r="A11327" s="3">
        <v>2791.0</v>
      </c>
      <c r="B11327" s="3" t="s">
        <v>19423</v>
      </c>
      <c r="C11327" s="3" t="s">
        <v>11281</v>
      </c>
      <c r="D11327" s="3" t="s">
        <v>19132</v>
      </c>
      <c r="E11327" s="3" t="s">
        <v>19133</v>
      </c>
      <c r="F11327" s="3" t="s">
        <v>19134</v>
      </c>
    </row>
    <row r="11328">
      <c r="A11328" s="3">
        <v>2792.0</v>
      </c>
      <c r="B11328" s="3" t="s">
        <v>19423</v>
      </c>
      <c r="C11328" s="3" t="s">
        <v>11281</v>
      </c>
      <c r="D11328" s="3" t="s">
        <v>19135</v>
      </c>
      <c r="E11328" s="3" t="s">
        <v>19136</v>
      </c>
      <c r="F11328" s="3" t="s">
        <v>19137</v>
      </c>
    </row>
    <row r="11329">
      <c r="A11329" s="3">
        <v>2793.0</v>
      </c>
      <c r="B11329" s="3" t="s">
        <v>19423</v>
      </c>
      <c r="C11329" s="3" t="s">
        <v>11281</v>
      </c>
      <c r="D11329" s="3" t="s">
        <v>19138</v>
      </c>
      <c r="E11329" s="3" t="s">
        <v>19139</v>
      </c>
      <c r="F11329" s="3" t="s">
        <v>19140</v>
      </c>
    </row>
    <row r="11330">
      <c r="A11330" s="3">
        <v>2794.0</v>
      </c>
      <c r="B11330" s="3" t="s">
        <v>19423</v>
      </c>
      <c r="C11330" s="3" t="s">
        <v>11281</v>
      </c>
      <c r="D11330" s="3" t="s">
        <v>19141</v>
      </c>
      <c r="E11330" s="3" t="s">
        <v>19142</v>
      </c>
      <c r="F11330" s="3" t="s">
        <v>19141</v>
      </c>
    </row>
    <row r="11331">
      <c r="A11331" s="3">
        <v>2795.0</v>
      </c>
      <c r="B11331" s="3" t="s">
        <v>19423</v>
      </c>
      <c r="C11331" s="3" t="s">
        <v>11281</v>
      </c>
      <c r="D11331" s="3" t="s">
        <v>19143</v>
      </c>
      <c r="E11331" s="3" t="s">
        <v>19144</v>
      </c>
      <c r="F11331" s="3" t="s">
        <v>19143</v>
      </c>
    </row>
    <row r="11332">
      <c r="A11332" s="3">
        <v>2796.0</v>
      </c>
      <c r="B11332" s="3" t="s">
        <v>19423</v>
      </c>
      <c r="C11332" s="3" t="s">
        <v>11281</v>
      </c>
      <c r="D11332" s="3" t="s">
        <v>19145</v>
      </c>
      <c r="E11332" s="3" t="s">
        <v>19146</v>
      </c>
      <c r="F11332" s="3" t="s">
        <v>19145</v>
      </c>
    </row>
    <row r="11333">
      <c r="A11333" s="3">
        <v>2797.0</v>
      </c>
      <c r="B11333" s="3" t="s">
        <v>19423</v>
      </c>
      <c r="C11333" s="3" t="s">
        <v>11281</v>
      </c>
      <c r="D11333" s="3" t="s">
        <v>19147</v>
      </c>
      <c r="E11333" s="3" t="s">
        <v>19148</v>
      </c>
      <c r="F11333" s="3" t="s">
        <v>19147</v>
      </c>
    </row>
    <row r="11334">
      <c r="A11334" s="3">
        <v>2798.0</v>
      </c>
      <c r="B11334" s="3" t="s">
        <v>19423</v>
      </c>
      <c r="C11334" s="3" t="s">
        <v>11281</v>
      </c>
      <c r="D11334" s="3" t="s">
        <v>19149</v>
      </c>
      <c r="E11334" s="3" t="s">
        <v>19150</v>
      </c>
      <c r="F11334" s="3" t="s">
        <v>19149</v>
      </c>
    </row>
    <row r="11335">
      <c r="A11335" s="3">
        <v>2799.0</v>
      </c>
      <c r="B11335" s="3" t="s">
        <v>19423</v>
      </c>
      <c r="C11335" s="3" t="s">
        <v>11281</v>
      </c>
      <c r="D11335" s="3" t="s">
        <v>19151</v>
      </c>
      <c r="E11335" s="3" t="s">
        <v>19152</v>
      </c>
      <c r="F11335" s="3" t="s">
        <v>19151</v>
      </c>
      <c r="G11335" s="3"/>
      <c r="H11335" s="3" t="s">
        <v>15019</v>
      </c>
      <c r="I11335" s="3" t="s">
        <v>15020</v>
      </c>
    </row>
    <row r="11336">
      <c r="A11336" s="3">
        <v>2800.0</v>
      </c>
      <c r="B11336" s="3" t="s">
        <v>19423</v>
      </c>
      <c r="C11336" s="3" t="s">
        <v>11281</v>
      </c>
      <c r="D11336" s="3" t="s">
        <v>19153</v>
      </c>
      <c r="E11336" s="3" t="s">
        <v>19154</v>
      </c>
      <c r="F11336" s="3" t="s">
        <v>19153</v>
      </c>
      <c r="G11336" s="3"/>
      <c r="H11336" s="3" t="s">
        <v>19153</v>
      </c>
      <c r="I11336" s="3" t="s">
        <v>19155</v>
      </c>
    </row>
    <row r="11337">
      <c r="A11337" s="3">
        <v>2801.0</v>
      </c>
      <c r="B11337" s="3" t="s">
        <v>19423</v>
      </c>
      <c r="C11337" s="3" t="s">
        <v>11281</v>
      </c>
      <c r="D11337" s="3" t="s">
        <v>19156</v>
      </c>
      <c r="E11337" s="3" t="s">
        <v>19157</v>
      </c>
      <c r="F11337" s="3" t="s">
        <v>19156</v>
      </c>
    </row>
    <row r="11338">
      <c r="A11338" s="3">
        <v>2802.0</v>
      </c>
      <c r="B11338" s="3" t="s">
        <v>19423</v>
      </c>
      <c r="C11338" s="3" t="s">
        <v>11281</v>
      </c>
      <c r="D11338" s="3" t="s">
        <v>19158</v>
      </c>
      <c r="E11338" s="3" t="s">
        <v>19159</v>
      </c>
      <c r="F11338" s="3" t="s">
        <v>19158</v>
      </c>
    </row>
    <row r="11339">
      <c r="A11339" s="3">
        <v>2803.0</v>
      </c>
      <c r="B11339" s="3" t="s">
        <v>19423</v>
      </c>
      <c r="C11339" s="3" t="s">
        <v>11281</v>
      </c>
      <c r="D11339" s="3" t="s">
        <v>19160</v>
      </c>
      <c r="E11339" s="3" t="s">
        <v>19161</v>
      </c>
      <c r="F11339" s="3" t="s">
        <v>19160</v>
      </c>
    </row>
    <row r="11340">
      <c r="A11340" s="3">
        <v>2804.0</v>
      </c>
      <c r="B11340" s="3" t="s">
        <v>19423</v>
      </c>
      <c r="C11340" s="3" t="s">
        <v>11281</v>
      </c>
      <c r="D11340" s="3" t="s">
        <v>19162</v>
      </c>
      <c r="E11340" s="3" t="s">
        <v>19163</v>
      </c>
      <c r="F11340" s="3" t="s">
        <v>19162</v>
      </c>
    </row>
    <row r="11341">
      <c r="A11341" s="3">
        <v>2805.0</v>
      </c>
      <c r="B11341" s="3" t="s">
        <v>19423</v>
      </c>
      <c r="C11341" s="3" t="s">
        <v>11281</v>
      </c>
      <c r="D11341" s="3" t="s">
        <v>19164</v>
      </c>
      <c r="E11341" s="3" t="s">
        <v>19165</v>
      </c>
      <c r="F11341" s="3" t="s">
        <v>19164</v>
      </c>
    </row>
    <row r="11342">
      <c r="A11342" s="3">
        <v>2806.0</v>
      </c>
      <c r="B11342" s="3" t="s">
        <v>19423</v>
      </c>
      <c r="C11342" s="3" t="s">
        <v>11281</v>
      </c>
      <c r="D11342" s="3" t="s">
        <v>19166</v>
      </c>
      <c r="E11342" s="3" t="s">
        <v>19167</v>
      </c>
      <c r="F11342" s="3" t="s">
        <v>19166</v>
      </c>
    </row>
    <row r="11343">
      <c r="A11343" s="3">
        <v>2807.0</v>
      </c>
      <c r="B11343" s="3" t="s">
        <v>19423</v>
      </c>
      <c r="C11343" s="3" t="s">
        <v>11281</v>
      </c>
      <c r="D11343" s="3" t="s">
        <v>6656</v>
      </c>
      <c r="E11343" s="3" t="s">
        <v>19168</v>
      </c>
      <c r="F11343" s="3" t="s">
        <v>6656</v>
      </c>
    </row>
    <row r="11344">
      <c r="A11344" s="3">
        <v>2808.0</v>
      </c>
      <c r="B11344" s="3" t="s">
        <v>19423</v>
      </c>
      <c r="C11344" s="3" t="s">
        <v>11281</v>
      </c>
      <c r="D11344" s="3" t="s">
        <v>19169</v>
      </c>
      <c r="E11344" s="3" t="s">
        <v>19170</v>
      </c>
      <c r="F11344" s="3" t="s">
        <v>19169</v>
      </c>
    </row>
    <row r="11345">
      <c r="A11345" s="3">
        <v>2809.0</v>
      </c>
      <c r="B11345" s="3" t="s">
        <v>19423</v>
      </c>
      <c r="C11345" s="3" t="s">
        <v>11281</v>
      </c>
      <c r="D11345" s="3" t="s">
        <v>19171</v>
      </c>
      <c r="E11345" s="3" t="s">
        <v>19172</v>
      </c>
      <c r="F11345" s="3" t="s">
        <v>19171</v>
      </c>
    </row>
    <row r="11346">
      <c r="A11346" s="3">
        <v>2810.0</v>
      </c>
      <c r="B11346" s="3" t="s">
        <v>19423</v>
      </c>
      <c r="C11346" s="3" t="s">
        <v>11281</v>
      </c>
      <c r="D11346" s="3" t="s">
        <v>19173</v>
      </c>
      <c r="E11346" s="3" t="s">
        <v>19174</v>
      </c>
      <c r="F11346" s="3" t="s">
        <v>19173</v>
      </c>
    </row>
    <row r="11347">
      <c r="A11347" s="3">
        <v>2811.0</v>
      </c>
      <c r="B11347" s="3" t="s">
        <v>19423</v>
      </c>
      <c r="C11347" s="3" t="s">
        <v>11281</v>
      </c>
      <c r="D11347" s="3" t="s">
        <v>19175</v>
      </c>
      <c r="E11347" s="3" t="s">
        <v>19176</v>
      </c>
      <c r="F11347" s="3" t="s">
        <v>19175</v>
      </c>
    </row>
    <row r="11348">
      <c r="A11348" s="3">
        <v>2812.0</v>
      </c>
      <c r="B11348" s="3" t="s">
        <v>19423</v>
      </c>
      <c r="C11348" s="3" t="s">
        <v>11281</v>
      </c>
      <c r="D11348" s="3" t="s">
        <v>19177</v>
      </c>
      <c r="E11348" s="3" t="s">
        <v>19178</v>
      </c>
      <c r="F11348" s="3" t="s">
        <v>19177</v>
      </c>
    </row>
    <row r="11349">
      <c r="A11349" s="3">
        <v>2813.0</v>
      </c>
      <c r="B11349" s="3" t="s">
        <v>19423</v>
      </c>
      <c r="C11349" s="3" t="s">
        <v>11281</v>
      </c>
      <c r="D11349" s="3" t="s">
        <v>6688</v>
      </c>
      <c r="E11349" s="3" t="s">
        <v>8028</v>
      </c>
      <c r="F11349" s="3" t="s">
        <v>6688</v>
      </c>
    </row>
    <row r="11350">
      <c r="A11350" s="3">
        <v>2814.0</v>
      </c>
      <c r="B11350" s="3" t="s">
        <v>19423</v>
      </c>
      <c r="C11350" s="3" t="s">
        <v>11281</v>
      </c>
      <c r="D11350" s="3" t="s">
        <v>6674</v>
      </c>
      <c r="E11350" s="3" t="s">
        <v>8023</v>
      </c>
      <c r="F11350" s="3" t="s">
        <v>6674</v>
      </c>
    </row>
    <row r="11351">
      <c r="A11351" s="3">
        <v>2815.0</v>
      </c>
      <c r="B11351" s="3" t="s">
        <v>19423</v>
      </c>
      <c r="C11351" s="3" t="s">
        <v>11281</v>
      </c>
      <c r="D11351" s="3" t="s">
        <v>6683</v>
      </c>
      <c r="E11351" s="3" t="s">
        <v>8026</v>
      </c>
      <c r="F11351" s="3" t="s">
        <v>6683</v>
      </c>
    </row>
    <row r="11352">
      <c r="A11352" s="3">
        <v>2816.0</v>
      </c>
      <c r="B11352" s="3" t="s">
        <v>19423</v>
      </c>
      <c r="C11352" s="3" t="s">
        <v>11281</v>
      </c>
      <c r="D11352" s="3" t="s">
        <v>19179</v>
      </c>
      <c r="E11352" s="3" t="s">
        <v>19180</v>
      </c>
      <c r="F11352" s="3" t="s">
        <v>19179</v>
      </c>
    </row>
    <row r="11353">
      <c r="A11353" s="3">
        <v>2817.0</v>
      </c>
      <c r="B11353" s="3" t="s">
        <v>19423</v>
      </c>
      <c r="C11353" s="3" t="s">
        <v>11281</v>
      </c>
      <c r="D11353" s="3" t="s">
        <v>19181</v>
      </c>
      <c r="E11353" s="3" t="s">
        <v>19182</v>
      </c>
      <c r="F11353" s="3" t="s">
        <v>19181</v>
      </c>
    </row>
    <row r="11354">
      <c r="A11354" s="3">
        <v>2818.0</v>
      </c>
      <c r="B11354" s="3" t="s">
        <v>19423</v>
      </c>
      <c r="C11354" s="3" t="s">
        <v>11281</v>
      </c>
      <c r="D11354" s="3" t="s">
        <v>19183</v>
      </c>
      <c r="E11354" s="3" t="s">
        <v>19184</v>
      </c>
      <c r="F11354" s="3" t="s">
        <v>19183</v>
      </c>
    </row>
    <row r="11355">
      <c r="A11355" s="3">
        <v>2819.0</v>
      </c>
      <c r="B11355" s="3" t="s">
        <v>19423</v>
      </c>
      <c r="C11355" s="3" t="s">
        <v>11281</v>
      </c>
      <c r="D11355" s="3" t="s">
        <v>19185</v>
      </c>
      <c r="E11355" s="3" t="s">
        <v>19186</v>
      </c>
      <c r="F11355" s="3" t="s">
        <v>19185</v>
      </c>
    </row>
    <row r="11356">
      <c r="A11356" s="3">
        <v>2820.0</v>
      </c>
      <c r="B11356" s="3" t="s">
        <v>19423</v>
      </c>
      <c r="C11356" s="3" t="s">
        <v>11281</v>
      </c>
      <c r="D11356" s="3" t="s">
        <v>19187</v>
      </c>
      <c r="E11356" s="3" t="s">
        <v>19188</v>
      </c>
      <c r="F11356" s="3" t="s">
        <v>19187</v>
      </c>
    </row>
    <row r="11357">
      <c r="A11357" s="3">
        <v>2821.0</v>
      </c>
      <c r="B11357" s="3" t="s">
        <v>19423</v>
      </c>
      <c r="C11357" s="3" t="s">
        <v>11281</v>
      </c>
      <c r="D11357" s="3" t="s">
        <v>19189</v>
      </c>
      <c r="E11357" s="3" t="s">
        <v>19190</v>
      </c>
      <c r="F11357" s="3" t="s">
        <v>19189</v>
      </c>
    </row>
    <row r="11358">
      <c r="A11358" s="3">
        <v>2822.0</v>
      </c>
      <c r="B11358" s="3" t="s">
        <v>19423</v>
      </c>
      <c r="C11358" s="3" t="s">
        <v>11281</v>
      </c>
      <c r="D11358" s="3" t="s">
        <v>19191</v>
      </c>
      <c r="E11358" s="3" t="s">
        <v>19192</v>
      </c>
      <c r="F11358" s="3" t="s">
        <v>19191</v>
      </c>
    </row>
    <row r="11359">
      <c r="A11359" s="3">
        <v>2823.0</v>
      </c>
      <c r="B11359" s="3" t="s">
        <v>19423</v>
      </c>
      <c r="C11359" s="3" t="s">
        <v>11281</v>
      </c>
      <c r="D11359" s="3" t="s">
        <v>19193</v>
      </c>
      <c r="E11359" s="3" t="s">
        <v>19194</v>
      </c>
      <c r="F11359" s="3" t="s">
        <v>19193</v>
      </c>
    </row>
    <row r="11360">
      <c r="A11360" s="3">
        <v>2824.0</v>
      </c>
      <c r="B11360" s="3" t="s">
        <v>19423</v>
      </c>
      <c r="C11360" s="3" t="s">
        <v>11281</v>
      </c>
      <c r="D11360" s="3" t="s">
        <v>19195</v>
      </c>
      <c r="E11360" s="3" t="s">
        <v>19196</v>
      </c>
      <c r="F11360" s="3" t="s">
        <v>19195</v>
      </c>
    </row>
    <row r="11361">
      <c r="A11361" s="3">
        <v>2825.0</v>
      </c>
      <c r="B11361" s="3" t="s">
        <v>19423</v>
      </c>
      <c r="C11361" s="3" t="s">
        <v>11281</v>
      </c>
      <c r="D11361" s="3" t="s">
        <v>11250</v>
      </c>
      <c r="E11361" s="3" t="s">
        <v>19197</v>
      </c>
      <c r="F11361" s="3" t="s">
        <v>11250</v>
      </c>
    </row>
    <row r="11362">
      <c r="A11362" s="3">
        <v>2826.0</v>
      </c>
      <c r="B11362" s="3" t="s">
        <v>19423</v>
      </c>
      <c r="C11362" s="3" t="s">
        <v>11281</v>
      </c>
      <c r="D11362" s="3" t="s">
        <v>14837</v>
      </c>
      <c r="E11362" s="3" t="s">
        <v>14836</v>
      </c>
      <c r="F11362" s="3" t="s">
        <v>14837</v>
      </c>
    </row>
    <row r="11363">
      <c r="A11363" s="3">
        <v>2827.0</v>
      </c>
      <c r="B11363" s="3" t="s">
        <v>19423</v>
      </c>
      <c r="C11363" s="3" t="s">
        <v>11281</v>
      </c>
      <c r="D11363" s="3" t="s">
        <v>19198</v>
      </c>
      <c r="E11363" s="3" t="s">
        <v>19199</v>
      </c>
      <c r="F11363" s="3" t="s">
        <v>19198</v>
      </c>
    </row>
    <row r="11364">
      <c r="A11364" s="3">
        <v>2828.0</v>
      </c>
      <c r="B11364" s="3" t="s">
        <v>19423</v>
      </c>
      <c r="C11364" s="3" t="s">
        <v>11281</v>
      </c>
      <c r="D11364" s="3" t="s">
        <v>14840</v>
      </c>
      <c r="E11364" s="3" t="s">
        <v>14839</v>
      </c>
      <c r="F11364" s="3" t="s">
        <v>14840</v>
      </c>
    </row>
    <row r="11365">
      <c r="A11365" s="3">
        <v>2829.0</v>
      </c>
      <c r="B11365" s="3" t="s">
        <v>19423</v>
      </c>
      <c r="C11365" s="3" t="s">
        <v>11281</v>
      </c>
      <c r="D11365" s="3" t="s">
        <v>19200</v>
      </c>
      <c r="E11365" s="3" t="s">
        <v>19201</v>
      </c>
      <c r="F11365" s="3" t="s">
        <v>19200</v>
      </c>
      <c r="G11365" s="3"/>
      <c r="H11365" s="3" t="s">
        <v>19202</v>
      </c>
      <c r="I11365" s="3" t="s">
        <v>19203</v>
      </c>
      <c r="J11365" s="3" t="s">
        <v>19204</v>
      </c>
      <c r="K11365" s="3" t="s">
        <v>19205</v>
      </c>
      <c r="L11365" s="3" t="s">
        <v>19206</v>
      </c>
      <c r="M11365" s="3" t="s">
        <v>19207</v>
      </c>
      <c r="N11365" s="3" t="s">
        <v>19206</v>
      </c>
      <c r="O11365" s="3" t="s">
        <v>19205</v>
      </c>
      <c r="P11365" s="3" t="s">
        <v>19207</v>
      </c>
      <c r="Q11365" s="3" t="s">
        <v>19208</v>
      </c>
      <c r="R11365" s="3" t="s">
        <v>3271</v>
      </c>
      <c r="S11365" s="3" t="s">
        <v>15556</v>
      </c>
      <c r="T11365" s="3" t="s">
        <v>15557</v>
      </c>
      <c r="U11365" s="3" t="s">
        <v>15558</v>
      </c>
      <c r="V11365" s="3" t="s">
        <v>9545</v>
      </c>
      <c r="W11365" s="3" t="s">
        <v>15559</v>
      </c>
      <c r="X11365" s="3" t="s">
        <v>15560</v>
      </c>
      <c r="Y11365" s="3" t="s">
        <v>15561</v>
      </c>
      <c r="Z11365" s="3" t="s">
        <v>19209</v>
      </c>
      <c r="AA11365" s="3" t="s">
        <v>19210</v>
      </c>
      <c r="AB11365" s="3" t="s">
        <v>19209</v>
      </c>
      <c r="AC11365" s="3" t="s">
        <v>19211</v>
      </c>
      <c r="AD11365" s="3" t="s">
        <v>19212</v>
      </c>
      <c r="AE11365" s="3" t="s">
        <v>15561</v>
      </c>
      <c r="AF11365" s="3" t="s">
        <v>9545</v>
      </c>
      <c r="AG11365" s="3" t="s">
        <v>13035</v>
      </c>
      <c r="AH11365" s="3" t="s">
        <v>15560</v>
      </c>
      <c r="AI11365" s="3" t="s">
        <v>19213</v>
      </c>
      <c r="AJ11365" s="3" t="s">
        <v>19214</v>
      </c>
      <c r="AK11365" s="3" t="s">
        <v>14194</v>
      </c>
      <c r="AL11365" s="3" t="s">
        <v>18214</v>
      </c>
      <c r="AM11365" s="3" t="s">
        <v>19215</v>
      </c>
      <c r="AN11365" s="3" t="s">
        <v>19203</v>
      </c>
      <c r="AO11365" s="3" t="s">
        <v>15561</v>
      </c>
      <c r="AP11365" s="3" t="s">
        <v>9545</v>
      </c>
      <c r="AQ11365" s="3" t="s">
        <v>15560</v>
      </c>
      <c r="AR11365" s="3" t="s">
        <v>19209</v>
      </c>
      <c r="AS11365" s="3" t="s">
        <v>19205</v>
      </c>
      <c r="AT11365" s="3" t="s">
        <v>19205</v>
      </c>
      <c r="AU11365" s="3" t="s">
        <v>19203</v>
      </c>
    </row>
    <row r="11366">
      <c r="A11366" s="3">
        <v>2830.0</v>
      </c>
      <c r="B11366" s="3" t="s">
        <v>19423</v>
      </c>
      <c r="C11366" s="3" t="s">
        <v>11281</v>
      </c>
      <c r="D11366" s="3" t="s">
        <v>19216</v>
      </c>
      <c r="E11366" s="3" t="s">
        <v>19217</v>
      </c>
      <c r="F11366" s="3" t="s">
        <v>19216</v>
      </c>
      <c r="G11366" s="3"/>
      <c r="H11366" s="3" t="s">
        <v>19218</v>
      </c>
      <c r="I11366" s="3" t="s">
        <v>19219</v>
      </c>
      <c r="J11366" s="3" t="s">
        <v>17696</v>
      </c>
    </row>
    <row r="11367">
      <c r="A11367" s="3">
        <v>2831.0</v>
      </c>
      <c r="B11367" s="3" t="s">
        <v>19423</v>
      </c>
      <c r="C11367" s="3" t="s">
        <v>11281</v>
      </c>
      <c r="D11367" s="3" t="s">
        <v>19220</v>
      </c>
      <c r="E11367" s="3" t="s">
        <v>19221</v>
      </c>
      <c r="F11367" s="3" t="s">
        <v>19220</v>
      </c>
    </row>
    <row r="11368">
      <c r="A11368" s="3">
        <v>2832.0</v>
      </c>
      <c r="B11368" s="3" t="s">
        <v>19423</v>
      </c>
      <c r="C11368" s="3" t="s">
        <v>11281</v>
      </c>
      <c r="D11368" s="3" t="s">
        <v>19222</v>
      </c>
      <c r="E11368" s="3" t="s">
        <v>19223</v>
      </c>
      <c r="F11368" s="3" t="s">
        <v>19224</v>
      </c>
    </row>
    <row r="11369">
      <c r="A11369" s="3">
        <v>2833.0</v>
      </c>
      <c r="B11369" s="3" t="s">
        <v>19423</v>
      </c>
      <c r="C11369" s="3" t="s">
        <v>11281</v>
      </c>
      <c r="D11369" s="3" t="s">
        <v>19225</v>
      </c>
      <c r="E11369" s="3" t="s">
        <v>19226</v>
      </c>
      <c r="F11369" s="3" t="s">
        <v>19227</v>
      </c>
    </row>
    <row r="11370">
      <c r="A11370" s="3">
        <v>2834.0</v>
      </c>
      <c r="B11370" s="3" t="s">
        <v>19423</v>
      </c>
      <c r="C11370" s="3" t="s">
        <v>11281</v>
      </c>
      <c r="D11370" s="3" t="s">
        <v>19228</v>
      </c>
      <c r="E11370" s="3" t="s">
        <v>19229</v>
      </c>
      <c r="F11370" s="3" t="s">
        <v>19228</v>
      </c>
    </row>
    <row r="11371">
      <c r="A11371" s="3">
        <v>2835.0</v>
      </c>
      <c r="B11371" s="3" t="s">
        <v>19423</v>
      </c>
      <c r="C11371" s="3" t="s">
        <v>11281</v>
      </c>
      <c r="D11371" s="3" t="s">
        <v>19230</v>
      </c>
      <c r="E11371" s="3" t="s">
        <v>19231</v>
      </c>
      <c r="F11371" s="3" t="s">
        <v>19230</v>
      </c>
    </row>
    <row r="11372">
      <c r="A11372" s="3">
        <v>2836.0</v>
      </c>
      <c r="B11372" s="3" t="s">
        <v>19423</v>
      </c>
      <c r="C11372" s="3" t="s">
        <v>11281</v>
      </c>
      <c r="D11372" s="3" t="s">
        <v>19232</v>
      </c>
      <c r="E11372" s="3" t="s">
        <v>19233</v>
      </c>
      <c r="F11372" s="3" t="s">
        <v>19232</v>
      </c>
      <c r="G11372" s="3"/>
      <c r="H11372" s="3" t="s">
        <v>699</v>
      </c>
      <c r="I11372" s="3" t="s">
        <v>19234</v>
      </c>
      <c r="J11372" s="3" t="s">
        <v>699</v>
      </c>
      <c r="K11372" s="3" t="s">
        <v>19235</v>
      </c>
      <c r="L11372" s="3" t="s">
        <v>19236</v>
      </c>
      <c r="M11372" s="3" t="s">
        <v>19237</v>
      </c>
      <c r="N11372" s="3" t="s">
        <v>19238</v>
      </c>
      <c r="O11372" s="3" t="s">
        <v>699</v>
      </c>
      <c r="P11372" s="3" t="s">
        <v>19239</v>
      </c>
      <c r="Q11372" s="3" t="s">
        <v>19240</v>
      </c>
      <c r="R11372" s="3" t="s">
        <v>19237</v>
      </c>
      <c r="S11372" s="3" t="s">
        <v>699</v>
      </c>
      <c r="T11372" s="3" t="s">
        <v>699</v>
      </c>
    </row>
    <row r="11373">
      <c r="A11373" s="3">
        <v>2837.0</v>
      </c>
      <c r="B11373" s="3" t="s">
        <v>19423</v>
      </c>
      <c r="C11373" s="3" t="s">
        <v>11281</v>
      </c>
      <c r="D11373" s="3" t="s">
        <v>19241</v>
      </c>
      <c r="E11373" s="3" t="s">
        <v>19242</v>
      </c>
      <c r="F11373" s="3" t="s">
        <v>19241</v>
      </c>
    </row>
    <row r="11374">
      <c r="A11374" s="3">
        <v>2838.0</v>
      </c>
      <c r="B11374" s="3" t="s">
        <v>19423</v>
      </c>
      <c r="C11374" s="3" t="s">
        <v>11281</v>
      </c>
      <c r="D11374" s="3" t="s">
        <v>19243</v>
      </c>
      <c r="E11374" s="3" t="s">
        <v>19244</v>
      </c>
      <c r="F11374" s="3" t="s">
        <v>19243</v>
      </c>
    </row>
    <row r="11375">
      <c r="A11375" s="3">
        <v>2839.0</v>
      </c>
      <c r="B11375" s="3" t="s">
        <v>19423</v>
      </c>
      <c r="C11375" s="3" t="s">
        <v>11281</v>
      </c>
      <c r="D11375" s="3" t="s">
        <v>19245</v>
      </c>
      <c r="E11375" s="3" t="s">
        <v>19246</v>
      </c>
      <c r="F11375" s="3" t="s">
        <v>19245</v>
      </c>
    </row>
    <row r="11376">
      <c r="A11376" s="3">
        <v>2840.0</v>
      </c>
      <c r="B11376" s="3" t="s">
        <v>19423</v>
      </c>
      <c r="C11376" s="3" t="s">
        <v>11281</v>
      </c>
      <c r="D11376" s="3" t="s">
        <v>19247</v>
      </c>
      <c r="E11376" s="3" t="s">
        <v>19248</v>
      </c>
      <c r="F11376" s="3" t="s">
        <v>19247</v>
      </c>
    </row>
    <row r="11377">
      <c r="A11377" s="3">
        <v>2841.0</v>
      </c>
      <c r="B11377" s="3" t="s">
        <v>19423</v>
      </c>
      <c r="C11377" s="3" t="s">
        <v>11281</v>
      </c>
      <c r="D11377" s="3" t="s">
        <v>19249</v>
      </c>
      <c r="E11377" s="3" t="s">
        <v>19250</v>
      </c>
      <c r="F11377" s="3" t="s">
        <v>19251</v>
      </c>
    </row>
    <row r="11378">
      <c r="A11378" s="3">
        <v>2842.0</v>
      </c>
      <c r="B11378" s="3" t="s">
        <v>19423</v>
      </c>
      <c r="C11378" s="3" t="s">
        <v>11281</v>
      </c>
      <c r="D11378" s="3" t="s">
        <v>19252</v>
      </c>
      <c r="E11378" s="3" t="s">
        <v>19253</v>
      </c>
      <c r="F11378" s="3" t="s">
        <v>19254</v>
      </c>
    </row>
    <row r="11379">
      <c r="A11379" s="3">
        <v>2843.0</v>
      </c>
      <c r="B11379" s="3" t="s">
        <v>19423</v>
      </c>
      <c r="C11379" s="3" t="s">
        <v>11281</v>
      </c>
      <c r="D11379" s="3" t="s">
        <v>19255</v>
      </c>
      <c r="E11379" s="3" t="s">
        <v>19256</v>
      </c>
      <c r="F11379" s="3" t="s">
        <v>19257</v>
      </c>
    </row>
    <row r="11380">
      <c r="A11380" s="3">
        <v>2844.0</v>
      </c>
      <c r="B11380" s="3" t="s">
        <v>19423</v>
      </c>
      <c r="C11380" s="3" t="s">
        <v>11281</v>
      </c>
      <c r="D11380" s="3" t="s">
        <v>19258</v>
      </c>
      <c r="E11380" s="3" t="s">
        <v>19259</v>
      </c>
      <c r="F11380" s="3" t="s">
        <v>19260</v>
      </c>
    </row>
    <row r="11381">
      <c r="A11381" s="3">
        <v>2845.0</v>
      </c>
      <c r="B11381" s="3" t="s">
        <v>19423</v>
      </c>
      <c r="C11381" s="3" t="s">
        <v>11281</v>
      </c>
      <c r="D11381" s="3" t="s">
        <v>19261</v>
      </c>
      <c r="E11381" s="3" t="s">
        <v>19262</v>
      </c>
      <c r="F11381" s="3" t="s">
        <v>19261</v>
      </c>
      <c r="G11381" s="3"/>
      <c r="H11381" s="3" t="s">
        <v>19263</v>
      </c>
      <c r="I11381" s="3" t="s">
        <v>19263</v>
      </c>
      <c r="J11381" s="3" t="s">
        <v>19264</v>
      </c>
    </row>
    <row r="11382">
      <c r="A11382" s="3">
        <v>2846.0</v>
      </c>
      <c r="B11382" s="3" t="s">
        <v>19423</v>
      </c>
      <c r="C11382" s="3" t="s">
        <v>11281</v>
      </c>
      <c r="D11382" s="3" t="s">
        <v>19265</v>
      </c>
      <c r="E11382" s="3" t="s">
        <v>19266</v>
      </c>
      <c r="F11382" s="3" t="s">
        <v>19265</v>
      </c>
    </row>
    <row r="11383">
      <c r="A11383" s="3">
        <v>2847.0</v>
      </c>
      <c r="B11383" s="3" t="s">
        <v>19423</v>
      </c>
      <c r="C11383" s="3" t="s">
        <v>11281</v>
      </c>
      <c r="D11383" s="3" t="s">
        <v>19267</v>
      </c>
      <c r="E11383" s="3" t="s">
        <v>19268</v>
      </c>
      <c r="F11383" s="3" t="s">
        <v>19267</v>
      </c>
    </row>
    <row r="11384">
      <c r="A11384" s="3">
        <v>2848.0</v>
      </c>
      <c r="B11384" s="3" t="s">
        <v>19423</v>
      </c>
      <c r="C11384" s="3" t="s">
        <v>11281</v>
      </c>
      <c r="D11384" s="3" t="s">
        <v>19269</v>
      </c>
      <c r="E11384" s="3" t="s">
        <v>19270</v>
      </c>
      <c r="F11384" s="3" t="s">
        <v>19269</v>
      </c>
    </row>
    <row r="11385">
      <c r="A11385" s="3">
        <v>2849.0</v>
      </c>
      <c r="B11385" s="3" t="s">
        <v>19423</v>
      </c>
      <c r="C11385" s="3" t="s">
        <v>11281</v>
      </c>
      <c r="D11385" s="3" t="s">
        <v>19271</v>
      </c>
      <c r="E11385" s="3" t="s">
        <v>19272</v>
      </c>
      <c r="F11385" s="3" t="s">
        <v>19271</v>
      </c>
    </row>
    <row r="11386">
      <c r="A11386" s="3">
        <v>2850.0</v>
      </c>
      <c r="B11386" s="3" t="s">
        <v>19423</v>
      </c>
      <c r="C11386" s="3" t="s">
        <v>11281</v>
      </c>
      <c r="D11386" s="3" t="s">
        <v>19273</v>
      </c>
      <c r="E11386" s="3" t="s">
        <v>19274</v>
      </c>
      <c r="F11386" s="3" t="s">
        <v>19273</v>
      </c>
    </row>
    <row r="11387">
      <c r="A11387" s="3">
        <v>2851.0</v>
      </c>
      <c r="B11387" s="3" t="s">
        <v>19423</v>
      </c>
      <c r="C11387" s="3" t="s">
        <v>11281</v>
      </c>
      <c r="D11387" s="3" t="s">
        <v>19275</v>
      </c>
      <c r="E11387" s="3" t="s">
        <v>19276</v>
      </c>
      <c r="F11387" s="3" t="s">
        <v>19275</v>
      </c>
    </row>
    <row r="11388">
      <c r="A11388" s="3">
        <v>2852.0</v>
      </c>
      <c r="B11388" s="3" t="s">
        <v>19423</v>
      </c>
      <c r="C11388" s="3" t="s">
        <v>11281</v>
      </c>
      <c r="D11388" s="3" t="s">
        <v>19277</v>
      </c>
      <c r="E11388" s="3" t="s">
        <v>19278</v>
      </c>
      <c r="F11388" s="3" t="s">
        <v>19277</v>
      </c>
    </row>
    <row r="11389">
      <c r="A11389" s="3">
        <v>2853.0</v>
      </c>
      <c r="B11389" s="3" t="s">
        <v>19423</v>
      </c>
      <c r="C11389" s="3" t="s">
        <v>11281</v>
      </c>
      <c r="D11389" s="3" t="s">
        <v>19279</v>
      </c>
      <c r="E11389" s="3" t="s">
        <v>19280</v>
      </c>
      <c r="F11389" s="3" t="s">
        <v>19279</v>
      </c>
    </row>
    <row r="11390">
      <c r="A11390" s="3">
        <v>2854.0</v>
      </c>
      <c r="B11390" s="3" t="s">
        <v>19423</v>
      </c>
      <c r="C11390" s="3" t="s">
        <v>11281</v>
      </c>
      <c r="D11390" s="3" t="s">
        <v>14855</v>
      </c>
      <c r="E11390" s="3" t="s">
        <v>14854</v>
      </c>
      <c r="F11390" s="3" t="s">
        <v>14855</v>
      </c>
      <c r="G11390" s="3"/>
      <c r="H11390" s="3" t="s">
        <v>19281</v>
      </c>
      <c r="I11390" s="3" t="s">
        <v>19282</v>
      </c>
      <c r="J11390" s="3" t="s">
        <v>19283</v>
      </c>
      <c r="K11390" s="3" t="s">
        <v>19284</v>
      </c>
      <c r="L11390" s="3" t="s">
        <v>4901</v>
      </c>
      <c r="M11390" s="3" t="s">
        <v>19285</v>
      </c>
      <c r="N11390" s="3" t="s">
        <v>19286</v>
      </c>
    </row>
    <row r="11391">
      <c r="A11391" s="3">
        <v>2855.0</v>
      </c>
      <c r="B11391" s="3" t="s">
        <v>19423</v>
      </c>
      <c r="C11391" s="3" t="s">
        <v>11281</v>
      </c>
      <c r="D11391" s="3" t="s">
        <v>14858</v>
      </c>
      <c r="E11391" s="3" t="s">
        <v>14857</v>
      </c>
      <c r="F11391" s="3" t="s">
        <v>14858</v>
      </c>
    </row>
    <row r="11392">
      <c r="A11392" s="3">
        <v>2856.0</v>
      </c>
      <c r="B11392" s="3" t="s">
        <v>19423</v>
      </c>
      <c r="C11392" s="3" t="s">
        <v>11281</v>
      </c>
      <c r="D11392" s="3" t="s">
        <v>19287</v>
      </c>
      <c r="E11392" s="3" t="s">
        <v>20491</v>
      </c>
      <c r="F11392" s="3" t="s">
        <v>20492</v>
      </c>
    </row>
    <row r="11393">
      <c r="A11393" s="3">
        <v>2857.0</v>
      </c>
      <c r="B11393" s="3" t="s">
        <v>19423</v>
      </c>
      <c r="C11393" s="3" t="s">
        <v>11281</v>
      </c>
      <c r="D11393" s="3" t="s">
        <v>19290</v>
      </c>
      <c r="E11393" s="3" t="s">
        <v>20493</v>
      </c>
      <c r="F11393" s="3" t="s">
        <v>20494</v>
      </c>
    </row>
    <row r="11394">
      <c r="A11394" s="3">
        <v>2858.0</v>
      </c>
      <c r="B11394" s="3" t="s">
        <v>19423</v>
      </c>
      <c r="C11394" s="3" t="s">
        <v>11281</v>
      </c>
      <c r="D11394" s="3" t="s">
        <v>19293</v>
      </c>
      <c r="E11394" s="3" t="s">
        <v>20495</v>
      </c>
      <c r="F11394" s="3" t="s">
        <v>20496</v>
      </c>
      <c r="G11394" s="3"/>
      <c r="H11394" s="3" t="s">
        <v>19235</v>
      </c>
      <c r="I11394" s="3" t="s">
        <v>699</v>
      </c>
      <c r="J11394" s="3" t="s">
        <v>19234</v>
      </c>
      <c r="K11394" s="3" t="s">
        <v>699</v>
      </c>
      <c r="L11394" s="3" t="s">
        <v>19235</v>
      </c>
      <c r="M11394" s="3" t="s">
        <v>19236</v>
      </c>
      <c r="N11394" s="3" t="s">
        <v>19237</v>
      </c>
      <c r="O11394" s="3" t="s">
        <v>19238</v>
      </c>
      <c r="P11394" s="3" t="s">
        <v>12860</v>
      </c>
      <c r="Q11394" s="3" t="s">
        <v>699</v>
      </c>
      <c r="R11394" s="3" t="s">
        <v>19239</v>
      </c>
    </row>
    <row r="11395">
      <c r="A11395" s="3">
        <v>2859.0</v>
      </c>
      <c r="B11395" s="3" t="s">
        <v>19423</v>
      </c>
      <c r="C11395" s="3" t="s">
        <v>11281</v>
      </c>
      <c r="D11395" s="3" t="s">
        <v>19296</v>
      </c>
      <c r="E11395" s="3" t="s">
        <v>20497</v>
      </c>
      <c r="F11395" s="3" t="s">
        <v>20498</v>
      </c>
    </row>
    <row r="11396">
      <c r="A11396" s="3">
        <v>2860.0</v>
      </c>
      <c r="B11396" s="3" t="s">
        <v>19423</v>
      </c>
      <c r="C11396" s="3" t="s">
        <v>11281</v>
      </c>
      <c r="D11396" s="3" t="s">
        <v>19299</v>
      </c>
      <c r="E11396" s="3" t="s">
        <v>20499</v>
      </c>
      <c r="F11396" s="3" t="s">
        <v>20500</v>
      </c>
    </row>
    <row r="11397">
      <c r="A11397" s="3">
        <v>2861.0</v>
      </c>
      <c r="B11397" s="3" t="s">
        <v>19423</v>
      </c>
      <c r="C11397" s="3" t="s">
        <v>11281</v>
      </c>
      <c r="D11397" s="3" t="s">
        <v>19302</v>
      </c>
      <c r="E11397" s="3" t="s">
        <v>20501</v>
      </c>
      <c r="F11397" s="3" t="s">
        <v>20502</v>
      </c>
    </row>
    <row r="11398">
      <c r="A11398" s="3">
        <v>2862.0</v>
      </c>
      <c r="B11398" s="3" t="s">
        <v>19423</v>
      </c>
      <c r="C11398" s="3" t="s">
        <v>11281</v>
      </c>
      <c r="D11398" s="3" t="s">
        <v>19305</v>
      </c>
      <c r="E11398" s="3" t="s">
        <v>20503</v>
      </c>
      <c r="F11398" s="3" t="s">
        <v>20504</v>
      </c>
    </row>
    <row r="11399">
      <c r="A11399" s="3">
        <v>2863.0</v>
      </c>
      <c r="B11399" s="3" t="s">
        <v>19423</v>
      </c>
      <c r="C11399" s="3" t="s">
        <v>11281</v>
      </c>
      <c r="D11399" s="3" t="s">
        <v>6708</v>
      </c>
      <c r="E11399" s="3" t="s">
        <v>2267</v>
      </c>
      <c r="F11399" s="3" t="s">
        <v>2268</v>
      </c>
      <c r="G11399" s="3"/>
      <c r="H11399" s="3" t="s">
        <v>6709</v>
      </c>
      <c r="I11399" s="3" t="s">
        <v>6708</v>
      </c>
      <c r="J11399" s="3" t="s">
        <v>6710</v>
      </c>
    </row>
    <row r="11400">
      <c r="A11400" s="3">
        <v>2864.0</v>
      </c>
      <c r="B11400" s="3" t="s">
        <v>19423</v>
      </c>
      <c r="C11400" s="3" t="s">
        <v>11281</v>
      </c>
      <c r="D11400" s="3" t="s">
        <v>19308</v>
      </c>
      <c r="E11400" s="3" t="s">
        <v>20505</v>
      </c>
      <c r="F11400" s="3" t="s">
        <v>20506</v>
      </c>
    </row>
    <row r="11401">
      <c r="A11401" s="3">
        <v>2865.0</v>
      </c>
      <c r="B11401" s="3" t="s">
        <v>19423</v>
      </c>
      <c r="C11401" s="3" t="s">
        <v>11281</v>
      </c>
      <c r="D11401" s="3" t="s">
        <v>19309</v>
      </c>
      <c r="E11401" s="3" t="s">
        <v>20507</v>
      </c>
      <c r="F11401" s="3" t="s">
        <v>20508</v>
      </c>
      <c r="G11401" s="3"/>
      <c r="H11401" s="3" t="s">
        <v>19312</v>
      </c>
      <c r="I11401" s="3" t="s">
        <v>19313</v>
      </c>
      <c r="J11401" s="3" t="s">
        <v>19314</v>
      </c>
      <c r="K11401" s="3" t="s">
        <v>19315</v>
      </c>
    </row>
    <row r="11402">
      <c r="A11402" s="3">
        <v>2866.0</v>
      </c>
      <c r="B11402" s="3" t="s">
        <v>19423</v>
      </c>
      <c r="C11402" s="3" t="s">
        <v>11281</v>
      </c>
      <c r="D11402" s="3" t="s">
        <v>19316</v>
      </c>
      <c r="E11402" s="3" t="s">
        <v>20509</v>
      </c>
      <c r="F11402" s="3" t="s">
        <v>20510</v>
      </c>
    </row>
    <row r="11403">
      <c r="A11403" s="3">
        <v>2867.0</v>
      </c>
      <c r="B11403" s="3" t="s">
        <v>19423</v>
      </c>
      <c r="C11403" s="3" t="s">
        <v>11281</v>
      </c>
      <c r="D11403" s="3" t="s">
        <v>19319</v>
      </c>
      <c r="E11403" s="3" t="s">
        <v>20511</v>
      </c>
      <c r="F11403" s="3" t="s">
        <v>20512</v>
      </c>
    </row>
    <row r="11404">
      <c r="A11404" s="3">
        <v>2868.0</v>
      </c>
      <c r="B11404" s="3" t="s">
        <v>19423</v>
      </c>
      <c r="C11404" s="3" t="s">
        <v>11281</v>
      </c>
      <c r="D11404" s="3" t="s">
        <v>19322</v>
      </c>
      <c r="E11404" s="3" t="s">
        <v>20513</v>
      </c>
      <c r="F11404" s="3" t="s">
        <v>20514</v>
      </c>
    </row>
    <row r="11405">
      <c r="A11405" s="3">
        <v>2869.0</v>
      </c>
      <c r="B11405" s="3" t="s">
        <v>19423</v>
      </c>
      <c r="C11405" s="3" t="s">
        <v>11281</v>
      </c>
      <c r="D11405" s="3" t="s">
        <v>19323</v>
      </c>
      <c r="E11405" s="3" t="s">
        <v>20515</v>
      </c>
      <c r="F11405" s="3" t="s">
        <v>20516</v>
      </c>
    </row>
    <row r="11406">
      <c r="A11406" s="3">
        <v>2870.0</v>
      </c>
      <c r="B11406" s="3" t="s">
        <v>19423</v>
      </c>
      <c r="C11406" s="3" t="s">
        <v>11281</v>
      </c>
      <c r="D11406" s="3" t="s">
        <v>19326</v>
      </c>
      <c r="E11406" s="3" t="s">
        <v>20517</v>
      </c>
      <c r="F11406" s="3" t="s">
        <v>20518</v>
      </c>
    </row>
    <row r="11407">
      <c r="A11407" s="3">
        <v>2871.0</v>
      </c>
      <c r="B11407" s="3" t="s">
        <v>19423</v>
      </c>
      <c r="C11407" s="3" t="s">
        <v>11281</v>
      </c>
      <c r="D11407" s="3" t="s">
        <v>19329</v>
      </c>
      <c r="E11407" s="3" t="s">
        <v>20519</v>
      </c>
      <c r="F11407" s="3" t="s">
        <v>20520</v>
      </c>
      <c r="G11407" s="3"/>
      <c r="H11407" s="3" t="s">
        <v>19330</v>
      </c>
      <c r="I11407" s="3" t="s">
        <v>19331</v>
      </c>
    </row>
    <row r="11408">
      <c r="A11408" s="3">
        <v>2872.0</v>
      </c>
      <c r="B11408" s="3" t="s">
        <v>19423</v>
      </c>
      <c r="C11408" s="3" t="s">
        <v>11281</v>
      </c>
      <c r="D11408" s="3" t="s">
        <v>19332</v>
      </c>
      <c r="E11408" s="3" t="s">
        <v>20521</v>
      </c>
      <c r="F11408" s="3" t="s">
        <v>20522</v>
      </c>
    </row>
    <row r="11409">
      <c r="A11409" s="3">
        <v>2873.0</v>
      </c>
      <c r="B11409" s="3" t="s">
        <v>19423</v>
      </c>
      <c r="C11409" s="3" t="s">
        <v>11281</v>
      </c>
      <c r="D11409" s="3" t="s">
        <v>19335</v>
      </c>
      <c r="E11409" s="3" t="s">
        <v>20523</v>
      </c>
      <c r="F11409" s="3" t="s">
        <v>20524</v>
      </c>
    </row>
    <row r="11410">
      <c r="A11410" s="3">
        <v>2874.0</v>
      </c>
      <c r="B11410" s="3" t="s">
        <v>19423</v>
      </c>
      <c r="C11410" s="3" t="s">
        <v>11281</v>
      </c>
      <c r="D11410" s="3" t="s">
        <v>19338</v>
      </c>
      <c r="E11410" s="3" t="s">
        <v>20525</v>
      </c>
      <c r="F11410" s="3" t="s">
        <v>20526</v>
      </c>
    </row>
    <row r="11411">
      <c r="A11411" s="3">
        <v>2875.0</v>
      </c>
      <c r="B11411" s="3" t="s">
        <v>19423</v>
      </c>
      <c r="C11411" s="3" t="s">
        <v>11281</v>
      </c>
      <c r="D11411" s="3" t="s">
        <v>19341</v>
      </c>
      <c r="E11411" s="3" t="s">
        <v>20527</v>
      </c>
      <c r="F11411" s="3" t="s">
        <v>20528</v>
      </c>
    </row>
    <row r="11412">
      <c r="A11412" s="3">
        <v>2876.0</v>
      </c>
      <c r="B11412" s="3" t="s">
        <v>19423</v>
      </c>
      <c r="C11412" s="3" t="s">
        <v>11281</v>
      </c>
      <c r="D11412" s="3" t="s">
        <v>19344</v>
      </c>
      <c r="E11412" s="3" t="s">
        <v>20529</v>
      </c>
      <c r="F11412" s="3" t="s">
        <v>20530</v>
      </c>
    </row>
    <row r="11413">
      <c r="A11413" s="3">
        <v>2877.0</v>
      </c>
      <c r="B11413" s="3" t="s">
        <v>19423</v>
      </c>
      <c r="C11413" s="3" t="s">
        <v>11281</v>
      </c>
      <c r="D11413" s="3" t="s">
        <v>19347</v>
      </c>
      <c r="E11413" s="3" t="s">
        <v>20531</v>
      </c>
      <c r="F11413" s="3" t="s">
        <v>20532</v>
      </c>
    </row>
    <row r="11414">
      <c r="A11414" s="3">
        <v>2878.0</v>
      </c>
      <c r="B11414" s="3" t="s">
        <v>19423</v>
      </c>
      <c r="C11414" s="3" t="s">
        <v>11281</v>
      </c>
      <c r="D11414" s="3" t="s">
        <v>19348</v>
      </c>
      <c r="E11414" s="3" t="s">
        <v>20533</v>
      </c>
      <c r="F11414" s="3" t="s">
        <v>20534</v>
      </c>
    </row>
    <row r="11415">
      <c r="A11415" s="3">
        <v>2879.0</v>
      </c>
      <c r="B11415" s="3" t="s">
        <v>19423</v>
      </c>
      <c r="C11415" s="3" t="s">
        <v>11281</v>
      </c>
      <c r="D11415" s="3" t="s">
        <v>19351</v>
      </c>
      <c r="E11415" s="3" t="s">
        <v>20535</v>
      </c>
      <c r="F11415" s="3" t="s">
        <v>20536</v>
      </c>
    </row>
    <row r="11416">
      <c r="A11416" s="3">
        <v>2880.0</v>
      </c>
      <c r="B11416" s="3" t="s">
        <v>19423</v>
      </c>
      <c r="C11416" s="3" t="s">
        <v>11281</v>
      </c>
      <c r="D11416" s="3" t="s">
        <v>19354</v>
      </c>
      <c r="E11416" s="3" t="s">
        <v>20537</v>
      </c>
      <c r="F11416" s="3" t="s">
        <v>20538</v>
      </c>
    </row>
    <row r="11417">
      <c r="A11417" s="3">
        <v>2881.0</v>
      </c>
      <c r="B11417" s="3" t="s">
        <v>19423</v>
      </c>
      <c r="C11417" s="3" t="s">
        <v>11281</v>
      </c>
      <c r="D11417" s="3" t="s">
        <v>19357</v>
      </c>
      <c r="E11417" s="3" t="s">
        <v>20539</v>
      </c>
      <c r="F11417" s="3" t="s">
        <v>20540</v>
      </c>
    </row>
    <row r="11418">
      <c r="A11418" s="3">
        <v>2882.0</v>
      </c>
      <c r="B11418" s="3" t="s">
        <v>19423</v>
      </c>
      <c r="C11418" s="3" t="s">
        <v>11281</v>
      </c>
      <c r="D11418" s="3" t="s">
        <v>19360</v>
      </c>
      <c r="E11418" s="3" t="s">
        <v>20541</v>
      </c>
      <c r="F11418" s="3" t="s">
        <v>20542</v>
      </c>
    </row>
    <row r="11419">
      <c r="A11419" s="3">
        <v>2883.0</v>
      </c>
      <c r="B11419" s="3" t="s">
        <v>19423</v>
      </c>
      <c r="C11419" s="3" t="s">
        <v>11281</v>
      </c>
      <c r="D11419" s="3" t="s">
        <v>19363</v>
      </c>
      <c r="E11419" s="3" t="s">
        <v>20543</v>
      </c>
      <c r="F11419" s="3" t="s">
        <v>20544</v>
      </c>
    </row>
    <row r="11420">
      <c r="A11420" s="3">
        <v>2884.0</v>
      </c>
      <c r="B11420" s="3" t="s">
        <v>19423</v>
      </c>
      <c r="C11420" s="3" t="s">
        <v>11281</v>
      </c>
      <c r="D11420" s="3" t="s">
        <v>19366</v>
      </c>
      <c r="E11420" s="3" t="s">
        <v>20545</v>
      </c>
      <c r="F11420" s="3" t="s">
        <v>20546</v>
      </c>
    </row>
    <row r="11421">
      <c r="A11421" s="3">
        <v>2885.0</v>
      </c>
      <c r="B11421" s="3" t="s">
        <v>19423</v>
      </c>
      <c r="C11421" s="3" t="s">
        <v>11281</v>
      </c>
      <c r="D11421" s="3" t="s">
        <v>19369</v>
      </c>
      <c r="E11421" s="3" t="s">
        <v>20547</v>
      </c>
      <c r="F11421" s="3" t="s">
        <v>20548</v>
      </c>
    </row>
    <row r="11422">
      <c r="A11422" s="3">
        <v>2886.0</v>
      </c>
      <c r="B11422" s="3" t="s">
        <v>19423</v>
      </c>
      <c r="C11422" s="3" t="s">
        <v>11281</v>
      </c>
      <c r="D11422" s="3" t="s">
        <v>19372</v>
      </c>
      <c r="E11422" s="3" t="s">
        <v>20549</v>
      </c>
      <c r="F11422" s="3" t="s">
        <v>20550</v>
      </c>
    </row>
    <row r="11423">
      <c r="A11423" s="3">
        <v>2887.0</v>
      </c>
      <c r="B11423" s="3" t="s">
        <v>19423</v>
      </c>
      <c r="C11423" s="3" t="s">
        <v>11281</v>
      </c>
      <c r="D11423" s="3" t="s">
        <v>19375</v>
      </c>
      <c r="E11423" s="3" t="s">
        <v>20551</v>
      </c>
      <c r="F11423" s="3" t="s">
        <v>20552</v>
      </c>
    </row>
    <row r="11424">
      <c r="A11424" s="3">
        <v>2888.0</v>
      </c>
      <c r="B11424" s="3" t="s">
        <v>19423</v>
      </c>
      <c r="C11424" s="3" t="s">
        <v>11281</v>
      </c>
      <c r="D11424" s="3" t="s">
        <v>19378</v>
      </c>
      <c r="E11424" s="3" t="s">
        <v>20553</v>
      </c>
      <c r="F11424" s="3" t="s">
        <v>20554</v>
      </c>
    </row>
    <row r="11425">
      <c r="A11425" s="3">
        <v>2889.0</v>
      </c>
      <c r="B11425" s="3" t="s">
        <v>19423</v>
      </c>
      <c r="C11425" s="3" t="s">
        <v>11281</v>
      </c>
      <c r="D11425" s="3" t="s">
        <v>19379</v>
      </c>
      <c r="E11425" s="3" t="s">
        <v>20555</v>
      </c>
      <c r="F11425" s="3" t="s">
        <v>20556</v>
      </c>
    </row>
    <row r="11426">
      <c r="A11426" s="3">
        <v>2890.0</v>
      </c>
      <c r="B11426" s="3" t="s">
        <v>19423</v>
      </c>
      <c r="C11426" s="3" t="s">
        <v>11281</v>
      </c>
      <c r="D11426" s="3" t="s">
        <v>19382</v>
      </c>
      <c r="E11426" s="3" t="s">
        <v>20557</v>
      </c>
      <c r="F11426" s="3" t="s">
        <v>20558</v>
      </c>
    </row>
    <row r="11427">
      <c r="A11427" s="3">
        <v>2891.0</v>
      </c>
      <c r="B11427" s="3" t="s">
        <v>19423</v>
      </c>
      <c r="C11427" s="3" t="s">
        <v>11281</v>
      </c>
      <c r="D11427" s="3" t="s">
        <v>19383</v>
      </c>
      <c r="E11427" s="3" t="s">
        <v>20559</v>
      </c>
      <c r="F11427" s="3" t="s">
        <v>20560</v>
      </c>
      <c r="G11427" s="3"/>
      <c r="H11427" s="3" t="s">
        <v>19386</v>
      </c>
      <c r="I11427" s="3" t="s">
        <v>19387</v>
      </c>
      <c r="J11427" s="3" t="s">
        <v>19388</v>
      </c>
      <c r="K11427" s="3" t="s">
        <v>19389</v>
      </c>
      <c r="L11427" s="3" t="s">
        <v>19390</v>
      </c>
    </row>
    <row r="11428">
      <c r="A11428" s="3">
        <v>2892.0</v>
      </c>
      <c r="B11428" s="3" t="s">
        <v>19423</v>
      </c>
      <c r="C11428" s="3" t="s">
        <v>11281</v>
      </c>
      <c r="D11428" s="3" t="s">
        <v>19391</v>
      </c>
      <c r="E11428" s="3" t="s">
        <v>20561</v>
      </c>
      <c r="F11428" s="3" t="s">
        <v>20562</v>
      </c>
    </row>
    <row r="11429">
      <c r="A11429" s="3">
        <v>2893.0</v>
      </c>
      <c r="B11429" s="3" t="s">
        <v>19423</v>
      </c>
      <c r="C11429" s="3" t="s">
        <v>11281</v>
      </c>
      <c r="D11429" s="3" t="s">
        <v>19394</v>
      </c>
      <c r="E11429" s="3" t="s">
        <v>20563</v>
      </c>
      <c r="F11429" s="3" t="s">
        <v>20564</v>
      </c>
    </row>
    <row r="11430">
      <c r="A11430" s="3">
        <v>2894.0</v>
      </c>
      <c r="B11430" s="3" t="s">
        <v>19423</v>
      </c>
      <c r="C11430" s="3" t="s">
        <v>11281</v>
      </c>
      <c r="D11430" s="3" t="s">
        <v>19395</v>
      </c>
      <c r="E11430" s="3" t="s">
        <v>20565</v>
      </c>
      <c r="F11430" s="3" t="s">
        <v>20566</v>
      </c>
    </row>
    <row r="11431">
      <c r="A11431" s="3">
        <v>2895.0</v>
      </c>
      <c r="B11431" s="3" t="s">
        <v>19423</v>
      </c>
      <c r="C11431" s="3" t="s">
        <v>11281</v>
      </c>
      <c r="D11431" s="3" t="s">
        <v>19396</v>
      </c>
      <c r="E11431" s="3" t="s">
        <v>20567</v>
      </c>
      <c r="F11431" s="3" t="s">
        <v>20568</v>
      </c>
    </row>
    <row r="11432">
      <c r="A11432" s="3">
        <v>2896.0</v>
      </c>
      <c r="B11432" s="3" t="s">
        <v>19423</v>
      </c>
      <c r="C11432" s="3" t="s">
        <v>11281</v>
      </c>
      <c r="D11432" s="3" t="s">
        <v>19399</v>
      </c>
      <c r="E11432" s="3" t="s">
        <v>20569</v>
      </c>
      <c r="F11432" s="3" t="s">
        <v>20570</v>
      </c>
    </row>
    <row r="11433">
      <c r="A11433" s="3">
        <v>2897.0</v>
      </c>
      <c r="B11433" s="3" t="s">
        <v>19423</v>
      </c>
      <c r="C11433" s="3" t="s">
        <v>11281</v>
      </c>
      <c r="D11433" s="3" t="s">
        <v>19402</v>
      </c>
      <c r="E11433" s="3" t="s">
        <v>20571</v>
      </c>
      <c r="F11433" s="3" t="s">
        <v>20572</v>
      </c>
    </row>
    <row r="11434">
      <c r="A11434" s="3">
        <v>2898.0</v>
      </c>
      <c r="B11434" s="3" t="s">
        <v>19423</v>
      </c>
      <c r="C11434" s="3" t="s">
        <v>11281</v>
      </c>
      <c r="D11434" s="3" t="s">
        <v>19405</v>
      </c>
      <c r="E11434" s="3" t="s">
        <v>20573</v>
      </c>
      <c r="F11434" s="3" t="s">
        <v>20574</v>
      </c>
    </row>
    <row r="11435">
      <c r="A11435" s="3">
        <v>2899.0</v>
      </c>
      <c r="B11435" s="3" t="s">
        <v>19423</v>
      </c>
      <c r="C11435" s="3" t="s">
        <v>11281</v>
      </c>
      <c r="D11435" s="3" t="s">
        <v>19408</v>
      </c>
      <c r="E11435" s="3" t="s">
        <v>20575</v>
      </c>
      <c r="F11435" s="3" t="s">
        <v>20576</v>
      </c>
    </row>
    <row r="11436">
      <c r="A11436" s="3">
        <v>2900.0</v>
      </c>
      <c r="B11436" s="3" t="s">
        <v>19423</v>
      </c>
      <c r="C11436" s="3" t="s">
        <v>11281</v>
      </c>
      <c r="D11436" s="3" t="s">
        <v>19411</v>
      </c>
      <c r="E11436" s="3" t="s">
        <v>20577</v>
      </c>
      <c r="F11436" s="3" t="s">
        <v>20578</v>
      </c>
    </row>
    <row r="11437">
      <c r="A11437" s="3">
        <v>2901.0</v>
      </c>
      <c r="B11437" s="3" t="s">
        <v>19423</v>
      </c>
      <c r="C11437" s="3" t="s">
        <v>11281</v>
      </c>
      <c r="D11437" s="3" t="s">
        <v>19414</v>
      </c>
      <c r="E11437" s="3" t="s">
        <v>20579</v>
      </c>
      <c r="F11437" s="3" t="s">
        <v>20580</v>
      </c>
    </row>
    <row r="11438">
      <c r="A11438" s="3">
        <v>2902.0</v>
      </c>
      <c r="B11438" s="3" t="s">
        <v>19423</v>
      </c>
      <c r="C11438" s="3" t="s">
        <v>11281</v>
      </c>
      <c r="D11438" s="3" t="s">
        <v>19417</v>
      </c>
      <c r="E11438" s="3" t="s">
        <v>20581</v>
      </c>
      <c r="F11438" s="3" t="s">
        <v>20582</v>
      </c>
    </row>
    <row r="11439">
      <c r="A11439" s="3">
        <v>2903.0</v>
      </c>
      <c r="B11439" s="3" t="s">
        <v>19423</v>
      </c>
      <c r="C11439" s="3" t="s">
        <v>11281</v>
      </c>
      <c r="D11439" s="3" t="s">
        <v>19420</v>
      </c>
      <c r="E11439" s="3" t="s">
        <v>20583</v>
      </c>
      <c r="F11439" s="3" t="s">
        <v>20584</v>
      </c>
    </row>
    <row r="11440">
      <c r="A11440" s="3">
        <v>1.0</v>
      </c>
      <c r="B11440" s="3" t="s">
        <v>20585</v>
      </c>
      <c r="C11440" s="3" t="s">
        <v>20586</v>
      </c>
      <c r="D11440" s="3" t="s">
        <v>199</v>
      </c>
      <c r="E11440" s="3" t="s">
        <v>192</v>
      </c>
      <c r="F11440" s="3" t="s">
        <v>191</v>
      </c>
      <c r="G11440" s="4" t="str">
        <f>IFERROR(__xludf.DUMMYFUNCTION("GOOGLETRANSLATE(D11440,""sv"",""es"")"),"a")</f>
        <v>a</v>
      </c>
    </row>
    <row r="11441">
      <c r="A11441" s="3">
        <v>2.0</v>
      </c>
      <c r="B11441" s="3" t="s">
        <v>20585</v>
      </c>
      <c r="C11441" s="3" t="s">
        <v>20586</v>
      </c>
      <c r="D11441" s="3" t="s">
        <v>20587</v>
      </c>
      <c r="E11441" s="3" t="s">
        <v>479</v>
      </c>
      <c r="F11441" s="3" t="s">
        <v>480</v>
      </c>
      <c r="G11441" s="4" t="str">
        <f>IFERROR(__xludf.DUMMYFUNCTION("GOOGLETRANSLATE(D11441,""sv"",""es"")"),"à la")</f>
        <v>à la</v>
      </c>
    </row>
    <row r="11442">
      <c r="A11442" s="3">
        <v>3.0</v>
      </c>
      <c r="B11442" s="3" t="s">
        <v>20585</v>
      </c>
      <c r="C11442" s="3" t="s">
        <v>20586</v>
      </c>
      <c r="D11442" s="3" t="s">
        <v>20588</v>
      </c>
      <c r="E11442" s="3" t="s">
        <v>20589</v>
      </c>
      <c r="F11442" s="3" t="s">
        <v>20590</v>
      </c>
      <c r="G11442" s="4" t="str">
        <f>IFERROR(__xludf.DUMMYFUNCTION("GOOGLETRANSLATE(D11442,""sv"",""es"")"),"mononucleosis infecciosa-")</f>
        <v>mononucleosis infecciosa-</v>
      </c>
    </row>
  </sheetData>
  <autoFilter ref="$A$1:$CO$11442">
    <sortState ref="A1:CO11442">
      <sortCondition ref="C1:C11442"/>
    </sortState>
  </autoFilter>
  <drawing r:id="rId1"/>
</worksheet>
</file>