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9195" windowHeight="8445" tabRatio="375" activeTab="1"/>
  </bookViews>
  <sheets>
    <sheet name="EQUIPO 64" sheetId="1" r:id="rId1"/>
    <sheet name="EQUIPO 65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25" i="1"/>
  <c r="H25" i="2"/>
  <c r="G25"/>
  <c r="C9"/>
  <c r="C36" i="1"/>
  <c r="C37" s="1"/>
  <c r="J5"/>
  <c r="G43"/>
  <c r="F40" i="2"/>
  <c r="G40" s="1"/>
  <c r="D45" i="1"/>
  <c r="G25"/>
  <c r="F43"/>
  <c r="C18"/>
  <c r="C7" s="1"/>
  <c r="C9"/>
  <c r="D36" i="2"/>
  <c r="J25" i="1"/>
  <c r="D39"/>
  <c r="D40" s="1"/>
  <c r="D41" s="1"/>
  <c r="J24"/>
  <c r="J23"/>
  <c r="I23"/>
  <c r="C25" i="2"/>
  <c r="C32" i="1"/>
  <c r="C31"/>
  <c r="D42"/>
  <c r="D46"/>
  <c r="C14"/>
  <c r="C17" s="1"/>
  <c r="C17" i="2"/>
  <c r="C16"/>
  <c r="C15"/>
  <c r="C13"/>
  <c r="C12"/>
  <c r="C33"/>
  <c r="C32"/>
  <c r="C14" s="1"/>
  <c r="C13" i="1"/>
  <c r="C12"/>
  <c r="H27"/>
  <c r="I5"/>
  <c r="F26" i="2"/>
  <c r="O21"/>
  <c r="N21"/>
  <c r="C21"/>
  <c r="C34"/>
  <c r="G8"/>
  <c r="G6" s="1"/>
  <c r="G9"/>
  <c r="G10"/>
  <c r="G12"/>
  <c r="G11"/>
  <c r="G7"/>
  <c r="D43"/>
  <c r="D40"/>
  <c r="D39"/>
  <c r="C29"/>
  <c r="F28"/>
  <c r="C28"/>
  <c r="F27"/>
  <c r="C27"/>
  <c r="C26"/>
  <c r="F24"/>
  <c r="C24"/>
  <c r="F23"/>
  <c r="C23"/>
  <c r="F22"/>
  <c r="C22"/>
  <c r="C18"/>
  <c r="C7" s="1"/>
  <c r="D43" i="1"/>
  <c r="G6"/>
  <c r="C34"/>
  <c r="C33"/>
  <c r="F28"/>
  <c r="F27"/>
  <c r="F26"/>
  <c r="F24"/>
  <c r="F23"/>
  <c r="F22"/>
  <c r="J21"/>
  <c r="C29"/>
  <c r="C28"/>
  <c r="C27"/>
  <c r="C26"/>
  <c r="C25"/>
  <c r="C24"/>
  <c r="C23"/>
  <c r="C22"/>
  <c r="C21"/>
  <c r="C15"/>
  <c r="D37" i="2" l="1"/>
  <c r="D38" s="1"/>
  <c r="C16" i="1"/>
  <c r="C6" i="2"/>
  <c r="C5" s="1"/>
  <c r="I6" l="1"/>
  <c r="I5"/>
  <c r="C6" i="1"/>
  <c r="C5" s="1"/>
</calcChain>
</file>

<file path=xl/sharedStrings.xml><?xml version="1.0" encoding="utf-8"?>
<sst xmlns="http://schemas.openxmlformats.org/spreadsheetml/2006/main" count="180" uniqueCount="82">
  <si>
    <t>Q</t>
  </si>
  <si>
    <t>BTU/Hr</t>
  </si>
  <si>
    <t>U</t>
  </si>
  <si>
    <t>BTU/(Hr ºF Ft2)</t>
  </si>
  <si>
    <t>As</t>
  </si>
  <si>
    <t>Ft2</t>
  </si>
  <si>
    <t>LMTD</t>
  </si>
  <si>
    <t>T1</t>
  </si>
  <si>
    <t>T2</t>
  </si>
  <si>
    <t>Ts</t>
  </si>
  <si>
    <t>ºF</t>
  </si>
  <si>
    <t>TR</t>
  </si>
  <si>
    <t>ITD</t>
  </si>
  <si>
    <t>TTD</t>
  </si>
  <si>
    <t>U1</t>
  </si>
  <si>
    <t>Lb/Hr</t>
  </si>
  <si>
    <t>BTU/Lb</t>
  </si>
  <si>
    <t>VALIDACIÓN DEL CONDENSADOR PRINCIPAL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</si>
  <si>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</si>
  <si>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</si>
  <si>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</si>
  <si>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</si>
  <si>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</si>
  <si>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</si>
  <si>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</si>
  <si>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</si>
  <si>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</si>
  <si>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Kg/m3</t>
  </si>
  <si>
    <t>ºC</t>
  </si>
  <si>
    <t>Diametro exte.Tubo</t>
  </si>
  <si>
    <t>mm</t>
  </si>
  <si>
    <t>Espesor tubos</t>
  </si>
  <si>
    <t>Factor de limpieza</t>
  </si>
  <si>
    <t>Factor de material</t>
  </si>
  <si>
    <t>Longitud tubos</t>
  </si>
  <si>
    <t xml:space="preserve">m </t>
  </si>
  <si>
    <t>Caudal Agua circul.</t>
  </si>
  <si>
    <t>m/sg</t>
  </si>
  <si>
    <t>Densid. Agua circul.</t>
  </si>
  <si>
    <t>Superf. Efect. Total</t>
  </si>
  <si>
    <t>m2</t>
  </si>
  <si>
    <t>NºpasosxNºpresiones</t>
  </si>
  <si>
    <t>T1 entrada agua circulacion</t>
  </si>
  <si>
    <t>Psat</t>
  </si>
  <si>
    <t>Bar</t>
  </si>
  <si>
    <t>Tsat</t>
  </si>
  <si>
    <t>Perímetro Tubos</t>
  </si>
  <si>
    <t>m</t>
  </si>
  <si>
    <t>Area tubo</t>
  </si>
  <si>
    <t>Nº Tubos</t>
  </si>
  <si>
    <t>Uds.</t>
  </si>
  <si>
    <t>1"</t>
  </si>
  <si>
    <t>m3/sg</t>
  </si>
  <si>
    <t>Veloc. Tubos</t>
  </si>
  <si>
    <t>ft/sg</t>
  </si>
  <si>
    <t>Dia. Tubos</t>
  </si>
  <si>
    <t>inche</t>
  </si>
  <si>
    <t>Factor T entrada agua</t>
  </si>
  <si>
    <t>H1</t>
  </si>
  <si>
    <t>W1</t>
  </si>
  <si>
    <t>W2</t>
  </si>
  <si>
    <t>H2</t>
  </si>
  <si>
    <t>W3</t>
  </si>
  <si>
    <t>H3</t>
  </si>
  <si>
    <t>EJEMPLO DIEZ.DAT CICLO CNN LAGUNA VERDE</t>
  </si>
  <si>
    <t>kg/sg</t>
  </si>
  <si>
    <t>kj/kg</t>
  </si>
  <si>
    <t>kj/sg</t>
  </si>
  <si>
    <t>W1 (corr.101)</t>
  </si>
  <si>
    <t>H1 (corr.101)</t>
  </si>
  <si>
    <t>W2 (corr.104)</t>
  </si>
  <si>
    <t>W3 (corr.116)</t>
  </si>
  <si>
    <t>H2 (corr.104)</t>
  </si>
  <si>
    <t>EQUIPO 65</t>
  </si>
  <si>
    <t>EQUIPO 64</t>
  </si>
  <si>
    <t>H3 (corr.116)</t>
  </si>
  <si>
    <t>kW</t>
  </si>
  <si>
    <t>En este caso la temperatura viene fijada por el condensador 64:</t>
  </si>
  <si>
    <t>Nº Equipo del condensador que fija la temperatura</t>
  </si>
  <si>
    <t>m2/area hidraulica de un tubo</t>
  </si>
  <si>
    <t>m3/sg un tubo</t>
  </si>
  <si>
    <t>D</t>
  </si>
</sst>
</file>

<file path=xl/styles.xml><?xml version="1.0" encoding="utf-8"?>
<styleSheet xmlns="http://schemas.openxmlformats.org/spreadsheetml/2006/main">
  <numFmts count="6">
    <numFmt numFmtId="164" formatCode="#.##0"/>
    <numFmt numFmtId="165" formatCode="#.##00"/>
    <numFmt numFmtId="166" formatCode="#.##000"/>
    <numFmt numFmtId="167" formatCode="0.000"/>
    <numFmt numFmtId="168" formatCode="#.000"/>
    <numFmt numFmtId="169" formatCode="0.0000"/>
  </numFmts>
  <fonts count="3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3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5" xfId="0" applyFill="1" applyBorder="1"/>
    <xf numFmtId="166" fontId="0" fillId="0" borderId="0" xfId="0" applyNumberFormat="1"/>
    <xf numFmtId="0" fontId="0" fillId="0" borderId="7" xfId="0" applyBorder="1"/>
    <xf numFmtId="0" fontId="0" fillId="0" borderId="8" xfId="0" applyBorder="1"/>
    <xf numFmtId="167" fontId="0" fillId="0" borderId="0" xfId="0" applyNumberFormat="1"/>
    <xf numFmtId="168" fontId="0" fillId="0" borderId="0" xfId="0" applyNumberFormat="1"/>
    <xf numFmtId="0" fontId="0" fillId="3" borderId="0" xfId="0" applyFill="1"/>
    <xf numFmtId="0" fontId="1" fillId="3" borderId="0" xfId="0" applyFont="1" applyFill="1"/>
    <xf numFmtId="165" fontId="0" fillId="3" borderId="0" xfId="0" applyNumberFormat="1" applyFill="1"/>
    <xf numFmtId="169" fontId="0" fillId="0" borderId="0" xfId="0" applyNumberFormat="1"/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46"/>
  <sheetViews>
    <sheetView workbookViewId="0">
      <selection activeCell="H26" sqref="H26"/>
    </sheetView>
  </sheetViews>
  <sheetFormatPr baseColWidth="10" defaultRowHeight="12.75"/>
  <cols>
    <col min="1" max="1" width="4.85546875" customWidth="1"/>
    <col min="2" max="2" width="6.85546875" customWidth="1"/>
    <col min="3" max="3" width="14" customWidth="1"/>
    <col min="5" max="5" width="7.85546875" customWidth="1"/>
    <col min="6" max="6" width="8" customWidth="1"/>
    <col min="7" max="7" width="7.140625" customWidth="1"/>
  </cols>
  <sheetData>
    <row r="1" spans="2:10">
      <c r="B1" t="s">
        <v>64</v>
      </c>
    </row>
    <row r="3" spans="2:10" ht="15.75">
      <c r="B3" s="2" t="s">
        <v>17</v>
      </c>
    </row>
    <row r="4" spans="2:10" ht="15.75">
      <c r="B4" s="2"/>
    </row>
    <row r="5" spans="2:10" ht="15" customHeight="1" thickBot="1">
      <c r="C5">
        <f>C6*0.0002928104</f>
        <v>797772.12364581577</v>
      </c>
      <c r="D5" t="s">
        <v>76</v>
      </c>
      <c r="F5" t="s">
        <v>74</v>
      </c>
      <c r="I5" s="10">
        <f>750759</f>
        <v>750759</v>
      </c>
      <c r="J5">
        <f>C5/I5</f>
        <v>1.0626207926189573</v>
      </c>
    </row>
    <row r="6" spans="2:10">
      <c r="B6" s="3" t="s">
        <v>0</v>
      </c>
      <c r="C6" s="6">
        <f>C7*C8*C9</f>
        <v>2724534796.7347326</v>
      </c>
      <c r="D6" t="s">
        <v>1</v>
      </c>
      <c r="F6" s="3" t="s">
        <v>0</v>
      </c>
      <c r="G6" s="6">
        <f>(G8-G9)*G7</f>
        <v>0</v>
      </c>
      <c r="H6" t="s">
        <v>1</v>
      </c>
    </row>
    <row r="7" spans="2:10">
      <c r="B7" s="4" t="s">
        <v>2</v>
      </c>
      <c r="C7" s="7">
        <f>C18*F24*F25*D46</f>
        <v>677.22933575000002</v>
      </c>
      <c r="D7" t="s">
        <v>3</v>
      </c>
      <c r="F7" s="4" t="s">
        <v>59</v>
      </c>
      <c r="G7" s="7"/>
      <c r="H7" t="s">
        <v>15</v>
      </c>
    </row>
    <row r="8" spans="2:10">
      <c r="B8" s="4" t="s">
        <v>4</v>
      </c>
      <c r="C8" s="7">
        <v>255739.7</v>
      </c>
      <c r="D8" t="s">
        <v>5</v>
      </c>
      <c r="F8" s="4" t="s">
        <v>58</v>
      </c>
      <c r="G8" s="7"/>
      <c r="H8" t="s">
        <v>16</v>
      </c>
    </row>
    <row r="9" spans="2:10" ht="13.5" thickBot="1">
      <c r="B9" s="5" t="s">
        <v>6</v>
      </c>
      <c r="C9" s="8">
        <f>((C15)/(LN(C16/C17)))</f>
        <v>15.731076579514827</v>
      </c>
      <c r="D9" t="s">
        <v>10</v>
      </c>
      <c r="F9" s="17" t="s">
        <v>60</v>
      </c>
      <c r="G9" s="18"/>
      <c r="H9" t="s">
        <v>16</v>
      </c>
    </row>
    <row r="10" spans="2:10">
      <c r="B10" s="9"/>
      <c r="C10" s="9"/>
      <c r="F10" s="4" t="s">
        <v>61</v>
      </c>
      <c r="G10" s="7"/>
    </row>
    <row r="11" spans="2:10" ht="13.5" thickBot="1">
      <c r="F11" s="4" t="s">
        <v>62</v>
      </c>
      <c r="G11" s="7"/>
    </row>
    <row r="12" spans="2:10" ht="13.5" thickBot="1">
      <c r="B12" s="12" t="s">
        <v>7</v>
      </c>
      <c r="C12" s="13">
        <f>(C34*9/5)+32</f>
        <v>82.4</v>
      </c>
      <c r="D12" t="s">
        <v>10</v>
      </c>
      <c r="F12" s="5" t="s">
        <v>63</v>
      </c>
      <c r="G12" s="8"/>
    </row>
    <row r="13" spans="2:10">
      <c r="B13" s="14" t="s">
        <v>8</v>
      </c>
      <c r="C13" s="15">
        <f>(C33*9/5)+32</f>
        <v>94.250119999999995</v>
      </c>
      <c r="D13" t="s">
        <v>10</v>
      </c>
    </row>
    <row r="14" spans="2:10">
      <c r="B14" s="14" t="s">
        <v>9</v>
      </c>
      <c r="C14" s="15">
        <f>(C32*9/5)+32</f>
        <v>104.79308</v>
      </c>
      <c r="D14" t="s">
        <v>10</v>
      </c>
    </row>
    <row r="15" spans="2:10">
      <c r="B15" s="14" t="s">
        <v>11</v>
      </c>
      <c r="C15" s="15">
        <f>C13-C12</f>
        <v>11.85011999999999</v>
      </c>
      <c r="D15" t="s">
        <v>10</v>
      </c>
    </row>
    <row r="16" spans="2:10">
      <c r="B16" s="14" t="s">
        <v>12</v>
      </c>
      <c r="C16" s="15">
        <f>C14-C12</f>
        <v>22.393079999999998</v>
      </c>
      <c r="D16" t="s">
        <v>10</v>
      </c>
    </row>
    <row r="17" spans="2:11">
      <c r="B17" s="14" t="s">
        <v>13</v>
      </c>
      <c r="C17" s="15">
        <f>C14-C13</f>
        <v>10.542960000000008</v>
      </c>
      <c r="D17" t="s">
        <v>10</v>
      </c>
    </row>
    <row r="18" spans="2:11" ht="13.5" thickBot="1">
      <c r="B18" s="5" t="s">
        <v>14</v>
      </c>
      <c r="C18" s="8">
        <f>D45</f>
        <v>724.4</v>
      </c>
      <c r="D18" t="s">
        <v>3</v>
      </c>
    </row>
    <row r="21" spans="2:11">
      <c r="B21" s="1" t="s">
        <v>18</v>
      </c>
      <c r="C21" s="11">
        <f>1027.028</f>
        <v>1027.028</v>
      </c>
      <c r="D21" t="s">
        <v>38</v>
      </c>
      <c r="F21">
        <v>1027</v>
      </c>
      <c r="G21" t="s">
        <v>27</v>
      </c>
      <c r="H21" t="s">
        <v>42</v>
      </c>
      <c r="J21">
        <f>0.028*1000</f>
        <v>28</v>
      </c>
      <c r="K21" t="s">
        <v>28</v>
      </c>
    </row>
    <row r="22" spans="2:11">
      <c r="B22" s="1" t="s">
        <v>19</v>
      </c>
      <c r="C22">
        <f>25.4</f>
        <v>25.4</v>
      </c>
      <c r="D22" t="s">
        <v>29</v>
      </c>
      <c r="F22">
        <f>25.4</f>
        <v>25.4</v>
      </c>
      <c r="G22" t="s">
        <v>30</v>
      </c>
      <c r="H22" t="s">
        <v>51</v>
      </c>
    </row>
    <row r="23" spans="2:11">
      <c r="B23" s="1" t="s">
        <v>20</v>
      </c>
      <c r="C23">
        <f>0.508</f>
        <v>0.50800000000000001</v>
      </c>
      <c r="D23" t="s">
        <v>31</v>
      </c>
      <c r="F23">
        <f>0.508</f>
        <v>0.50800000000000001</v>
      </c>
      <c r="G23" t="s">
        <v>30</v>
      </c>
      <c r="I23">
        <f>F22-(F23*2)</f>
        <v>24.384</v>
      </c>
      <c r="J23">
        <f>3.14159*(I23/1000)*(I23/1000)/4</f>
        <v>4.6698121829375996E-4</v>
      </c>
      <c r="K23" t="s">
        <v>79</v>
      </c>
    </row>
    <row r="24" spans="2:11">
      <c r="B24" s="1" t="s">
        <v>21</v>
      </c>
      <c r="C24">
        <f>0.95</f>
        <v>0.95</v>
      </c>
      <c r="D24" t="s">
        <v>33</v>
      </c>
      <c r="F24">
        <f>0.95</f>
        <v>0.95</v>
      </c>
      <c r="J24">
        <f>D42*J23</f>
        <v>1.0798473691824904E-3</v>
      </c>
      <c r="K24" t="s">
        <v>80</v>
      </c>
    </row>
    <row r="25" spans="2:11">
      <c r="B25" s="1" t="s">
        <v>22</v>
      </c>
      <c r="C25">
        <f>0.935</f>
        <v>0.93500000000000005</v>
      </c>
      <c r="D25" t="s">
        <v>32</v>
      </c>
      <c r="F25" s="19">
        <v>0.93500000000000005</v>
      </c>
      <c r="G25">
        <f>F25/1.011</f>
        <v>0.92482690405539081</v>
      </c>
      <c r="H25">
        <f>G25/F25</f>
        <v>0.98911968348170132</v>
      </c>
      <c r="J25">
        <f>J24*D41</f>
        <v>27.760185676663269</v>
      </c>
    </row>
    <row r="26" spans="2:11">
      <c r="B26" s="1" t="s">
        <v>23</v>
      </c>
      <c r="C26">
        <f>11.582</f>
        <v>11.582000000000001</v>
      </c>
      <c r="D26" t="s">
        <v>34</v>
      </c>
      <c r="F26">
        <f>11.582</f>
        <v>11.582000000000001</v>
      </c>
      <c r="G26" t="s">
        <v>35</v>
      </c>
    </row>
    <row r="27" spans="2:11">
      <c r="B27" s="1" t="s">
        <v>24</v>
      </c>
      <c r="C27">
        <f>27.76</f>
        <v>27.76</v>
      </c>
      <c r="D27" t="s">
        <v>36</v>
      </c>
      <c r="F27">
        <f>27.76</f>
        <v>27.76</v>
      </c>
      <c r="G27" t="s">
        <v>52</v>
      </c>
      <c r="H27">
        <f>F27*F21</f>
        <v>28509.52</v>
      </c>
    </row>
    <row r="28" spans="2:11">
      <c r="B28" s="1" t="s">
        <v>25</v>
      </c>
      <c r="C28">
        <f>23759</f>
        <v>23759</v>
      </c>
      <c r="D28" t="s">
        <v>39</v>
      </c>
      <c r="F28">
        <f>23759</f>
        <v>23759</v>
      </c>
      <c r="G28" t="s">
        <v>40</v>
      </c>
    </row>
    <row r="29" spans="2:11">
      <c r="B29" s="1" t="s">
        <v>26</v>
      </c>
      <c r="C29">
        <f>1</f>
        <v>1</v>
      </c>
      <c r="D29" t="s">
        <v>41</v>
      </c>
      <c r="F29">
        <v>1</v>
      </c>
    </row>
    <row r="31" spans="2:11">
      <c r="B31" s="1" t="s">
        <v>43</v>
      </c>
      <c r="C31">
        <f>0.0755</f>
        <v>7.5499999999999998E-2</v>
      </c>
      <c r="D31" t="s">
        <v>44</v>
      </c>
    </row>
    <row r="32" spans="2:11">
      <c r="B32" s="1" t="s">
        <v>45</v>
      </c>
      <c r="C32" s="16">
        <f>40.4406</f>
        <v>40.440600000000003</v>
      </c>
      <c r="D32" t="s">
        <v>28</v>
      </c>
    </row>
    <row r="33" spans="2:7">
      <c r="B33" s="1" t="s">
        <v>8</v>
      </c>
      <c r="C33">
        <f>34.5834</f>
        <v>34.583399999999997</v>
      </c>
      <c r="D33" t="s">
        <v>28</v>
      </c>
    </row>
    <row r="34" spans="2:7">
      <c r="B34" s="1" t="s">
        <v>7</v>
      </c>
      <c r="C34">
        <f>28</f>
        <v>28</v>
      </c>
      <c r="D34" t="s">
        <v>28</v>
      </c>
    </row>
    <row r="35" spans="2:7">
      <c r="B35" s="1"/>
    </row>
    <row r="36" spans="2:7">
      <c r="B36" t="s">
        <v>81</v>
      </c>
      <c r="C36">
        <f>EXP((C12-C13)/C9)</f>
        <v>0.4708133048245266</v>
      </c>
    </row>
    <row r="37" spans="2:7">
      <c r="B37" t="s">
        <v>9</v>
      </c>
      <c r="C37">
        <f>(C12-(C13*C36))/(1-C36)</f>
        <v>71.857039999999998</v>
      </c>
    </row>
    <row r="39" spans="2:7">
      <c r="B39" s="1" t="s">
        <v>46</v>
      </c>
      <c r="C39" s="1"/>
      <c r="D39">
        <f>3.1416*(F22/1000)</f>
        <v>7.9796640000000002E-2</v>
      </c>
      <c r="E39" t="s">
        <v>47</v>
      </c>
    </row>
    <row r="40" spans="2:7">
      <c r="B40" s="1" t="s">
        <v>48</v>
      </c>
      <c r="C40" s="1"/>
      <c r="D40">
        <f>D39*F26</f>
        <v>0.92420468448000004</v>
      </c>
      <c r="E40" t="s">
        <v>40</v>
      </c>
    </row>
    <row r="41" spans="2:7">
      <c r="B41" s="1" t="s">
        <v>49</v>
      </c>
      <c r="C41" s="1"/>
      <c r="D41">
        <f>F28/D40</f>
        <v>25707.508735868294</v>
      </c>
      <c r="E41" t="s">
        <v>50</v>
      </c>
    </row>
    <row r="42" spans="2:7">
      <c r="B42" s="1" t="s">
        <v>53</v>
      </c>
      <c r="C42" s="1"/>
      <c r="D42">
        <f>2.3124</f>
        <v>2.3123999999999998</v>
      </c>
      <c r="E42" t="s">
        <v>37</v>
      </c>
    </row>
    <row r="43" spans="2:7">
      <c r="B43" s="22" t="s">
        <v>53</v>
      </c>
      <c r="C43" s="22"/>
      <c r="D43" s="23">
        <f>7.586614</f>
        <v>7.586614</v>
      </c>
      <c r="E43" s="21" t="s">
        <v>54</v>
      </c>
      <c r="F43" s="24">
        <f>D43^0.5</f>
        <v>2.754380874171181</v>
      </c>
      <c r="G43">
        <f>F43*263</f>
        <v>724.40216990702061</v>
      </c>
    </row>
    <row r="44" spans="2:7">
      <c r="B44" s="22" t="s">
        <v>55</v>
      </c>
      <c r="C44" s="22"/>
      <c r="D44" s="21">
        <v>1</v>
      </c>
      <c r="E44" s="21" t="s">
        <v>56</v>
      </c>
    </row>
    <row r="45" spans="2:7">
      <c r="B45" s="1" t="s">
        <v>14</v>
      </c>
      <c r="C45" s="1"/>
      <c r="D45" s="21">
        <f>724.4</f>
        <v>724.4</v>
      </c>
      <c r="E45">
        <v>720.3</v>
      </c>
    </row>
    <row r="46" spans="2:7">
      <c r="B46" s="1" t="s">
        <v>57</v>
      </c>
      <c r="C46" s="1"/>
      <c r="D46">
        <f>1.0525</f>
        <v>1.0525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C15:C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P43"/>
  <sheetViews>
    <sheetView tabSelected="1" workbookViewId="0">
      <selection activeCell="H22" sqref="H22"/>
    </sheetView>
  </sheetViews>
  <sheetFormatPr baseColWidth="10" defaultRowHeight="12.75"/>
  <cols>
    <col min="1" max="1" width="4.85546875" customWidth="1"/>
    <col min="2" max="2" width="6.85546875" customWidth="1"/>
    <col min="3" max="3" width="11.85546875" customWidth="1"/>
    <col min="5" max="5" width="7.85546875" customWidth="1"/>
    <col min="6" max="6" width="8.42578125" customWidth="1"/>
    <col min="7" max="7" width="10.28515625" customWidth="1"/>
  </cols>
  <sheetData>
    <row r="1" spans="2:10">
      <c r="B1" t="s">
        <v>64</v>
      </c>
    </row>
    <row r="3" spans="2:10" ht="15.75">
      <c r="B3" s="2" t="s">
        <v>17</v>
      </c>
    </row>
    <row r="4" spans="2:10" ht="15.75">
      <c r="B4" s="2"/>
    </row>
    <row r="5" spans="2:10" ht="13.5" thickBot="1">
      <c r="C5">
        <f>C6*0.0002928104</f>
        <v>747970.83789057203</v>
      </c>
      <c r="D5" t="s">
        <v>76</v>
      </c>
      <c r="F5" t="s">
        <v>73</v>
      </c>
      <c r="I5">
        <f>C5-G6</f>
        <v>939.41963057208341</v>
      </c>
      <c r="J5" t="s">
        <v>76</v>
      </c>
    </row>
    <row r="6" spans="2:10">
      <c r="B6" s="3" t="s">
        <v>0</v>
      </c>
      <c r="C6" s="6">
        <f>C7*C8*C9</f>
        <v>2554454479.3851995</v>
      </c>
      <c r="D6" t="s">
        <v>1</v>
      </c>
      <c r="F6" s="3" t="s">
        <v>0</v>
      </c>
      <c r="G6" s="6">
        <f>(G7*G8)+(G9*G10)-(G11*G12)</f>
        <v>747031.41825999995</v>
      </c>
      <c r="H6" t="s">
        <v>67</v>
      </c>
      <c r="I6">
        <f>C5/G6</f>
        <v>1.0012575369758345</v>
      </c>
    </row>
    <row r="7" spans="2:10">
      <c r="B7" s="4" t="s">
        <v>2</v>
      </c>
      <c r="C7" s="7">
        <f>C18*F24*F25*D43</f>
        <v>642.95008028999985</v>
      </c>
      <c r="D7" t="s">
        <v>3</v>
      </c>
      <c r="F7" s="4" t="s">
        <v>68</v>
      </c>
      <c r="G7" s="7">
        <f>357.661</f>
        <v>357.661</v>
      </c>
      <c r="H7" t="s">
        <v>65</v>
      </c>
    </row>
    <row r="8" spans="2:10">
      <c r="B8" s="4" t="s">
        <v>4</v>
      </c>
      <c r="C8" s="7">
        <v>255739.7</v>
      </c>
      <c r="D8" t="s">
        <v>5</v>
      </c>
      <c r="F8" s="4" t="s">
        <v>69</v>
      </c>
      <c r="G8" s="7">
        <f>2294</f>
        <v>2294</v>
      </c>
      <c r="H8" t="s">
        <v>66</v>
      </c>
    </row>
    <row r="9" spans="2:10" ht="13.5" thickBot="1">
      <c r="B9" s="5" t="s">
        <v>6</v>
      </c>
      <c r="C9" s="8">
        <f>((C15)/(LN(C16/C17)))</f>
        <v>15.535411513066967</v>
      </c>
      <c r="D9" t="s">
        <v>10</v>
      </c>
      <c r="F9" s="17" t="s">
        <v>70</v>
      </c>
      <c r="G9" s="18">
        <f xml:space="preserve"> 278.7984</f>
        <v>278.79840000000002</v>
      </c>
      <c r="H9" t="s">
        <v>65</v>
      </c>
    </row>
    <row r="10" spans="2:10">
      <c r="B10" s="9"/>
      <c r="C10" s="9"/>
      <c r="F10" s="4" t="s">
        <v>72</v>
      </c>
      <c r="G10" s="7">
        <f>184.7</f>
        <v>184.7</v>
      </c>
      <c r="H10" t="s">
        <v>66</v>
      </c>
    </row>
    <row r="11" spans="2:10" ht="13.5" thickBot="1">
      <c r="F11" s="4" t="s">
        <v>71</v>
      </c>
      <c r="G11" s="7">
        <f>636.4594</f>
        <v>636.45939999999996</v>
      </c>
      <c r="H11" t="s">
        <v>65</v>
      </c>
    </row>
    <row r="12" spans="2:10">
      <c r="B12" s="12" t="s">
        <v>7</v>
      </c>
      <c r="C12" s="13">
        <f>(C34*9/5)+32</f>
        <v>94.250119999999995</v>
      </c>
      <c r="D12" t="s">
        <v>10</v>
      </c>
      <c r="F12" s="4" t="s">
        <v>75</v>
      </c>
      <c r="G12" s="7">
        <f>196.3</f>
        <v>196.3</v>
      </c>
      <c r="H12" t="s">
        <v>66</v>
      </c>
    </row>
    <row r="13" spans="2:10">
      <c r="B13" s="14" t="s">
        <v>8</v>
      </c>
      <c r="C13" s="15">
        <f>(C33*9/5)+32</f>
        <v>106.04156</v>
      </c>
      <c r="D13" t="s">
        <v>10</v>
      </c>
    </row>
    <row r="14" spans="2:10">
      <c r="B14" s="14" t="s">
        <v>9</v>
      </c>
      <c r="C14" s="15">
        <f>(C32*9/5)+32</f>
        <v>116.41999999999999</v>
      </c>
      <c r="D14" t="s">
        <v>10</v>
      </c>
    </row>
    <row r="15" spans="2:10">
      <c r="B15" s="14" t="s">
        <v>11</v>
      </c>
      <c r="C15" s="15">
        <f>C13-C12</f>
        <v>11.791440000000009</v>
      </c>
      <c r="D15" t="s">
        <v>10</v>
      </c>
    </row>
    <row r="16" spans="2:10">
      <c r="B16" s="14" t="s">
        <v>12</v>
      </c>
      <c r="C16" s="15">
        <f>C14-C12</f>
        <v>22.169879999999992</v>
      </c>
      <c r="D16" t="s">
        <v>10</v>
      </c>
    </row>
    <row r="17" spans="2:16">
      <c r="B17" s="14" t="s">
        <v>13</v>
      </c>
      <c r="C17" s="15">
        <f>C14-C13</f>
        <v>10.378439999999983</v>
      </c>
      <c r="D17" t="s">
        <v>10</v>
      </c>
    </row>
    <row r="18" spans="2:16" ht="13.5" thickBot="1">
      <c r="B18" s="5" t="s">
        <v>14</v>
      </c>
      <c r="C18" s="8">
        <f>D42</f>
        <v>720.3</v>
      </c>
      <c r="D18" t="s">
        <v>3</v>
      </c>
    </row>
    <row r="21" spans="2:16">
      <c r="B21" s="1" t="s">
        <v>18</v>
      </c>
      <c r="C21" s="20">
        <f>1027.564</f>
        <v>1027.5640000000001</v>
      </c>
      <c r="D21" t="s">
        <v>38</v>
      </c>
      <c r="F21">
        <v>1027</v>
      </c>
      <c r="G21" t="s">
        <v>27</v>
      </c>
      <c r="H21" t="s">
        <v>77</v>
      </c>
      <c r="M21">
        <v>0.56399999999999995</v>
      </c>
      <c r="N21">
        <f>M21*1000</f>
        <v>564</v>
      </c>
      <c r="O21">
        <f>N21-500</f>
        <v>64</v>
      </c>
      <c r="P21" t="s">
        <v>78</v>
      </c>
    </row>
    <row r="22" spans="2:16">
      <c r="B22" s="1" t="s">
        <v>19</v>
      </c>
      <c r="C22">
        <f>25.4</f>
        <v>25.4</v>
      </c>
      <c r="D22" t="s">
        <v>29</v>
      </c>
      <c r="F22">
        <f>25.4</f>
        <v>25.4</v>
      </c>
      <c r="G22" t="s">
        <v>30</v>
      </c>
      <c r="H22" t="s">
        <v>51</v>
      </c>
    </row>
    <row r="23" spans="2:16">
      <c r="B23" s="1" t="s">
        <v>20</v>
      </c>
      <c r="C23">
        <f>0.508</f>
        <v>0.50800000000000001</v>
      </c>
      <c r="D23" t="s">
        <v>31</v>
      </c>
      <c r="F23">
        <f>0.508</f>
        <v>0.50800000000000001</v>
      </c>
      <c r="G23" t="s">
        <v>30</v>
      </c>
    </row>
    <row r="24" spans="2:16">
      <c r="B24" s="1" t="s">
        <v>21</v>
      </c>
      <c r="C24">
        <f>0.95</f>
        <v>0.95</v>
      </c>
      <c r="D24" t="s">
        <v>33</v>
      </c>
      <c r="F24">
        <f>0.95</f>
        <v>0.95</v>
      </c>
    </row>
    <row r="25" spans="2:16">
      <c r="B25" s="1" t="s">
        <v>22</v>
      </c>
      <c r="C25">
        <f>0.915</f>
        <v>0.91500000000000004</v>
      </c>
      <c r="D25" t="s">
        <v>32</v>
      </c>
      <c r="F25" s="25">
        <v>0.89400000000000002</v>
      </c>
      <c r="G25">
        <f>0.915</f>
        <v>0.91500000000000004</v>
      </c>
      <c r="H25">
        <f>G25/F25</f>
        <v>1.023489932885906</v>
      </c>
    </row>
    <row r="26" spans="2:16">
      <c r="B26" s="1" t="s">
        <v>23</v>
      </c>
      <c r="C26">
        <f>11.582</f>
        <v>11.582000000000001</v>
      </c>
      <c r="D26" t="s">
        <v>34</v>
      </c>
      <c r="F26">
        <f>11.582</f>
        <v>11.582000000000001</v>
      </c>
      <c r="G26" t="s">
        <v>35</v>
      </c>
    </row>
    <row r="27" spans="2:16">
      <c r="B27" s="1" t="s">
        <v>24</v>
      </c>
      <c r="C27">
        <f>27.76</f>
        <v>27.76</v>
      </c>
      <c r="D27" t="s">
        <v>36</v>
      </c>
      <c r="F27">
        <f>27.76</f>
        <v>27.76</v>
      </c>
      <c r="G27" t="s">
        <v>52</v>
      </c>
    </row>
    <row r="28" spans="2:16">
      <c r="B28" s="1" t="s">
        <v>25</v>
      </c>
      <c r="C28">
        <f>23759</f>
        <v>23759</v>
      </c>
      <c r="D28" t="s">
        <v>39</v>
      </c>
      <c r="F28">
        <f>23759</f>
        <v>23759</v>
      </c>
      <c r="G28" t="s">
        <v>40</v>
      </c>
    </row>
    <row r="29" spans="2:16">
      <c r="B29" s="1" t="s">
        <v>26</v>
      </c>
      <c r="C29">
        <f>1</f>
        <v>1</v>
      </c>
      <c r="D29" t="s">
        <v>41</v>
      </c>
      <c r="F29">
        <v>1</v>
      </c>
    </row>
    <row r="31" spans="2:16">
      <c r="B31" t="s">
        <v>43</v>
      </c>
      <c r="C31">
        <v>1.056E-2</v>
      </c>
      <c r="D31" t="s">
        <v>44</v>
      </c>
    </row>
    <row r="32" spans="2:16">
      <c r="B32" t="s">
        <v>45</v>
      </c>
      <c r="C32" s="16">
        <f>46.9</f>
        <v>46.9</v>
      </c>
      <c r="D32" t="s">
        <v>28</v>
      </c>
    </row>
    <row r="33" spans="2:7">
      <c r="B33" t="s">
        <v>8</v>
      </c>
      <c r="C33">
        <f>41.1342</f>
        <v>41.1342</v>
      </c>
      <c r="D33" t="s">
        <v>28</v>
      </c>
    </row>
    <row r="34" spans="2:7">
      <c r="B34" t="s">
        <v>7</v>
      </c>
      <c r="C34">
        <f>34.5834</f>
        <v>34.583399999999997</v>
      </c>
      <c r="D34" t="s">
        <v>28</v>
      </c>
    </row>
    <row r="36" spans="2:7">
      <c r="B36" t="s">
        <v>46</v>
      </c>
      <c r="D36">
        <f>3.1416*(F22/1000)</f>
        <v>7.9796640000000002E-2</v>
      </c>
      <c r="E36" t="s">
        <v>47</v>
      </c>
    </row>
    <row r="37" spans="2:7">
      <c r="B37" t="s">
        <v>48</v>
      </c>
      <c r="D37">
        <f>D36*F26</f>
        <v>0.92420468448000004</v>
      </c>
      <c r="E37" t="s">
        <v>40</v>
      </c>
    </row>
    <row r="38" spans="2:7">
      <c r="B38" t="s">
        <v>49</v>
      </c>
      <c r="D38">
        <f>F28/D37</f>
        <v>25707.508735868294</v>
      </c>
      <c r="E38" t="s">
        <v>50</v>
      </c>
    </row>
    <row r="39" spans="2:7">
      <c r="B39" t="s">
        <v>53</v>
      </c>
      <c r="D39">
        <f>2.314</f>
        <v>2.3140000000000001</v>
      </c>
      <c r="E39" t="s">
        <v>37</v>
      </c>
    </row>
    <row r="40" spans="2:7">
      <c r="B40" s="21" t="s">
        <v>53</v>
      </c>
      <c r="C40" s="21"/>
      <c r="D40" s="23">
        <f>7.586614</f>
        <v>7.586614</v>
      </c>
      <c r="E40" s="21" t="s">
        <v>54</v>
      </c>
      <c r="F40" s="19">
        <f>D40^0.5</f>
        <v>2.754380874171181</v>
      </c>
      <c r="G40">
        <f>F40*263</f>
        <v>724.40216990702061</v>
      </c>
    </row>
    <row r="41" spans="2:7">
      <c r="B41" s="21" t="s">
        <v>55</v>
      </c>
      <c r="C41" s="21"/>
      <c r="D41" s="21">
        <v>1</v>
      </c>
      <c r="E41" s="21" t="s">
        <v>56</v>
      </c>
    </row>
    <row r="42" spans="2:7">
      <c r="B42" s="21" t="s">
        <v>14</v>
      </c>
      <c r="C42" s="21"/>
      <c r="D42" s="21">
        <v>720.3</v>
      </c>
    </row>
    <row r="43" spans="2:7">
      <c r="B43" t="s">
        <v>57</v>
      </c>
      <c r="D43">
        <f>1.051</f>
        <v>1.0509999999999999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EQUIPO 64</vt:lpstr>
      <vt:lpstr>EQUIPO 65</vt:lpstr>
      <vt:lpstr>Hoja3</vt:lpstr>
    </vt:vector>
  </TitlesOfParts>
  <Company>IBERDROLA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x003222</dc:creator>
  <cp:lastModifiedBy>user</cp:lastModifiedBy>
  <dcterms:created xsi:type="dcterms:W3CDTF">2011-02-17T09:15:45Z</dcterms:created>
  <dcterms:modified xsi:type="dcterms:W3CDTF">2011-02-17T21:32:28Z</dcterms:modified>
</cp:coreProperties>
</file>